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tables/table1.xml" ContentType="application/vnd.openxmlformats-officedocument.spreadsheetml.table+xml"/>
  <Override PartName="/xl/comments2.xml" ContentType="application/vnd.openxmlformats-officedocument.spreadsheetml.comments+xml"/>
  <Override PartName="/xl/drawings/drawing5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comments3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6.xml" ContentType="application/vnd.openxmlformats-officedocument.drawing+xml"/>
  <Override PartName="/xl/ctrlProps/ctrlProp1.xml" ContentType="application/vnd.ms-excel.controlpropertie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drawings/drawing7.xml" ContentType="application/vnd.openxmlformats-officedocument.drawing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comments8.xml" ContentType="application/vnd.openxmlformats-officedocument.spreadsheetml.comments+xml"/>
  <Override PartName="/xl/drawings/drawing8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omments9.xml" ContentType="application/vnd.openxmlformats-officedocument.spreadsheetml.comments+xml"/>
  <Override PartName="/xl/drawings/drawing9.xml" ContentType="application/vnd.openxmlformats-officedocument.drawing+xml"/>
  <Override PartName="/xl/tables/table11.xml" ContentType="application/vnd.openxmlformats-officedocument.spreadsheetml.table+xml"/>
  <Override PartName="/xl/drawings/drawing10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python.xml" ContentType="application/vnd.ms-excel.pytho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showInkAnnotation="0" codeName="EstaPasta_de_trabalho"/>
  <mc:AlternateContent xmlns:mc="http://schemas.openxmlformats.org/markup-compatibility/2006">
    <mc:Choice Requires="x15">
      <x15ac:absPath xmlns:x15ac="http://schemas.microsoft.com/office/spreadsheetml/2010/11/ac" url="C:\Users\dwanderley\Downloads\LTC_DVC_Configuration\"/>
    </mc:Choice>
  </mc:AlternateContent>
  <xr:revisionPtr revIDLastSave="0" documentId="13_ncr:1_{A4BA4FBF-8A00-464B-BA3E-F748599566F6}" xr6:coauthVersionLast="47" xr6:coauthVersionMax="47" xr10:uidLastSave="{00000000-0000-0000-0000-000000000000}"/>
  <bookViews>
    <workbookView xWindow="-110" yWindow="-110" windowWidth="25820" windowHeight="15500" activeTab="6" xr2:uid="{1DCB32BA-6BD7-418E-998F-2631B7EAA876}"/>
  </bookViews>
  <sheets>
    <sheet name="Histórico" sheetId="33" r:id="rId1"/>
    <sheet name="Main" sheetId="59" state="hidden" r:id="rId2"/>
    <sheet name="Consulta" sheetId="67" r:id="rId3"/>
    <sheet name="Values" sheetId="52" r:id="rId4"/>
    <sheet name="MCV e Guindaste" sheetId="54" r:id="rId5"/>
    <sheet name="Bending Stiffness" sheetId="19" r:id="rId6"/>
    <sheet name="CVD_Script_Table" sheetId="57" r:id="rId7"/>
    <sheet name="1st_Post_Processing" sheetId="60" state="hidden" r:id="rId8"/>
    <sheet name="2nd_Post_Processing" sheetId="20" state="hidden" r:id="rId9"/>
    <sheet name="Auxiliar1" sheetId="56" state="hidden" r:id="rId10"/>
    <sheet name="Auxiliar2" sheetId="30" state="hidden" r:id="rId11"/>
    <sheet name="Auxiliar3" sheetId="31" state="hidden" r:id="rId12"/>
    <sheet name="Auxiliar4" sheetId="32" state="hidden" r:id="rId13"/>
    <sheet name="Data" sheetId="58" state="hidden" r:id="rId14"/>
    <sheet name="Results" sheetId="21" r:id="rId15"/>
    <sheet name="Esforços" sheetId="36" r:id="rId16"/>
    <sheet name="TQF" sheetId="68" r:id="rId17"/>
    <sheet name="__$Orcina_Hidden_Sheet$__" sheetId="5" state="veryHidden" r:id="rId18"/>
  </sheets>
  <functionGroups builtInGroupCount="19"/>
  <definedNames>
    <definedName name="_attachment_type">Data!$V$44</definedName>
    <definedName name="_dvc_type">Data!$V$50</definedName>
    <definedName name="_has_bend_restrictor">Data!$V$35</definedName>
    <definedName name="_has_dredging">Data!$V$36</definedName>
    <definedName name="_last_update">Data!$V$47</definedName>
    <definedName name="_lda">Data!$D$42</definedName>
    <definedName name="_orcaflex_version">Data!$J$16</definedName>
    <definedName name="_rt_number">Main!$C$18</definedName>
    <definedName name="_rt_rev">Main!$E$18</definedName>
    <definedName name="_total_buoyant">Data!$V$42</definedName>
    <definedName name="bs_is_reduction_hid">'Bending Stiffness'!$K$5</definedName>
    <definedName name="bs_is_reduction_lan">'Bending Stiffness'!$D$5</definedName>
    <definedName name="bs_is_reduction_ope">'Bending Stiffness'!$R$5</definedName>
    <definedName name="bs_npoints_hid">'Bending Stiffness'!$K$4</definedName>
    <definedName name="bs_npoints_lan">'Bending Stiffness'!$D$4</definedName>
    <definedName name="bs_npoints_ope">'Bending Stiffness'!$R$4</definedName>
    <definedName name="bs_reduction_percentage_hid">'Bending Stiffness'!$K$6</definedName>
    <definedName name="bs_reduction_percentage_lan">'Bending Stiffness'!$D$6</definedName>
    <definedName name="bs_reduction_percentage_ope">'Bending Stiffness'!$R$6</definedName>
    <definedName name="case3i_heave_ex_shear_force_max">Data!$W$9</definedName>
    <definedName name="case3i_heave_ex_shear_force_min">Data!$W$10</definedName>
    <definedName name="case3i_heave_ey_moment_max">Data!$X$9</definedName>
    <definedName name="case3i_heave_ey_moment_min">Data!$X$10</definedName>
    <definedName name="case3i_heave_ez_axial_max">Data!$V$9</definedName>
    <definedName name="case3i_heave_ez_axial_min">Data!$V$10</definedName>
    <definedName name="case3ii_toque_ex_shear_force_max">Data!$W$11</definedName>
    <definedName name="case3ii_toque_ey_moment_max">Data!$X$11</definedName>
    <definedName name="case3ii_toque_ez_axial_max">Data!$V$11</definedName>
    <definedName name="case4_et_result_ex_shear_force_with_buoys">Data!$W$15</definedName>
    <definedName name="case4_et_result_ex_shear_force_without_buoys">Data!$W$19</definedName>
    <definedName name="case4_et_result_ey_moment_with_buoys">Data!$X$15</definedName>
    <definedName name="case4_et_result_ey_moment_without_buoys">Data!$X$19</definedName>
    <definedName name="case4_et_result_ez_axial_with_buoys">Data!$V$15</definedName>
    <definedName name="case4_et_result_ez_axial_without_buoys">Data!$V$19</definedName>
    <definedName name="case4_m0_with_buoys">Data!$X$12</definedName>
    <definedName name="case4_m0_without_buoys">Data!$X$16</definedName>
    <definedName name="case4_m1_with_buoys">Data!$X$13</definedName>
    <definedName name="case4_m1_without_buoys">Data!$X$17</definedName>
    <definedName name="case4_m2_with_buoys">Data!$X$14</definedName>
    <definedName name="case4_m2_without_buoys">Data!$X$18</definedName>
    <definedName name="case4_t0_with_buoys">Data!$V$12</definedName>
    <definedName name="case4_t0_without_buoys">Data!$V$16</definedName>
    <definedName name="case4_t1_with_buoys">Data!$V$13</definedName>
    <definedName name="case4_t1_without_buoys">Data!$V$17</definedName>
    <definedName name="case4_t2_with_buoys">Data!$V$14</definedName>
    <definedName name="case4_t2_without_buoys">Data!$V$18</definedName>
    <definedName name="case4_test_line_pressure">Data!$V$37</definedName>
    <definedName name="case4_v0_with_buoys">Data!$W$12</definedName>
    <definedName name="case4_v0_without_buoys">Data!$W$16</definedName>
    <definedName name="case4_v1_with_buoys">Data!$W$13</definedName>
    <definedName name="case4_v1_without_buoys">Data!$W$17</definedName>
    <definedName name="case4_v2_with_buoys">Data!$W$14</definedName>
    <definedName name="case4_v2_without_buoys">Data!$W$18</definedName>
    <definedName name="case5_et_result_ex_shear_force">Data!$W$21</definedName>
    <definedName name="case5_et_result_ey_moment">Data!$X$21</definedName>
    <definedName name="case5_et_result_ez_axial">Data!$V$21</definedName>
    <definedName name="case5_m2_without_buoys">Data!$X$20</definedName>
    <definedName name="case5_operation_line_density">Data!$V$39</definedName>
    <definedName name="case5_operation_line_pressure">Data!$V$38</definedName>
    <definedName name="case5_t2_without_buoys">Data!$V$20</definedName>
    <definedName name="case5_v2_without_buoys">Data!$W$20</definedName>
    <definedName name="cont1_bm_vert">Data!$J$49</definedName>
    <definedName name="cont1_buoyancy">Data!$J$40</definedName>
    <definedName name="cont1_ey_moment">Data!$J$53</definedName>
    <definedName name="cont1_mbr_line">Data!$J$52</definedName>
    <definedName name="cont1_mbr_vert">Data!$J$51</definedName>
    <definedName name="cont1_sf_line_endb">Data!$J$54</definedName>
    <definedName name="cont1_sf_vert">Data!$J$50</definedName>
    <definedName name="cont1_z_buoys">Data!$J$39</definedName>
    <definedName name="cont2_bm_vert">Data!$J$77</definedName>
    <definedName name="cont2_buoyancy">Data!$J$68</definedName>
    <definedName name="cont2_ey_moment">Data!$J$81</definedName>
    <definedName name="cont2_mbr_line">Data!$J$80</definedName>
    <definedName name="cont2_mbr_vert">Data!$J$79</definedName>
    <definedName name="cont2_sf_line_endb">Data!$J$82</definedName>
    <definedName name="cont2_sf_vert">Data!$J$78</definedName>
    <definedName name="cont2_z_buoys">Data!$J$67</definedName>
    <definedName name="data_line_nominal_diameter">Data!$V$29</definedName>
    <definedName name="dredging_dimension_A">Results!$B$29</definedName>
    <definedName name="dredging_dimension_B">Results!$B$30</definedName>
    <definedName name="dredging_dimension_C">Results!$B$31</definedName>
    <definedName name="dredging_dimension_D">Results!$B$32</definedName>
    <definedName name="dredging_dimension_E">Results!$B$33</definedName>
    <definedName name="dredging_dimension_F">Results!$B$34</definedName>
    <definedName name="droplist_casos">Data!$T$54:$T$64</definedName>
    <definedName name="droplist_line_type">Data!$T$67:$T$72</definedName>
    <definedName name="dynamic_altura_corc">Data!$D$16</definedName>
    <definedName name="dynamic_axial_force_cabr1">Data!$D$49</definedName>
    <definedName name="dynamic_axial_force_cabr2">Data!$D$50</definedName>
    <definedName name="dynamic_bm_vert">Data!$D$38</definedName>
    <definedName name="dynamic_heave_up">Data!$D$45</definedName>
    <definedName name="dynamic_mbr_line_case_3i">Data!$D$29</definedName>
    <definedName name="dynamic_mbr_line_whole_simulation">Data!$D$30</definedName>
    <definedName name="dynamic_mbr_vert">Data!$D$36</definedName>
    <definedName name="dynamic_sf_vert">Data!$D$40</definedName>
    <definedName name="filename_2nd_hmax">Data!$W$63</definedName>
    <definedName name="filename_2nd_puxada">Data!$W$64</definedName>
    <definedName name="filename_cont">Data!$W$62</definedName>
    <definedName name="filename_dredging">Data!$W$65</definedName>
    <definedName name="filename_static">Data!$W$56</definedName>
    <definedName name="hmax1_altura_corc">Data!$P$50</definedName>
    <definedName name="hmax1_arclength_line_endb">Data!$P$47</definedName>
    <definedName name="hmax1_arclength_line_touchdown">Data!$P$48</definedName>
    <definedName name="hmax1_axial_force_cabr1">Data!$P$57</definedName>
    <definedName name="hmax1_axial_force_cabr2">Data!$P$58</definedName>
    <definedName name="hmax1_bm_vert">Data!$P$54</definedName>
    <definedName name="hmax1_comp_susp">Data!$P$29</definedName>
    <definedName name="hmax1_dist_flange">Data!$P$30</definedName>
    <definedName name="hmax1_dist_flange_cabrestante1">Data!$P$32</definedName>
    <definedName name="hmax1_dist_flange_cabrestante2">Data!$P$33</definedName>
    <definedName name="hmax1_dist_tdp_flange">Data!$P$31</definedName>
    <definedName name="hmax1_ex_shear_force">Data!$P$52</definedName>
    <definedName name="hmax1_ey_moment">Data!$P$51</definedName>
    <definedName name="hmax1_inclinacao_mcv">Data!$P$56</definedName>
    <definedName name="hmax1_mbr_line">Data!$P$44</definedName>
    <definedName name="hmax1_mbr_vert">Data!$P$53</definedName>
    <definedName name="hmax1_overlength">Data!$P$34</definedName>
    <definedName name="hmax1_sf_vert">Data!$P$55</definedName>
    <definedName name="hmax1_x_line_endb">Data!$P$45</definedName>
    <definedName name="hmax1_x_line_touchdown">Data!$P$46</definedName>
    <definedName name="hmax1_z_line_endb">Data!$P$49</definedName>
    <definedName name="hmax2_altura_corc">Data!$P$83</definedName>
    <definedName name="hmax2_arclength_line_endb">Data!$P$80</definedName>
    <definedName name="hmax2_arclength_line_touchdown">Data!$P$81</definedName>
    <definedName name="hmax2_axial_force_cabr1">Data!$P$90</definedName>
    <definedName name="hmax2_axial_force_cabr2">Data!$P$91</definedName>
    <definedName name="hmax2_bm_vert">Data!$P$87</definedName>
    <definedName name="hmax2_comp_susp">Data!$P$62</definedName>
    <definedName name="hmax2_dist_flange">Data!$P$63</definedName>
    <definedName name="hmax2_dist_flange_cabrestante1">Data!$P$65</definedName>
    <definedName name="hmax2_dist_flange_cabrestante2">Data!$P$66</definedName>
    <definedName name="hmax2_dist_tdp_flange">Data!$P$64</definedName>
    <definedName name="hmax2_ex_shear_force">Data!$P$85</definedName>
    <definedName name="hmax2_ey_moment">Data!$P$84</definedName>
    <definedName name="hmax2_inclinacao_mcv">Data!$P$89</definedName>
    <definedName name="hmax2_mbr_line">Data!$P$77</definedName>
    <definedName name="hmax2_mbr_vert">Data!$P$86</definedName>
    <definedName name="hmax2_overlength">Data!$P$67</definedName>
    <definedName name="hmax2_sf_vert">Data!$P$88</definedName>
    <definedName name="hmax2_x_line_endb">Data!$P$78</definedName>
    <definedName name="hmax2_x_line_touchdown">Data!$P$79</definedName>
    <definedName name="hmax2_z_line_endb">Data!$P$82</definedName>
    <definedName name="postproc_arclength_cabrestante2">Auxiliar2!$I$7</definedName>
    <definedName name="postproc_case3ii_time_toque_solo">Auxiliar1!$O$5</definedName>
    <definedName name="postproc_case3ii_time_toque_solo_preview">Auxiliar1!$O$14</definedName>
    <definedName name="postproc_check_filling">Results!$D$23</definedName>
    <definedName name="preliminary_dynamic_bm_vert">Data!$J$25</definedName>
    <definedName name="preliminary_dynamic_mbr_line">Data!$J$21</definedName>
    <definedName name="preliminary_dynamic_mbr_vert">Data!$J$23</definedName>
    <definedName name="preliminary_dynamic_sf_vert">Data!$J$27</definedName>
    <definedName name="preliminary_heave_ex_shear_force_max">Data!$W$6</definedName>
    <definedName name="preliminary_heave_ex_shear_force_min">Data!$W$7</definedName>
    <definedName name="preliminary_heave_ey_moment_max">Data!$X$6</definedName>
    <definedName name="preliminary_heave_ey_moment_min">Data!$X$7</definedName>
    <definedName name="preliminary_heave_ez_axial_max">Data!$V$6</definedName>
    <definedName name="preliminary_heave_ez_axial_min">Data!$V$7</definedName>
    <definedName name="preliminary_static_bm_vert">Data!$J$24</definedName>
    <definedName name="preliminary_static_ex_force">Data!$J$19</definedName>
    <definedName name="preliminary_static_ey_moment">Data!$J$18</definedName>
    <definedName name="preliminary_static_mbr_line">Data!$J$20</definedName>
    <definedName name="preliminary_static_mbr_vert">Data!$J$22</definedName>
    <definedName name="preliminary_static_sf_vert">Data!$J$26</definedName>
    <definedName name="preliminary_toque_ex_shear_force_max">Data!$W$8</definedName>
    <definedName name="preliminary_toque_ey_moment_max">Data!$X$8</definedName>
    <definedName name="preliminary_toque_ez_axial_max">Data!$V$8</definedName>
    <definedName name="puxada_axial_force_cabr1">Data!$P$24</definedName>
    <definedName name="puxada_axial_force_cabr2">Data!$P$25</definedName>
    <definedName name="puxada_bm_vert">Data!$P$20</definedName>
    <definedName name="puxada_ex_shear_force_max">Data!$W$22</definedName>
    <definedName name="puxada_ex_shear_force_min">Data!$W$23</definedName>
    <definedName name="puxada_ey_moment_max">Data!$X$22</definedName>
    <definedName name="puxada_ey_moment_min">Data!$X$23</definedName>
    <definedName name="puxada_ez_axial_max">Data!$V$22</definedName>
    <definedName name="puxada_ez_axial_min">Data!$V$23</definedName>
    <definedName name="puxada_mbr_line">Data!$P$16</definedName>
    <definedName name="puxada_mbr_vert">Data!$P$19</definedName>
    <definedName name="puxada_puxada">Data!$P$23</definedName>
    <definedName name="puxada_recolh">Data!$P$6</definedName>
    <definedName name="puxada_sf_vert">Data!$P$21</definedName>
    <definedName name="puxada_stage_value_ar">Data!$P$22</definedName>
    <definedName name="report_bm_adm_vert">Data!$V$33</definedName>
    <definedName name="report_connection_type">Results!$B$4</definedName>
    <definedName name="report_copy_to">Results!$B$17</definedName>
    <definedName name="report_dist_eqsb">Data!$V$30</definedName>
    <definedName name="report_edr">Results!$B$13</definedName>
    <definedName name="report_initials_aprover">Results!$B$12</definedName>
    <definedName name="report_initials_engineer">Results!$B$10</definedName>
    <definedName name="report_initials_reviewer">Results!$B$11</definedName>
    <definedName name="report_length_bendrestrictor">Data!$V$41</definedName>
    <definedName name="report_line_type">Results!$B$3</definedName>
    <definedName name="report_mbr_line_rl">Data!$V$32</definedName>
    <definedName name="report_mbr_vert_rl">Data!$V$31</definedName>
    <definedName name="report_name_adaptador">Data!$T$50</definedName>
    <definedName name="report_name_bend_restrictor">Data!$T$48</definedName>
    <definedName name="report_name_end_fitting">Data!$T$49</definedName>
    <definedName name="report_name_field">Results!$B$7</definedName>
    <definedName name="report_name_structure">Data!$T$47</definedName>
    <definedName name="report_name_vcm">Data!$T$51</definedName>
    <definedName name="report_name_vessel">Results!$B$6</definedName>
    <definedName name="report_name_well">Results!$B$5</definedName>
    <definedName name="report_requester">Results!$B$14</definedName>
    <definedName name="report_rl_doc">Results!$B$19</definedName>
    <definedName name="report_rl_rev">Results!$B$20</definedName>
    <definedName name="report_rl_title">Results!$B$21</definedName>
    <definedName name="report_rt_doc">Results!$B$22</definedName>
    <definedName name="report_rt_rev">Results!$B$23</definedName>
    <definedName name="report_rt_title">Results!$B$24</definedName>
    <definedName name="report_sf_adm_vert">Data!$V$34</definedName>
    <definedName name="report_version_report">Results!$B$9</definedName>
    <definedName name="report_vessel_coordinator1">Results!$B$15</definedName>
    <definedName name="report_vessel_coordinator2">Results!$B$16</definedName>
    <definedName name="script_table_end_row">CVD_Script_Table!$F$330</definedName>
    <definedName name="script_table_hid_first_row">CVD_Script_Table!$H$36</definedName>
    <definedName name="script_table_lan_first_row">CVD_Script_Table!$H$34</definedName>
    <definedName name="script_table_ope_first_row">CVD_Script_Table!$H$38</definedName>
    <definedName name="static_altura_corc">Data!$D$9</definedName>
    <definedName name="static_bm_vert">Data!$D$37</definedName>
    <definedName name="static_comp_lingada1">Data!$D$47</definedName>
    <definedName name="static_comp_lingada2">Data!$D$48</definedName>
    <definedName name="static_comp_susp">Data!$D$10</definedName>
    <definedName name="static_dist_flange">Data!$D$12</definedName>
    <definedName name="static_dist_flange_cabrestante">Data!$D$13</definedName>
    <definedName name="static_dist_mcv_origem">Data!$D$15</definedName>
    <definedName name="static_dist_tdp_flange">Data!$D$11</definedName>
    <definedName name="static_ex_shear_force">Data!$D$33</definedName>
    <definedName name="static_ey_moment">Data!$D$34</definedName>
    <definedName name="static_ez_axial">Data!$D$32</definedName>
    <definedName name="static_inclinacao_mcv">Data!$D$44</definedName>
    <definedName name="static_mbr_line">Data!$D$28</definedName>
    <definedName name="static_mbr_vert">Data!$D$35</definedName>
    <definedName name="static_n_att">Data!$J$17</definedName>
    <definedName name="static_overlength">Data!$D$14</definedName>
    <definedName name="static_position_corc1">Data!$D$51</definedName>
    <definedName name="static_position_corc2">Data!$D$52</definedName>
    <definedName name="static_sbed_clear">Data!$D$6</definedName>
    <definedName name="static_sbed_clear_line">Data!$D$8</definedName>
    <definedName name="static_sbed_clear_vert">Data!$D$7</definedName>
    <definedName name="static_sf_vert">Data!$D$39</definedName>
    <definedName name="static_stage_value_ar">Data!$D$46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40" i="21" l="1"/>
  <c r="E7" i="57" l="1"/>
  <c r="I9" i="21"/>
  <c r="H22" i="57"/>
  <c r="C37" i="52"/>
  <c r="F8" i="68"/>
  <c r="I8" i="68"/>
  <c r="L8" i="68"/>
  <c r="O8" i="68"/>
  <c r="R8" i="68"/>
  <c r="U8" i="68"/>
  <c r="X8" i="68"/>
  <c r="AA8" i="68"/>
  <c r="C8" i="68"/>
  <c r="V38" i="58" l="1"/>
  <c r="V37" i="58"/>
  <c r="V39" i="58"/>
  <c r="E132" i="20"/>
  <c r="E123" i="20"/>
  <c r="E70" i="60" l="1"/>
  <c r="E67" i="60"/>
  <c r="E64" i="60"/>
  <c r="E61" i="60"/>
  <c r="E58" i="60"/>
  <c r="E27" i="60"/>
  <c r="E76" i="20"/>
  <c r="E73" i="20"/>
  <c r="E70" i="20"/>
  <c r="E67" i="20"/>
  <c r="E64" i="20"/>
  <c r="E30" i="20"/>
  <c r="E73" i="60"/>
  <c r="E82" i="60"/>
  <c r="E5" i="20"/>
  <c r="E5" i="60"/>
  <c r="E337" i="57"/>
  <c r="H23" i="57"/>
  <c r="H21" i="57"/>
  <c r="W63" i="58" l="1"/>
  <c r="E79" i="20" s="1"/>
  <c r="V36" i="58"/>
  <c r="D45" i="58"/>
  <c r="V35" i="58"/>
  <c r="V41" i="58"/>
  <c r="F114" i="20"/>
  <c r="F113" i="20"/>
  <c r="F88" i="20"/>
  <c r="F87" i="20"/>
  <c r="C336" i="57"/>
  <c r="C335" i="57"/>
  <c r="J26" i="21"/>
  <c r="I26" i="21"/>
  <c r="J25" i="21"/>
  <c r="I25" i="21"/>
  <c r="A73" i="52"/>
  <c r="B36" i="57" s="1"/>
  <c r="E95" i="20" l="1"/>
  <c r="B35" i="57"/>
  <c r="B43" i="57"/>
  <c r="B42" i="57"/>
  <c r="B41" i="57"/>
  <c r="B40" i="57"/>
  <c r="B39" i="57"/>
  <c r="B38" i="57"/>
  <c r="B37" i="57"/>
  <c r="F35" i="60"/>
  <c r="C35" i="60" s="1"/>
  <c r="D35" i="60"/>
  <c r="D36" i="60"/>
  <c r="H35" i="20"/>
  <c r="F36" i="20"/>
  <c r="C36" i="20" s="1"/>
  <c r="D35" i="20"/>
  <c r="D36" i="20"/>
  <c r="D37" i="20"/>
  <c r="D38" i="20"/>
  <c r="D39" i="20"/>
  <c r="D40" i="20"/>
  <c r="D41" i="20"/>
  <c r="D42" i="20"/>
  <c r="D43" i="20"/>
  <c r="D44" i="20"/>
  <c r="D45" i="20"/>
  <c r="D46" i="20"/>
  <c r="D47" i="20"/>
  <c r="D48" i="20"/>
  <c r="D49" i="20"/>
  <c r="D50" i="20"/>
  <c r="D51" i="20"/>
  <c r="D52" i="20"/>
  <c r="D53" i="20"/>
  <c r="D54" i="20"/>
  <c r="D55" i="20"/>
  <c r="D56" i="20"/>
  <c r="D30" i="58"/>
  <c r="I21" i="21" s="1"/>
  <c r="H15" i="20"/>
  <c r="H19" i="20"/>
  <c r="H17" i="20"/>
  <c r="H13" i="20"/>
  <c r="H15" i="60"/>
  <c r="F15" i="60"/>
  <c r="D15" i="60"/>
  <c r="F14" i="60"/>
  <c r="C14" i="60" s="1"/>
  <c r="D14" i="60"/>
  <c r="H19" i="60"/>
  <c r="F19" i="60"/>
  <c r="D19" i="60"/>
  <c r="F18" i="60"/>
  <c r="C18" i="60" s="1"/>
  <c r="D18" i="60"/>
  <c r="H17" i="60"/>
  <c r="F17" i="60"/>
  <c r="C17" i="60" s="1"/>
  <c r="D17" i="60"/>
  <c r="F16" i="60"/>
  <c r="C16" i="60" s="1"/>
  <c r="D16" i="60"/>
  <c r="F11" i="60"/>
  <c r="C11" i="60" s="1"/>
  <c r="D11" i="60"/>
  <c r="F10" i="60"/>
  <c r="C10" i="60" s="1"/>
  <c r="D10" i="60"/>
  <c r="H13" i="60"/>
  <c r="F13" i="60"/>
  <c r="D13" i="60"/>
  <c r="F12" i="60"/>
  <c r="C12" i="60" s="1"/>
  <c r="D12" i="60"/>
  <c r="F11" i="20"/>
  <c r="C11" i="20" s="1"/>
  <c r="D11" i="20"/>
  <c r="F10" i="20"/>
  <c r="C10" i="20" s="1"/>
  <c r="D10" i="20"/>
  <c r="F13" i="20"/>
  <c r="D13" i="20"/>
  <c r="F12" i="20"/>
  <c r="C12" i="20" s="1"/>
  <c r="D12" i="20"/>
  <c r="F15" i="20"/>
  <c r="D15" i="20"/>
  <c r="F14" i="20"/>
  <c r="C14" i="20" s="1"/>
  <c r="D14" i="20"/>
  <c r="F19" i="20"/>
  <c r="D19" i="20"/>
  <c r="F18" i="20"/>
  <c r="C18" i="20" s="1"/>
  <c r="D18" i="20"/>
  <c r="F17" i="20"/>
  <c r="D17" i="20"/>
  <c r="F16" i="20"/>
  <c r="C16" i="20" s="1"/>
  <c r="D16" i="20"/>
  <c r="H24" i="60"/>
  <c r="H25" i="60"/>
  <c r="H23" i="60"/>
  <c r="H122" i="20"/>
  <c r="H34" i="60"/>
  <c r="F117" i="20"/>
  <c r="F116" i="20"/>
  <c r="F103" i="20"/>
  <c r="C103" i="20" s="1"/>
  <c r="F104" i="20"/>
  <c r="C104" i="20" s="1"/>
  <c r="F106" i="20"/>
  <c r="C106" i="20" s="1"/>
  <c r="F107" i="20"/>
  <c r="C107" i="20" s="1"/>
  <c r="P85" i="58"/>
  <c r="P52" i="58"/>
  <c r="P84" i="58"/>
  <c r="P51" i="58"/>
  <c r="P87" i="58"/>
  <c r="P54" i="58"/>
  <c r="P91" i="58"/>
  <c r="P90" i="58"/>
  <c r="P88" i="58"/>
  <c r="P58" i="58"/>
  <c r="P57" i="58"/>
  <c r="P55" i="58"/>
  <c r="D104" i="20"/>
  <c r="D106" i="20"/>
  <c r="D107" i="20"/>
  <c r="D109" i="20"/>
  <c r="D110" i="20"/>
  <c r="C87" i="20"/>
  <c r="C88" i="20"/>
  <c r="D90" i="20"/>
  <c r="D91" i="20"/>
  <c r="D93" i="20"/>
  <c r="D94" i="20"/>
  <c r="F91" i="20"/>
  <c r="C91" i="20" s="1"/>
  <c r="F90" i="20"/>
  <c r="C90" i="20" s="1"/>
  <c r="D103" i="20"/>
  <c r="D87" i="20"/>
  <c r="D88" i="20"/>
  <c r="F110" i="20"/>
  <c r="C110" i="20" s="1"/>
  <c r="F109" i="20"/>
  <c r="C109" i="20" s="1"/>
  <c r="F94" i="20"/>
  <c r="C94" i="20" s="1"/>
  <c r="F93" i="20"/>
  <c r="C93" i="20" s="1"/>
  <c r="E79" i="57"/>
  <c r="H20" i="57"/>
  <c r="E78" i="57" s="1"/>
  <c r="P83" i="58"/>
  <c r="P82" i="58"/>
  <c r="P81" i="58"/>
  <c r="P80" i="58"/>
  <c r="P79" i="58"/>
  <c r="P78" i="58"/>
  <c r="P89" i="58"/>
  <c r="P86" i="58"/>
  <c r="P77" i="58"/>
  <c r="P67" i="58"/>
  <c r="P66" i="58"/>
  <c r="P65" i="58"/>
  <c r="P64" i="58"/>
  <c r="P63" i="58"/>
  <c r="P62" i="58"/>
  <c r="F102" i="20"/>
  <c r="D102" i="20"/>
  <c r="F101" i="20"/>
  <c r="C101" i="20" s="1"/>
  <c r="D101" i="20"/>
  <c r="F100" i="20"/>
  <c r="C100" i="20" s="1"/>
  <c r="D100" i="20"/>
  <c r="F99" i="20"/>
  <c r="C99" i="20" s="1"/>
  <c r="D99" i="20"/>
  <c r="F98" i="20"/>
  <c r="C98" i="20" s="1"/>
  <c r="D98" i="20"/>
  <c r="F97" i="20"/>
  <c r="C97" i="20" s="1"/>
  <c r="D97" i="20"/>
  <c r="D108" i="20"/>
  <c r="F105" i="20"/>
  <c r="C105" i="20" s="1"/>
  <c r="D105" i="20"/>
  <c r="F96" i="20"/>
  <c r="C96" i="20" s="1"/>
  <c r="D96" i="20"/>
  <c r="F37" i="20"/>
  <c r="F121" i="20"/>
  <c r="F120" i="20"/>
  <c r="F119" i="20"/>
  <c r="F118" i="20"/>
  <c r="F51" i="20"/>
  <c r="F52" i="20"/>
  <c r="F56" i="20"/>
  <c r="F55" i="20"/>
  <c r="F54" i="20"/>
  <c r="F53" i="20"/>
  <c r="F135" i="20"/>
  <c r="F134" i="20"/>
  <c r="F133" i="20"/>
  <c r="F126" i="20"/>
  <c r="F125" i="20"/>
  <c r="F124" i="20"/>
  <c r="F115" i="20"/>
  <c r="F89" i="20"/>
  <c r="F59" i="20"/>
  <c r="F46" i="20"/>
  <c r="F44" i="20"/>
  <c r="F42" i="20"/>
  <c r="F45" i="20"/>
  <c r="C45" i="20" s="1"/>
  <c r="F43" i="20"/>
  <c r="C43" i="20" s="1"/>
  <c r="F41" i="20"/>
  <c r="F27" i="20"/>
  <c r="F24" i="20"/>
  <c r="F21" i="20"/>
  <c r="F20" i="20"/>
  <c r="F36" i="60"/>
  <c r="C36" i="60" s="1"/>
  <c r="F50" i="60"/>
  <c r="F85" i="60"/>
  <c r="F84" i="60"/>
  <c r="F83" i="60"/>
  <c r="F76" i="60"/>
  <c r="F75" i="60"/>
  <c r="F74" i="60"/>
  <c r="F53" i="60"/>
  <c r="F45" i="60"/>
  <c r="F43" i="60"/>
  <c r="F41" i="60"/>
  <c r="F44" i="60"/>
  <c r="C44" i="60" s="1"/>
  <c r="F42" i="60"/>
  <c r="C42" i="60" s="1"/>
  <c r="F40" i="60"/>
  <c r="C40" i="60" s="1"/>
  <c r="F31" i="60"/>
  <c r="F24" i="60"/>
  <c r="F21" i="60"/>
  <c r="F370" i="20"/>
  <c r="F369" i="20"/>
  <c r="F368" i="20"/>
  <c r="F367" i="20"/>
  <c r="F366" i="20"/>
  <c r="F365" i="20"/>
  <c r="F364" i="20"/>
  <c r="F363" i="20"/>
  <c r="F362" i="20"/>
  <c r="F361" i="20"/>
  <c r="F360" i="20"/>
  <c r="F359" i="20"/>
  <c r="F358" i="20"/>
  <c r="F357" i="20"/>
  <c r="F356" i="20"/>
  <c r="F355" i="20"/>
  <c r="F354" i="20"/>
  <c r="F353" i="20"/>
  <c r="F352" i="20"/>
  <c r="F351" i="20"/>
  <c r="F350" i="20"/>
  <c r="F349" i="20"/>
  <c r="F348" i="20"/>
  <c r="F347" i="20"/>
  <c r="F346" i="20"/>
  <c r="F345" i="20"/>
  <c r="F344" i="20"/>
  <c r="F343" i="20"/>
  <c r="F342" i="20"/>
  <c r="F341" i="20"/>
  <c r="F340" i="20"/>
  <c r="F339" i="20"/>
  <c r="F338" i="20"/>
  <c r="F337" i="20"/>
  <c r="F336" i="20"/>
  <c r="F335" i="20"/>
  <c r="F334" i="20"/>
  <c r="F333" i="20"/>
  <c r="F332" i="20"/>
  <c r="F331" i="20"/>
  <c r="F330" i="20"/>
  <c r="F329" i="20"/>
  <c r="F328" i="20"/>
  <c r="F327" i="20"/>
  <c r="F326" i="20"/>
  <c r="F325" i="20"/>
  <c r="F324" i="20"/>
  <c r="F323" i="20"/>
  <c r="F322" i="20"/>
  <c r="F321" i="20"/>
  <c r="F320" i="20"/>
  <c r="F319" i="20"/>
  <c r="F318" i="20"/>
  <c r="F317" i="20"/>
  <c r="F316" i="20"/>
  <c r="F315" i="20"/>
  <c r="F314" i="20"/>
  <c r="F313" i="20"/>
  <c r="F312" i="20"/>
  <c r="F311" i="20"/>
  <c r="F310" i="20"/>
  <c r="F309" i="20"/>
  <c r="F308" i="20"/>
  <c r="F307" i="20"/>
  <c r="F306" i="20"/>
  <c r="F305" i="20"/>
  <c r="F304" i="20"/>
  <c r="F303" i="20"/>
  <c r="F302" i="20"/>
  <c r="F301" i="20"/>
  <c r="F300" i="20"/>
  <c r="F299" i="20"/>
  <c r="F298" i="20"/>
  <c r="F297" i="20"/>
  <c r="F296" i="20"/>
  <c r="F295" i="20"/>
  <c r="F294" i="20"/>
  <c r="F293" i="20"/>
  <c r="F292" i="20"/>
  <c r="F291" i="20"/>
  <c r="F290" i="20"/>
  <c r="F289" i="20"/>
  <c r="F288" i="20"/>
  <c r="F287" i="20"/>
  <c r="F286" i="20"/>
  <c r="F285" i="20"/>
  <c r="F284" i="20"/>
  <c r="F283" i="20"/>
  <c r="F282" i="20"/>
  <c r="F281" i="20"/>
  <c r="F280" i="20"/>
  <c r="F279" i="20"/>
  <c r="F278" i="20"/>
  <c r="F277" i="20"/>
  <c r="F276" i="20"/>
  <c r="F275" i="20"/>
  <c r="F274" i="20"/>
  <c r="F273" i="20"/>
  <c r="F272" i="20"/>
  <c r="F271" i="20"/>
  <c r="F270" i="20"/>
  <c r="F269" i="20"/>
  <c r="F268" i="20"/>
  <c r="F267" i="20"/>
  <c r="F266" i="20"/>
  <c r="F265" i="20"/>
  <c r="F264" i="20"/>
  <c r="F263" i="20"/>
  <c r="F262" i="20"/>
  <c r="F261" i="20"/>
  <c r="F260" i="20"/>
  <c r="F259" i="20"/>
  <c r="F258" i="20"/>
  <c r="F257" i="20"/>
  <c r="F256" i="20"/>
  <c r="F255" i="20"/>
  <c r="F254" i="20"/>
  <c r="F253" i="20"/>
  <c r="F252" i="20"/>
  <c r="F251" i="20"/>
  <c r="F250" i="20"/>
  <c r="F249" i="20"/>
  <c r="F248" i="20"/>
  <c r="F247" i="20"/>
  <c r="F246" i="20"/>
  <c r="F245" i="20"/>
  <c r="F244" i="20"/>
  <c r="F243" i="20"/>
  <c r="F242" i="20"/>
  <c r="F241" i="20"/>
  <c r="F240" i="20"/>
  <c r="F239" i="20"/>
  <c r="F238" i="20"/>
  <c r="F237" i="20"/>
  <c r="F236" i="20"/>
  <c r="F235" i="20"/>
  <c r="F234" i="20"/>
  <c r="F233" i="20"/>
  <c r="F232" i="20"/>
  <c r="F231" i="20"/>
  <c r="F230" i="20"/>
  <c r="F229" i="20"/>
  <c r="F228" i="20"/>
  <c r="F227" i="20"/>
  <c r="F226" i="20"/>
  <c r="F225" i="20"/>
  <c r="F224" i="20"/>
  <c r="F223" i="20"/>
  <c r="F222" i="20"/>
  <c r="F221" i="20"/>
  <c r="F220" i="20"/>
  <c r="F219" i="20"/>
  <c r="F218" i="20"/>
  <c r="F217" i="20"/>
  <c r="F216" i="20"/>
  <c r="F215" i="20"/>
  <c r="F214" i="20"/>
  <c r="F213" i="20"/>
  <c r="F212" i="20"/>
  <c r="F211" i="20"/>
  <c r="F210" i="20"/>
  <c r="F209" i="20"/>
  <c r="F208" i="20"/>
  <c r="F207" i="20"/>
  <c r="F206" i="20"/>
  <c r="F205" i="20"/>
  <c r="F204" i="20"/>
  <c r="F203" i="20"/>
  <c r="F202" i="20"/>
  <c r="F201" i="20"/>
  <c r="F200" i="20"/>
  <c r="F199" i="20"/>
  <c r="F198" i="20"/>
  <c r="F197" i="20"/>
  <c r="F196" i="20"/>
  <c r="F195" i="20"/>
  <c r="F194" i="20"/>
  <c r="F193" i="20"/>
  <c r="F192" i="20"/>
  <c r="F191" i="20"/>
  <c r="F190" i="20"/>
  <c r="F189" i="20"/>
  <c r="F188" i="20"/>
  <c r="F187" i="20"/>
  <c r="F186" i="20"/>
  <c r="F185" i="20"/>
  <c r="F184" i="20"/>
  <c r="F183" i="20"/>
  <c r="F182" i="20"/>
  <c r="F181" i="20"/>
  <c r="F180" i="20"/>
  <c r="F179" i="20"/>
  <c r="F178" i="20"/>
  <c r="F177" i="20"/>
  <c r="F176" i="20"/>
  <c r="F175" i="20"/>
  <c r="F174" i="20"/>
  <c r="F173" i="20"/>
  <c r="F172" i="20"/>
  <c r="F171" i="20"/>
  <c r="F170" i="20"/>
  <c r="F169" i="20"/>
  <c r="F168" i="20"/>
  <c r="F167" i="20"/>
  <c r="F166" i="20"/>
  <c r="F165" i="20"/>
  <c r="F164" i="20"/>
  <c r="F163" i="20"/>
  <c r="F162" i="20"/>
  <c r="F161" i="20"/>
  <c r="F160" i="20"/>
  <c r="F159" i="20"/>
  <c r="F158" i="20"/>
  <c r="F157" i="20"/>
  <c r="F156" i="20"/>
  <c r="F155" i="20"/>
  <c r="F154" i="20"/>
  <c r="F153" i="20"/>
  <c r="F152" i="20"/>
  <c r="F151" i="20"/>
  <c r="F150" i="20"/>
  <c r="F149" i="20"/>
  <c r="F148" i="20"/>
  <c r="F147" i="20"/>
  <c r="F146" i="20"/>
  <c r="F145" i="20"/>
  <c r="F144" i="20"/>
  <c r="F143" i="20"/>
  <c r="F142" i="20"/>
  <c r="F141" i="20"/>
  <c r="F140" i="20"/>
  <c r="F139" i="20"/>
  <c r="F138" i="20"/>
  <c r="F137" i="20"/>
  <c r="F136" i="20"/>
  <c r="F131" i="20"/>
  <c r="F130" i="20"/>
  <c r="F129" i="20"/>
  <c r="F128" i="20"/>
  <c r="F127" i="20"/>
  <c r="F122" i="20"/>
  <c r="F112" i="20"/>
  <c r="F86" i="20"/>
  <c r="F85" i="20"/>
  <c r="F84" i="20"/>
  <c r="F83" i="20"/>
  <c r="F82" i="20"/>
  <c r="F81" i="20"/>
  <c r="F80" i="20"/>
  <c r="F78" i="20"/>
  <c r="F75" i="20"/>
  <c r="F72" i="20"/>
  <c r="F69" i="20"/>
  <c r="F66" i="20"/>
  <c r="F63" i="20"/>
  <c r="F62" i="20"/>
  <c r="F61" i="20"/>
  <c r="F58" i="20"/>
  <c r="F57" i="20"/>
  <c r="F40" i="20"/>
  <c r="F39" i="20"/>
  <c r="F38" i="20"/>
  <c r="F35" i="20"/>
  <c r="F34" i="20"/>
  <c r="F29" i="20"/>
  <c r="F26" i="20"/>
  <c r="F25" i="20"/>
  <c r="C25" i="20" s="1"/>
  <c r="F23" i="20"/>
  <c r="F22" i="20"/>
  <c r="F9" i="20"/>
  <c r="F320" i="60"/>
  <c r="F319" i="60"/>
  <c r="F318" i="60"/>
  <c r="F317" i="60"/>
  <c r="F316" i="60"/>
  <c r="F315" i="60"/>
  <c r="F314" i="60"/>
  <c r="F313" i="60"/>
  <c r="F312" i="60"/>
  <c r="F311" i="60"/>
  <c r="F310" i="60"/>
  <c r="F309" i="60"/>
  <c r="F308" i="60"/>
  <c r="F307" i="60"/>
  <c r="F306" i="60"/>
  <c r="F305" i="60"/>
  <c r="F304" i="60"/>
  <c r="F303" i="60"/>
  <c r="F302" i="60"/>
  <c r="F301" i="60"/>
  <c r="F300" i="60"/>
  <c r="F299" i="60"/>
  <c r="F298" i="60"/>
  <c r="F297" i="60"/>
  <c r="F296" i="60"/>
  <c r="F295" i="60"/>
  <c r="F294" i="60"/>
  <c r="F293" i="60"/>
  <c r="F292" i="60"/>
  <c r="F291" i="60"/>
  <c r="F290" i="60"/>
  <c r="F289" i="60"/>
  <c r="F288" i="60"/>
  <c r="F287" i="60"/>
  <c r="F286" i="60"/>
  <c r="F285" i="60"/>
  <c r="F284" i="60"/>
  <c r="F283" i="60"/>
  <c r="F282" i="60"/>
  <c r="F281" i="60"/>
  <c r="F280" i="60"/>
  <c r="F279" i="60"/>
  <c r="F278" i="60"/>
  <c r="F277" i="60"/>
  <c r="F276" i="60"/>
  <c r="F275" i="60"/>
  <c r="F274" i="60"/>
  <c r="F273" i="60"/>
  <c r="F272" i="60"/>
  <c r="F271" i="60"/>
  <c r="F270" i="60"/>
  <c r="F269" i="60"/>
  <c r="F268" i="60"/>
  <c r="F267" i="60"/>
  <c r="F266" i="60"/>
  <c r="F265" i="60"/>
  <c r="F264" i="60"/>
  <c r="F263" i="60"/>
  <c r="F262" i="60"/>
  <c r="F261" i="60"/>
  <c r="F260" i="60"/>
  <c r="F259" i="60"/>
  <c r="F258" i="60"/>
  <c r="F257" i="60"/>
  <c r="F256" i="60"/>
  <c r="F255" i="60"/>
  <c r="F254" i="60"/>
  <c r="F253" i="60"/>
  <c r="F252" i="60"/>
  <c r="F251" i="60"/>
  <c r="F250" i="60"/>
  <c r="F249" i="60"/>
  <c r="F248" i="60"/>
  <c r="F247" i="60"/>
  <c r="F246" i="60"/>
  <c r="F245" i="60"/>
  <c r="F244" i="60"/>
  <c r="F243" i="60"/>
  <c r="F242" i="60"/>
  <c r="F241" i="60"/>
  <c r="F240" i="60"/>
  <c r="F239" i="60"/>
  <c r="F238" i="60"/>
  <c r="F237" i="60"/>
  <c r="F236" i="60"/>
  <c r="F235" i="60"/>
  <c r="F234" i="60"/>
  <c r="F233" i="60"/>
  <c r="F232" i="60"/>
  <c r="F231" i="60"/>
  <c r="F230" i="60"/>
  <c r="F229" i="60"/>
  <c r="F228" i="60"/>
  <c r="F227" i="60"/>
  <c r="F226" i="60"/>
  <c r="F225" i="60"/>
  <c r="F224" i="60"/>
  <c r="F223" i="60"/>
  <c r="F222" i="60"/>
  <c r="F221" i="60"/>
  <c r="F220" i="60"/>
  <c r="F219" i="60"/>
  <c r="F218" i="60"/>
  <c r="F217" i="60"/>
  <c r="F216" i="60"/>
  <c r="F215" i="60"/>
  <c r="F214" i="60"/>
  <c r="F213" i="60"/>
  <c r="F212" i="60"/>
  <c r="F211" i="60"/>
  <c r="F210" i="60"/>
  <c r="F209" i="60"/>
  <c r="F208" i="60"/>
  <c r="F207" i="60"/>
  <c r="F206" i="60"/>
  <c r="F205" i="60"/>
  <c r="F204" i="60"/>
  <c r="F203" i="60"/>
  <c r="F202" i="60"/>
  <c r="F201" i="60"/>
  <c r="F200" i="60"/>
  <c r="F199" i="60"/>
  <c r="F198" i="60"/>
  <c r="F197" i="60"/>
  <c r="F196" i="60"/>
  <c r="F195" i="60"/>
  <c r="F194" i="60"/>
  <c r="F193" i="60"/>
  <c r="F192" i="60"/>
  <c r="F191" i="60"/>
  <c r="F190" i="60"/>
  <c r="F189" i="60"/>
  <c r="F188" i="60"/>
  <c r="F187" i="60"/>
  <c r="F186" i="60"/>
  <c r="F185" i="60"/>
  <c r="F184" i="60"/>
  <c r="F183" i="60"/>
  <c r="F182" i="60"/>
  <c r="F181" i="60"/>
  <c r="F180" i="60"/>
  <c r="F179" i="60"/>
  <c r="F178" i="60"/>
  <c r="F177" i="60"/>
  <c r="F176" i="60"/>
  <c r="F175" i="60"/>
  <c r="F174" i="60"/>
  <c r="F173" i="60"/>
  <c r="F172" i="60"/>
  <c r="F171" i="60"/>
  <c r="F170" i="60"/>
  <c r="F169" i="60"/>
  <c r="F168" i="60"/>
  <c r="F167" i="60"/>
  <c r="F166" i="60"/>
  <c r="F165" i="60"/>
  <c r="F164" i="60"/>
  <c r="F163" i="60"/>
  <c r="F162" i="60"/>
  <c r="F161" i="60"/>
  <c r="F160" i="60"/>
  <c r="F159" i="60"/>
  <c r="F158" i="60"/>
  <c r="F157" i="60"/>
  <c r="F156" i="60"/>
  <c r="F155" i="60"/>
  <c r="F154" i="60"/>
  <c r="F153" i="60"/>
  <c r="F152" i="60"/>
  <c r="F151" i="60"/>
  <c r="F150" i="60"/>
  <c r="F149" i="60"/>
  <c r="F148" i="60"/>
  <c r="F147" i="60"/>
  <c r="F146" i="60"/>
  <c r="F145" i="60"/>
  <c r="F144" i="60"/>
  <c r="F143" i="60"/>
  <c r="F142" i="60"/>
  <c r="F141" i="60"/>
  <c r="F140" i="60"/>
  <c r="F139" i="60"/>
  <c r="F138" i="60"/>
  <c r="F137" i="60"/>
  <c r="F136" i="60"/>
  <c r="F135" i="60"/>
  <c r="F134" i="60"/>
  <c r="F133" i="60"/>
  <c r="F132" i="60"/>
  <c r="F131" i="60"/>
  <c r="F130" i="60"/>
  <c r="F129" i="60"/>
  <c r="F128" i="60"/>
  <c r="F127" i="60"/>
  <c r="F126" i="60"/>
  <c r="F125" i="60"/>
  <c r="F124" i="60"/>
  <c r="F123" i="60"/>
  <c r="F122" i="60"/>
  <c r="F121" i="60"/>
  <c r="F120" i="60"/>
  <c r="F119" i="60"/>
  <c r="F118" i="60"/>
  <c r="F117" i="60"/>
  <c r="F116" i="60"/>
  <c r="F115" i="60"/>
  <c r="F114" i="60"/>
  <c r="F113" i="60"/>
  <c r="F112" i="60"/>
  <c r="F111" i="60"/>
  <c r="F110" i="60"/>
  <c r="F109" i="60"/>
  <c r="F108" i="60"/>
  <c r="F107" i="60"/>
  <c r="F106" i="60"/>
  <c r="F105" i="60"/>
  <c r="F104" i="60"/>
  <c r="F103" i="60"/>
  <c r="F102" i="60"/>
  <c r="F101" i="60"/>
  <c r="F100" i="60"/>
  <c r="F99" i="60"/>
  <c r="F98" i="60"/>
  <c r="F97" i="60"/>
  <c r="F96" i="60"/>
  <c r="F95" i="60"/>
  <c r="F94" i="60"/>
  <c r="F93" i="60"/>
  <c r="F92" i="60"/>
  <c r="F91" i="60"/>
  <c r="F90" i="60"/>
  <c r="F89" i="60"/>
  <c r="F88" i="60"/>
  <c r="F87" i="60"/>
  <c r="F86" i="60"/>
  <c r="F81" i="60"/>
  <c r="F80" i="60"/>
  <c r="F79" i="60"/>
  <c r="F78" i="60"/>
  <c r="F77" i="60"/>
  <c r="F72" i="60"/>
  <c r="F69" i="60"/>
  <c r="F66" i="60"/>
  <c r="F63" i="60"/>
  <c r="F60" i="60"/>
  <c r="F57" i="60"/>
  <c r="F56" i="60"/>
  <c r="F55" i="60"/>
  <c r="F52" i="60"/>
  <c r="F51" i="60"/>
  <c r="F39" i="60"/>
  <c r="C39" i="60" s="1"/>
  <c r="F38" i="60"/>
  <c r="C38" i="60" s="1"/>
  <c r="F37" i="60"/>
  <c r="C37" i="60" s="1"/>
  <c r="F34" i="60"/>
  <c r="F33" i="60"/>
  <c r="F32" i="60"/>
  <c r="F26" i="60"/>
  <c r="F23" i="60"/>
  <c r="F22" i="60"/>
  <c r="F20" i="60"/>
  <c r="F9" i="60"/>
  <c r="E81" i="57"/>
  <c r="H24" i="57"/>
  <c r="E80" i="57"/>
  <c r="H19" i="57"/>
  <c r="F50" i="20" s="1"/>
  <c r="C35" i="20" l="1"/>
  <c r="F49" i="20"/>
  <c r="C34" i="60"/>
  <c r="F92" i="20"/>
  <c r="C19" i="20"/>
  <c r="C15" i="20"/>
  <c r="C19" i="60"/>
  <c r="C15" i="60"/>
  <c r="C13" i="60"/>
  <c r="C13" i="20"/>
  <c r="C17" i="20"/>
  <c r="F108" i="20"/>
  <c r="C108" i="20" s="1"/>
  <c r="F49" i="60"/>
  <c r="E77" i="57"/>
  <c r="F48" i="60"/>
  <c r="C117" i="20" l="1"/>
  <c r="C116" i="20"/>
  <c r="V34" i="58"/>
  <c r="V33" i="58"/>
  <c r="V32" i="58"/>
  <c r="I29" i="21" s="1"/>
  <c r="V31" i="58"/>
  <c r="V30" i="58"/>
  <c r="D117" i="20"/>
  <c r="D116" i="20"/>
  <c r="P18" i="58"/>
  <c r="P17" i="58"/>
  <c r="D125" i="20"/>
  <c r="D126" i="20"/>
  <c r="D127" i="20"/>
  <c r="D128" i="20"/>
  <c r="D129" i="20"/>
  <c r="D124" i="20"/>
  <c r="D75" i="60"/>
  <c r="D76" i="60"/>
  <c r="D77" i="60"/>
  <c r="D78" i="60"/>
  <c r="D79" i="60"/>
  <c r="D74" i="60"/>
  <c r="H45" i="60"/>
  <c r="C45" i="60" s="1"/>
  <c r="J19" i="58"/>
  <c r="J18" i="58"/>
  <c r="J21" i="58"/>
  <c r="I28" i="21" s="1"/>
  <c r="J20" i="58"/>
  <c r="I27" i="21" s="1"/>
  <c r="J23" i="58"/>
  <c r="J22" i="58"/>
  <c r="J27" i="58"/>
  <c r="J26" i="58"/>
  <c r="J25" i="58"/>
  <c r="J24" i="58"/>
  <c r="I14" i="21" l="1"/>
  <c r="G14" i="21"/>
  <c r="G13" i="21"/>
  <c r="G12" i="21"/>
  <c r="G11" i="21"/>
  <c r="J52" i="36"/>
  <c r="F52" i="36"/>
  <c r="J51" i="36"/>
  <c r="F51" i="36"/>
  <c r="J50" i="36"/>
  <c r="F50" i="36"/>
  <c r="F44" i="36"/>
  <c r="J44" i="36"/>
  <c r="F45" i="36"/>
  <c r="J45" i="36"/>
  <c r="F46" i="36"/>
  <c r="J46" i="36"/>
  <c r="J40" i="36"/>
  <c r="F40" i="36"/>
  <c r="J39" i="36"/>
  <c r="F39" i="36"/>
  <c r="J38" i="36"/>
  <c r="F38" i="36"/>
  <c r="F32" i="36"/>
  <c r="J32" i="36"/>
  <c r="F33" i="36"/>
  <c r="J33" i="36"/>
  <c r="F34" i="36"/>
  <c r="J34" i="36"/>
  <c r="F26" i="36"/>
  <c r="J26" i="36"/>
  <c r="F27" i="36"/>
  <c r="J27" i="36"/>
  <c r="F28" i="36"/>
  <c r="J28" i="36"/>
  <c r="D63" i="57"/>
  <c r="D336" i="57"/>
  <c r="D335" i="57"/>
  <c r="H26" i="21" l="1"/>
  <c r="H25" i="21"/>
  <c r="G28" i="21"/>
  <c r="K27" i="21"/>
  <c r="J27" i="21"/>
  <c r="K26" i="21"/>
  <c r="G26" i="21"/>
  <c r="H27" i="21"/>
  <c r="K25" i="21"/>
  <c r="G25" i="21"/>
  <c r="J29" i="21"/>
  <c r="H29" i="21"/>
  <c r="G29" i="21"/>
  <c r="K28" i="21"/>
  <c r="J28" i="21"/>
  <c r="H28" i="21"/>
  <c r="G27" i="21"/>
  <c r="G10" i="21"/>
  <c r="I10" i="21" s="1"/>
  <c r="B3" i="21"/>
  <c r="G42" i="57" l="1"/>
  <c r="C251" i="57" l="1"/>
  <c r="C172" i="57"/>
  <c r="B172" i="57"/>
  <c r="D172" i="57"/>
  <c r="B251" i="57"/>
  <c r="D251" i="57"/>
  <c r="D93" i="57"/>
  <c r="C93" i="57"/>
  <c r="B93" i="57"/>
  <c r="AC7" i="68"/>
  <c r="AC6" i="68"/>
  <c r="AB3" i="32" a="1"/>
  <c r="AB3" i="32"/>
  <c r="AB4" i="32" a="1"/>
  <c r="AB4" i="32" s="1"/>
  <c r="AB5" i="32" a="1"/>
  <c r="AB5" i="32" s="1"/>
  <c r="AB6" i="32" a="1"/>
  <c r="AB6" i="32"/>
  <c r="AB7" i="32" a="1"/>
  <c r="AB7" i="32"/>
  <c r="AB8" i="32" a="1"/>
  <c r="AB8" i="32"/>
  <c r="AB9" i="32" a="1"/>
  <c r="AB9" i="32"/>
  <c r="AB10" i="32" a="1"/>
  <c r="AB10" i="32"/>
  <c r="AB11" i="32" a="1"/>
  <c r="AB11" i="32"/>
  <c r="AB12" i="32" a="1"/>
  <c r="AB12" i="32"/>
  <c r="AB13" i="32" a="1"/>
  <c r="AB13" i="32"/>
  <c r="AB14" i="32" a="1"/>
  <c r="AB14" i="32"/>
  <c r="AB15" i="32" a="1"/>
  <c r="AB15" i="32" s="1"/>
  <c r="AB16" i="32" a="1"/>
  <c r="AB16" i="32"/>
  <c r="AB17" i="32" a="1"/>
  <c r="AB17" i="32" s="1"/>
  <c r="AB18" i="32" a="1"/>
  <c r="AB18" i="32" s="1"/>
  <c r="AB19" i="32" a="1"/>
  <c r="AB19" i="32"/>
  <c r="AB20" i="32" a="1"/>
  <c r="AB20" i="32"/>
  <c r="AB21" i="32" a="1"/>
  <c r="AB21" i="32"/>
  <c r="AB22" i="32" a="1"/>
  <c r="AB22" i="32" s="1"/>
  <c r="AB23" i="32" a="1"/>
  <c r="AB23" i="32" s="1"/>
  <c r="AB24" i="32" a="1"/>
  <c r="AB24" i="32" s="1"/>
  <c r="AB25" i="32" a="1"/>
  <c r="AB25" i="32" s="1"/>
  <c r="AB26" i="32" a="1"/>
  <c r="AB26" i="32" s="1"/>
  <c r="AB27" i="32" a="1"/>
  <c r="AB27" i="32" s="1"/>
  <c r="AB28" i="32" a="1"/>
  <c r="AB28" i="32" s="1"/>
  <c r="AB29" i="32" a="1"/>
  <c r="AB29" i="32"/>
  <c r="AB30" i="32" a="1"/>
  <c r="AB30" i="32"/>
  <c r="AB31" i="32" a="1"/>
  <c r="AB31" i="32"/>
  <c r="AB32" i="32" a="1"/>
  <c r="AB32" i="32" s="1"/>
  <c r="AB33" i="32" a="1"/>
  <c r="AB33" i="32"/>
  <c r="AB34" i="32" a="1"/>
  <c r="AB34" i="32" s="1"/>
  <c r="AB35" i="32" a="1"/>
  <c r="AB35" i="32"/>
  <c r="AB36" i="32" a="1"/>
  <c r="AB36" i="32"/>
  <c r="AB37" i="32" a="1"/>
  <c r="AB37" i="32"/>
  <c r="AB38" i="32" a="1"/>
  <c r="AB38" i="32"/>
  <c r="AB39" i="32" a="1"/>
  <c r="AB39" i="32"/>
  <c r="AB40" i="32" a="1"/>
  <c r="AB40" i="32"/>
  <c r="AB41" i="32" a="1"/>
  <c r="AB41" i="32"/>
  <c r="AB42" i="32" a="1"/>
  <c r="AB42" i="32"/>
  <c r="AB43" i="32" a="1"/>
  <c r="AB43" i="32"/>
  <c r="AB44" i="32" a="1"/>
  <c r="AB44" i="32" s="1"/>
  <c r="AB45" i="32" a="1"/>
  <c r="AB45" i="32"/>
  <c r="AB46" i="32" a="1"/>
  <c r="AB46" i="32" s="1"/>
  <c r="AB47" i="32" a="1"/>
  <c r="AB47" i="32"/>
  <c r="AB48" i="32" a="1"/>
  <c r="AB48" i="32" s="1"/>
  <c r="AB49" i="32" a="1"/>
  <c r="AB49" i="32"/>
  <c r="AB50" i="32" a="1"/>
  <c r="AB50" i="32" s="1"/>
  <c r="AB51" i="32" a="1"/>
  <c r="AB51" i="32" s="1"/>
  <c r="AB52" i="32" a="1"/>
  <c r="AB52" i="32" s="1"/>
  <c r="AB53" i="32" a="1"/>
  <c r="AB53" i="32" s="1"/>
  <c r="AB54" i="32" a="1"/>
  <c r="AB54" i="32" s="1"/>
  <c r="AB55" i="32" a="1"/>
  <c r="AB55" i="32" s="1"/>
  <c r="AB56" i="32" a="1"/>
  <c r="AB56" i="32" s="1"/>
  <c r="AB57" i="32" a="1"/>
  <c r="AB57" i="32" s="1"/>
  <c r="AB58" i="32" a="1"/>
  <c r="AB58" i="32"/>
  <c r="AB59" i="32" a="1"/>
  <c r="AB59" i="32"/>
  <c r="AB60" i="32" a="1"/>
  <c r="AB60" i="32" s="1"/>
  <c r="AB61" i="32" a="1"/>
  <c r="AB61" i="32" s="1"/>
  <c r="AB62" i="32" a="1"/>
  <c r="AB62" i="32"/>
  <c r="AB63" i="32" a="1"/>
  <c r="AB63" i="32" s="1"/>
  <c r="AB64" i="32" a="1"/>
  <c r="AB64" i="32"/>
  <c r="AB65" i="32" a="1"/>
  <c r="AB65" i="32"/>
  <c r="AB66" i="32" a="1"/>
  <c r="AB66" i="32"/>
  <c r="AB67" i="32" a="1"/>
  <c r="AB67" i="32"/>
  <c r="AB68" i="32" a="1"/>
  <c r="AB68" i="32"/>
  <c r="AB69" i="32" a="1"/>
  <c r="AB69" i="32"/>
  <c r="AB70" i="32" a="1"/>
  <c r="AB70" i="32"/>
  <c r="AB71" i="32" a="1"/>
  <c r="AB71" i="32"/>
  <c r="AB72" i="32" a="1"/>
  <c r="AB72" i="32"/>
  <c r="AB73" i="32" a="1"/>
  <c r="AB73" i="32" s="1"/>
  <c r="AB74" i="32" a="1"/>
  <c r="AB74" i="32" s="1"/>
  <c r="AB75" i="32" a="1"/>
  <c r="AB75" i="32"/>
  <c r="AB76" i="32" a="1"/>
  <c r="AB76" i="32"/>
  <c r="AB77" i="32" a="1"/>
  <c r="AB77" i="32"/>
  <c r="AB78" i="32" a="1"/>
  <c r="AB78" i="32"/>
  <c r="AB79" i="32" a="1"/>
  <c r="AB79" i="32"/>
  <c r="AB80" i="32" a="1"/>
  <c r="AB80" i="32" s="1"/>
  <c r="AB81" i="32" a="1"/>
  <c r="AB81" i="32" s="1"/>
  <c r="AB82" i="32" a="1"/>
  <c r="AB82" i="32" s="1"/>
  <c r="AB83" i="32" a="1"/>
  <c r="AB83" i="32" s="1"/>
  <c r="AB84" i="32" a="1"/>
  <c r="AB84" i="32" s="1"/>
  <c r="AB85" i="32" a="1"/>
  <c r="AB85" i="32" s="1"/>
  <c r="AB86" i="32" a="1"/>
  <c r="AB86" i="32" s="1"/>
  <c r="AB87" i="32" a="1"/>
  <c r="AB87" i="32"/>
  <c r="AB88" i="32" a="1"/>
  <c r="AB88" i="32" s="1"/>
  <c r="AB89" i="32" a="1"/>
  <c r="AB89" i="32"/>
  <c r="AB90" i="32" a="1"/>
  <c r="AB90" i="32" s="1"/>
  <c r="AB91" i="32" a="1"/>
  <c r="AB91" i="32"/>
  <c r="AB92" i="32" a="1"/>
  <c r="AB92" i="32" s="1"/>
  <c r="AB93" i="32" a="1"/>
  <c r="AB93" i="32"/>
  <c r="AB94" i="32" a="1"/>
  <c r="AB94" i="32"/>
  <c r="AB95" i="32" a="1"/>
  <c r="AB95" i="32"/>
  <c r="AB96" i="32" a="1"/>
  <c r="AB96" i="32"/>
  <c r="AB97" i="32" a="1"/>
  <c r="AB97" i="32"/>
  <c r="AB98" i="32" a="1"/>
  <c r="AB98" i="32"/>
  <c r="AB99" i="32" a="1"/>
  <c r="AB99" i="32"/>
  <c r="AB100" i="32" a="1"/>
  <c r="AB100" i="32"/>
  <c r="AB101" i="32" a="1"/>
  <c r="AB101" i="32"/>
  <c r="AB102" i="32" a="1"/>
  <c r="AB102" i="32" s="1"/>
  <c r="AB103" i="32" a="1"/>
  <c r="AB103" i="32"/>
  <c r="AB104" i="32" a="1"/>
  <c r="AB104" i="32"/>
  <c r="AB105" i="32" a="1"/>
  <c r="AB105" i="32"/>
  <c r="AB106" i="32" a="1"/>
  <c r="AB106" i="32"/>
  <c r="AB107" i="32" a="1"/>
  <c r="AB107" i="32"/>
  <c r="AB108" i="32" a="1"/>
  <c r="AB108" i="32"/>
  <c r="AB109" i="32" a="1"/>
  <c r="AB109" i="32" s="1"/>
  <c r="AB110" i="32" a="1"/>
  <c r="AB110" i="32" s="1"/>
  <c r="AB111" i="32" a="1"/>
  <c r="AB111" i="32" s="1"/>
  <c r="AB112" i="32" a="1"/>
  <c r="AB112" i="32" s="1"/>
  <c r="AB113" i="32" a="1"/>
  <c r="AB113" i="32" s="1"/>
  <c r="AB114" i="32" a="1"/>
  <c r="AB114" i="32" s="1"/>
  <c r="AB115" i="32" a="1"/>
  <c r="AB115" i="32" s="1"/>
  <c r="AB116" i="32" a="1"/>
  <c r="AB116" i="32" s="1"/>
  <c r="AB117" i="32" a="1"/>
  <c r="AB117" i="32" s="1"/>
  <c r="AB118" i="32" a="1"/>
  <c r="AB118" i="32"/>
  <c r="AB119" i="32" a="1"/>
  <c r="AB119" i="32" s="1"/>
  <c r="AB120" i="32" a="1"/>
  <c r="AB120" i="32"/>
  <c r="AB121" i="32" a="1"/>
  <c r="AB121" i="32" s="1"/>
  <c r="AB122" i="32" a="1"/>
  <c r="AB122" i="32"/>
  <c r="AB123" i="32" a="1"/>
  <c r="AB123" i="32"/>
  <c r="AB124" i="32" a="1"/>
  <c r="AB124" i="32"/>
  <c r="AB125" i="32" a="1"/>
  <c r="AB125" i="32"/>
  <c r="AB126" i="32" a="1"/>
  <c r="AB126" i="32"/>
  <c r="AB127" i="32" a="1"/>
  <c r="AB127" i="32"/>
  <c r="AB128" i="32" a="1"/>
  <c r="AB128" i="32"/>
  <c r="AB129" i="32" a="1"/>
  <c r="AB129" i="32"/>
  <c r="AB130" i="32" a="1"/>
  <c r="AB130" i="32" s="1"/>
  <c r="AB131" i="32" a="1"/>
  <c r="AB131" i="32"/>
  <c r="AB132" i="32" a="1"/>
  <c r="AB132" i="32"/>
  <c r="AB133" i="32" a="1"/>
  <c r="AB133" i="32"/>
  <c r="AB134" i="32" a="1"/>
  <c r="AB134" i="32"/>
  <c r="AB135" i="32" a="1"/>
  <c r="AB135" i="32"/>
  <c r="AB136" i="32" a="1"/>
  <c r="AB136" i="32"/>
  <c r="AB137" i="32" a="1"/>
  <c r="AB137" i="32"/>
  <c r="AB138" i="32" a="1"/>
  <c r="AB138" i="32" s="1"/>
  <c r="AB139" i="32" a="1"/>
  <c r="AB139" i="32" s="1"/>
  <c r="AB140" i="32" a="1"/>
  <c r="AB140" i="32" s="1"/>
  <c r="AB141" i="32" a="1"/>
  <c r="AB141" i="32" s="1"/>
  <c r="AB142" i="32" a="1"/>
  <c r="AB142" i="32" s="1"/>
  <c r="AB143" i="32" a="1"/>
  <c r="AB143" i="32" s="1"/>
  <c r="AB144" i="32" a="1"/>
  <c r="AB144" i="32" s="1"/>
  <c r="AB145" i="32" a="1"/>
  <c r="AB145" i="32"/>
  <c r="AB146" i="32" a="1"/>
  <c r="AB146" i="32" s="1"/>
  <c r="AB147" i="32" a="1"/>
  <c r="AB147" i="32"/>
  <c r="AB148" i="32" a="1"/>
  <c r="AB148" i="32" s="1"/>
  <c r="AB149" i="32" a="1"/>
  <c r="AB149" i="32"/>
  <c r="AB150" i="32" a="1"/>
  <c r="AB150" i="32" s="1"/>
  <c r="AB151" i="32" a="1"/>
  <c r="AB151" i="32"/>
  <c r="AB152" i="32" a="1"/>
  <c r="AB152" i="32"/>
  <c r="AB153" i="32" a="1"/>
  <c r="AB153" i="32"/>
  <c r="AB154" i="32" a="1"/>
  <c r="AB154" i="32"/>
  <c r="AB155" i="32" a="1"/>
  <c r="AB155" i="32"/>
  <c r="AB156" i="32" a="1"/>
  <c r="AB156" i="32"/>
  <c r="AB157" i="32" a="1"/>
  <c r="AB157" i="32"/>
  <c r="AB158" i="32" a="1"/>
  <c r="AB158" i="32" s="1"/>
  <c r="AB159" i="32" a="1"/>
  <c r="AB159" i="32" s="1"/>
  <c r="AB160" i="32" a="1"/>
  <c r="AB160" i="32"/>
  <c r="AB161" i="32" a="1"/>
  <c r="AB161" i="32"/>
  <c r="AB162" i="32" a="1"/>
  <c r="AB162" i="32"/>
  <c r="AB163" i="32" a="1"/>
  <c r="AB163" i="32"/>
  <c r="AB164" i="32" a="1"/>
  <c r="AB164" i="32" s="1"/>
  <c r="AB165" i="32" a="1"/>
  <c r="AB165" i="32"/>
  <c r="AB166" i="32" a="1"/>
  <c r="AB166" i="32"/>
  <c r="AB167" i="32" a="1"/>
  <c r="AB167" i="32" s="1"/>
  <c r="AB168" i="32" a="1"/>
  <c r="AB168" i="32" s="1"/>
  <c r="AB169" i="32" a="1"/>
  <c r="AB169" i="32" s="1"/>
  <c r="AB170" i="32" a="1"/>
  <c r="AB170" i="32" s="1"/>
  <c r="AB171" i="32" a="1"/>
  <c r="AB171" i="32" s="1"/>
  <c r="AB172" i="32" a="1"/>
  <c r="AB172" i="32" s="1"/>
  <c r="AB173" i="32" a="1"/>
  <c r="AB173" i="32"/>
  <c r="AB174" i="32" a="1"/>
  <c r="AB174" i="32"/>
  <c r="AB175" i="32" a="1"/>
  <c r="AB175" i="32" s="1"/>
  <c r="AB176" i="32" a="1"/>
  <c r="AB176" i="32"/>
  <c r="AB177" i="32" a="1"/>
  <c r="AB177" i="32" s="1"/>
  <c r="AB178" i="32" a="1"/>
  <c r="AB178" i="32"/>
  <c r="AB179" i="32" a="1"/>
  <c r="AB179" i="32" s="1"/>
  <c r="AB180" i="32" a="1"/>
  <c r="AB180" i="32"/>
  <c r="AB181" i="32" a="1"/>
  <c r="AB181" i="32"/>
  <c r="AB182" i="32" a="1"/>
  <c r="AB182" i="32"/>
  <c r="AB183" i="32" a="1"/>
  <c r="AB183" i="32"/>
  <c r="AB184" i="32" a="1"/>
  <c r="AB184" i="32"/>
  <c r="AB185" i="32" a="1"/>
  <c r="AB185" i="32"/>
  <c r="AB186" i="32" a="1"/>
  <c r="AB186" i="32" s="1"/>
  <c r="AB187" i="32" a="1"/>
  <c r="AB187" i="32" s="1"/>
  <c r="AB188" i="32" a="1"/>
  <c r="AB188" i="32" s="1"/>
  <c r="AB189" i="32" a="1"/>
  <c r="AB189" i="32"/>
  <c r="AB190" i="32" a="1"/>
  <c r="AB190" i="32"/>
  <c r="AB191" i="32" a="1"/>
  <c r="AB191" i="32"/>
  <c r="AB192" i="32" a="1"/>
  <c r="AB192" i="32"/>
  <c r="AB193" i="32" a="1"/>
  <c r="AB193" i="32"/>
  <c r="AB194" i="32" a="1"/>
  <c r="AB194" i="32"/>
  <c r="AB195" i="32" a="1"/>
  <c r="AB195" i="32"/>
  <c r="AB196" i="32" a="1"/>
  <c r="AB196" i="32" s="1"/>
  <c r="AB197" i="32" a="1"/>
  <c r="AB197" i="32" s="1"/>
  <c r="AB198" i="32" a="1"/>
  <c r="AB198" i="32" s="1"/>
  <c r="AB199" i="32" a="1"/>
  <c r="AB199" i="32" s="1"/>
  <c r="AB200" i="32" a="1"/>
  <c r="AB200" i="32" s="1"/>
  <c r="AB201" i="32" a="1"/>
  <c r="AB201" i="32"/>
  <c r="AB202" i="32" a="1"/>
  <c r="AB202" i="32"/>
  <c r="AB203" i="32" a="1"/>
  <c r="AB203" i="32"/>
  <c r="AB204" i="32" a="1"/>
  <c r="AB204" i="32" s="1"/>
  <c r="AB205" i="32" a="1"/>
  <c r="AB205" i="32"/>
  <c r="AB206" i="32" a="1"/>
  <c r="AB206" i="32" s="1"/>
  <c r="AB207" i="32" a="1"/>
  <c r="AB207" i="32"/>
  <c r="AB208" i="32" a="1"/>
  <c r="AB208" i="32" s="1"/>
  <c r="AB209" i="32" a="1"/>
  <c r="AB209" i="32"/>
  <c r="AB210" i="32" a="1"/>
  <c r="AB210" i="32"/>
  <c r="AB211" i="32" a="1"/>
  <c r="AB211" i="32"/>
  <c r="AB212" i="32" a="1"/>
  <c r="AB212" i="32"/>
  <c r="AB213" i="32" a="1"/>
  <c r="AB213" i="32"/>
  <c r="AB214" i="32" a="1"/>
  <c r="AB214" i="32" s="1"/>
  <c r="AB215" i="32" a="1"/>
  <c r="AB215" i="32" s="1"/>
  <c r="AB216" i="32" a="1"/>
  <c r="AB216" i="32" s="1"/>
  <c r="AB217" i="32" a="1"/>
  <c r="AB217" i="32" s="1"/>
  <c r="AB218" i="32" a="1"/>
  <c r="AB218" i="32"/>
  <c r="AB219" i="32" a="1"/>
  <c r="AB219" i="32"/>
  <c r="AB220" i="32" a="1"/>
  <c r="AB220" i="32"/>
  <c r="AB221" i="32" a="1"/>
  <c r="AB221" i="32"/>
  <c r="AB222" i="32" a="1"/>
  <c r="AB222" i="32"/>
  <c r="AB223" i="32" a="1"/>
  <c r="AB223" i="32"/>
  <c r="AB224" i="32" a="1"/>
  <c r="AB224" i="32"/>
  <c r="AB225" i="32" a="1"/>
  <c r="AB225" i="32" s="1"/>
  <c r="AB226" i="32" a="1"/>
  <c r="AB226" i="32" s="1"/>
  <c r="AB227" i="32" a="1"/>
  <c r="AB227" i="32" s="1"/>
  <c r="AB228" i="32" a="1"/>
  <c r="AB228" i="32" s="1"/>
  <c r="AB229" i="32" a="1"/>
  <c r="AB229" i="32"/>
  <c r="AB230" i="32" a="1"/>
  <c r="AB230" i="32"/>
  <c r="AB231" i="32" a="1"/>
  <c r="AB231" i="32"/>
  <c r="AB232" i="32" a="1"/>
  <c r="AB232" i="32"/>
  <c r="AB233" i="32" a="1"/>
  <c r="AB233" i="32" s="1"/>
  <c r="AB234" i="32" a="1"/>
  <c r="AB234" i="32"/>
  <c r="AB235" i="32" a="1"/>
  <c r="AB235" i="32" s="1"/>
  <c r="AB236" i="32" a="1"/>
  <c r="AB236" i="32"/>
  <c r="AB237" i="32" a="1"/>
  <c r="AB237" i="32" s="1"/>
  <c r="AB238" i="32" a="1"/>
  <c r="AB238" i="32"/>
  <c r="AB239" i="32" a="1"/>
  <c r="AB239" i="32"/>
  <c r="AB240" i="32" a="1"/>
  <c r="AB240" i="32"/>
  <c r="AB241" i="32" a="1"/>
  <c r="AB241" i="32"/>
  <c r="AB242" i="32" a="1"/>
  <c r="AB242" i="32" s="1"/>
  <c r="AB243" i="32" a="1"/>
  <c r="AB243" i="32"/>
  <c r="AB244" i="32" a="1"/>
  <c r="AB244" i="32" s="1"/>
  <c r="AB245" i="32" a="1"/>
  <c r="AB245" i="32" s="1"/>
  <c r="AB246" i="32" a="1"/>
  <c r="AB246" i="32" s="1"/>
  <c r="AB247" i="32" a="1"/>
  <c r="AB247" i="32"/>
  <c r="AB248" i="32" a="1"/>
  <c r="AB248" i="32"/>
  <c r="AB249" i="32" a="1"/>
  <c r="AB249" i="32"/>
  <c r="AB250" i="32" a="1"/>
  <c r="AB250" i="32"/>
  <c r="AB251" i="32" a="1"/>
  <c r="AB251" i="32"/>
  <c r="AB252" i="32" a="1"/>
  <c r="AB252" i="32"/>
  <c r="AB253" i="32" a="1"/>
  <c r="AB253" i="32"/>
  <c r="AB254" i="32" a="1"/>
  <c r="AB254" i="32" s="1"/>
  <c r="AB255" i="32" a="1"/>
  <c r="AB255" i="32" s="1"/>
  <c r="AB256" i="32" a="1"/>
  <c r="AB256" i="32" s="1"/>
  <c r="AB257" i="32" a="1"/>
  <c r="AB257" i="32"/>
  <c r="AB258" i="32" a="1"/>
  <c r="AB258" i="32"/>
  <c r="AB259" i="32" a="1"/>
  <c r="AB259" i="32"/>
  <c r="AB260" i="32" a="1"/>
  <c r="AB260" i="32"/>
  <c r="AB261" i="32" a="1"/>
  <c r="AB261" i="32"/>
  <c r="AB262" i="32" a="1"/>
  <c r="AB262" i="32" s="1"/>
  <c r="AB263" i="32" a="1"/>
  <c r="AB263" i="32"/>
  <c r="AB264" i="32" a="1"/>
  <c r="AB264" i="32" s="1"/>
  <c r="AB265" i="32" a="1"/>
  <c r="AB265" i="32"/>
  <c r="AB266" i="32" a="1"/>
  <c r="AB266" i="32" s="1"/>
  <c r="AB267" i="32" a="1"/>
  <c r="AB267" i="32"/>
  <c r="AB268" i="32" a="1"/>
  <c r="AB268" i="32"/>
  <c r="AB269" i="32" a="1"/>
  <c r="AB269" i="32"/>
  <c r="AB270" i="32" a="1"/>
  <c r="AB270" i="32" s="1"/>
  <c r="AB271" i="32" a="1"/>
  <c r="AB271" i="32" s="1"/>
  <c r="AB272" i="32" a="1"/>
  <c r="AB272" i="32"/>
  <c r="AB273" i="32" a="1"/>
  <c r="AB273" i="32" s="1"/>
  <c r="AB274" i="32" a="1"/>
  <c r="AB274" i="32" s="1"/>
  <c r="AB275" i="32" a="1"/>
  <c r="AB275" i="32" s="1"/>
  <c r="AB276" i="32" a="1"/>
  <c r="AB276" i="32"/>
  <c r="AB277" i="32" a="1"/>
  <c r="AB277" i="32"/>
  <c r="AB278" i="32" a="1"/>
  <c r="AB278" i="32"/>
  <c r="AB279" i="32" a="1"/>
  <c r="AB279" i="32"/>
  <c r="AB280" i="32" a="1"/>
  <c r="AB280" i="32"/>
  <c r="AB281" i="32" a="1"/>
  <c r="AB281" i="32"/>
  <c r="AB282" i="32" a="1"/>
  <c r="AB282" i="32"/>
  <c r="AB283" i="32" a="1"/>
  <c r="AB283" i="32" s="1"/>
  <c r="AB284" i="32" a="1"/>
  <c r="AB284" i="32" s="1"/>
  <c r="AB285" i="32" a="1"/>
  <c r="AB285" i="32"/>
  <c r="AB286" i="32" a="1"/>
  <c r="AB286" i="32"/>
  <c r="AB287" i="32" a="1"/>
  <c r="AB287" i="32"/>
  <c r="AB288" i="32" a="1"/>
  <c r="AB288" i="32"/>
  <c r="AB289" i="32" a="1"/>
  <c r="AB289" i="32"/>
  <c r="AB290" i="32" a="1"/>
  <c r="AB290" i="32"/>
  <c r="AB291" i="32" a="1"/>
  <c r="AB291" i="32" s="1"/>
  <c r="AB292" i="32" a="1"/>
  <c r="AB292" i="32"/>
  <c r="AB293" i="32" a="1"/>
  <c r="AB293" i="32" s="1"/>
  <c r="AB294" i="32" a="1"/>
  <c r="AB294" i="32"/>
  <c r="AB295" i="32" a="1"/>
  <c r="AB295" i="32" s="1"/>
  <c r="AB296" i="32" a="1"/>
  <c r="AB296" i="32"/>
  <c r="AB297" i="32" a="1"/>
  <c r="AB297" i="32"/>
  <c r="AB298" i="32" a="1"/>
  <c r="AB298" i="32" s="1"/>
  <c r="AB299" i="32" a="1"/>
  <c r="AB299" i="32" s="1"/>
  <c r="AB300" i="32" a="1"/>
  <c r="AB300" i="32" s="1"/>
  <c r="AB301" i="32" a="1"/>
  <c r="AB301" i="32"/>
  <c r="AB302" i="32" a="1"/>
  <c r="AB302" i="32" s="1"/>
  <c r="AB303" i="32" a="1"/>
  <c r="AB303" i="32" s="1"/>
  <c r="AB304" i="32" a="1"/>
  <c r="AB304" i="32" s="1"/>
  <c r="AB305" i="32" a="1"/>
  <c r="AB305" i="32"/>
  <c r="AB306" i="32" a="1"/>
  <c r="AB306" i="32"/>
  <c r="AB307" i="32" a="1"/>
  <c r="AB307" i="32"/>
  <c r="AB308" i="32" a="1"/>
  <c r="AB308" i="32"/>
  <c r="AB309" i="32" a="1"/>
  <c r="AB309" i="32"/>
  <c r="AB310" i="32" a="1"/>
  <c r="AB310" i="32"/>
  <c r="AB311" i="32" a="1"/>
  <c r="AB311" i="32"/>
  <c r="AB312" i="32" a="1"/>
  <c r="AB312" i="32" s="1"/>
  <c r="AB313" i="32" a="1"/>
  <c r="AB313" i="32"/>
  <c r="AB314" i="32" a="1"/>
  <c r="AB314" i="32"/>
  <c r="AB315" i="32" a="1"/>
  <c r="AB315" i="32"/>
  <c r="AB316" i="32" a="1"/>
  <c r="AB316" i="32"/>
  <c r="AB317" i="32" a="1"/>
  <c r="AB317" i="32"/>
  <c r="AB318" i="32" a="1"/>
  <c r="AB318" i="32"/>
  <c r="AB319" i="32" a="1"/>
  <c r="AB319" i="32"/>
  <c r="AB320" i="32" a="1"/>
  <c r="AB320" i="32" s="1"/>
  <c r="AB321" i="32" a="1"/>
  <c r="AB321" i="32"/>
  <c r="AB322" i="32" a="1"/>
  <c r="AB322" i="32" s="1"/>
  <c r="AB323" i="32" a="1"/>
  <c r="AB323" i="32"/>
  <c r="AB324" i="32" a="1"/>
  <c r="AB324" i="32" s="1"/>
  <c r="AB325" i="32" a="1"/>
  <c r="AB325" i="32"/>
  <c r="AB326" i="32" a="1"/>
  <c r="AB326" i="32" s="1"/>
  <c r="AB327" i="32" a="1"/>
  <c r="AB327" i="32" s="1"/>
  <c r="AB328" i="32" a="1"/>
  <c r="AB328" i="32" s="1"/>
  <c r="AB329" i="32" a="1"/>
  <c r="AB329" i="32" s="1"/>
  <c r="AB330" i="32" a="1"/>
  <c r="AB330" i="32" s="1"/>
  <c r="AB331" i="32" a="1"/>
  <c r="AB331" i="32" s="1"/>
  <c r="AB332" i="32" a="1"/>
  <c r="AB332" i="32" s="1"/>
  <c r="AB333" i="32" a="1"/>
  <c r="AB333" i="32" s="1"/>
  <c r="AB334" i="32" a="1"/>
  <c r="AB334" i="32"/>
  <c r="AB335" i="32" a="1"/>
  <c r="AB335" i="32"/>
  <c r="AB336" i="32" a="1"/>
  <c r="AB336" i="32"/>
  <c r="AB337" i="32" a="1"/>
  <c r="AB337" i="32"/>
  <c r="AB338" i="32" a="1"/>
  <c r="AB338" i="32"/>
  <c r="AB339" i="32" a="1"/>
  <c r="AB339" i="32"/>
  <c r="AB340" i="32" a="1"/>
  <c r="AB340" i="32" s="1"/>
  <c r="AB341" i="32" a="1"/>
  <c r="AB341" i="32"/>
  <c r="AB342" i="32" a="1"/>
  <c r="AB342" i="32"/>
  <c r="AB343" i="32" a="1"/>
  <c r="AB343" i="32"/>
  <c r="AB344" i="32" a="1"/>
  <c r="AB344" i="32"/>
  <c r="AB345" i="32" a="1"/>
  <c r="AB345" i="32"/>
  <c r="AB346" i="32" a="1"/>
  <c r="AB346" i="32"/>
  <c r="AB347" i="32" a="1"/>
  <c r="AB347" i="32"/>
  <c r="AB348" i="32" a="1"/>
  <c r="AB348" i="32"/>
  <c r="AB349" i="32" a="1"/>
  <c r="AB349" i="32" s="1"/>
  <c r="AB350" i="32" a="1"/>
  <c r="AB350" i="32"/>
  <c r="AB351" i="32" a="1"/>
  <c r="AB351" i="32" s="1"/>
  <c r="AB352" i="32" a="1"/>
  <c r="AB352" i="32"/>
  <c r="AB353" i="32" a="1"/>
  <c r="AB353" i="32" s="1"/>
  <c r="AB354" i="32" a="1"/>
  <c r="AB354" i="32" s="1"/>
  <c r="AB355" i="32" a="1"/>
  <c r="AB355" i="32"/>
  <c r="AB356" i="32" a="1"/>
  <c r="AB356" i="32" s="1"/>
  <c r="AB357" i="32" a="1"/>
  <c r="AB357" i="32" s="1"/>
  <c r="AB358" i="32" a="1"/>
  <c r="AB358" i="32" s="1"/>
  <c r="AB359" i="32" a="1"/>
  <c r="AB359" i="32"/>
  <c r="AB360" i="32" a="1"/>
  <c r="AB360" i="32" s="1"/>
  <c r="AB361" i="32" a="1"/>
  <c r="AB361" i="32" s="1"/>
  <c r="AB362" i="32" a="1"/>
  <c r="AB362" i="32" s="1"/>
  <c r="AB363" i="32" a="1"/>
  <c r="AB363" i="32"/>
  <c r="AB364" i="32" a="1"/>
  <c r="AB364" i="32"/>
  <c r="AB365" i="32" a="1"/>
  <c r="AB365" i="32"/>
  <c r="AB366" i="32" a="1"/>
  <c r="AB366" i="32"/>
  <c r="AB367" i="32" a="1"/>
  <c r="AB367" i="32"/>
  <c r="AB368" i="32" a="1"/>
  <c r="AB368" i="32" s="1"/>
  <c r="AB369" i="32" a="1"/>
  <c r="AB369" i="32"/>
  <c r="AB370" i="32" a="1"/>
  <c r="AB370" i="32"/>
  <c r="AB371" i="32" a="1"/>
  <c r="AB371" i="32"/>
  <c r="AB372" i="32" a="1"/>
  <c r="AB372" i="32"/>
  <c r="AB373" i="32" a="1"/>
  <c r="AB373" i="32"/>
  <c r="AB374" i="32" a="1"/>
  <c r="AB374" i="32"/>
  <c r="AB375" i="32" a="1"/>
  <c r="AB375" i="32"/>
  <c r="AB376" i="32" a="1"/>
  <c r="AB376" i="32"/>
  <c r="AB377" i="32" a="1"/>
  <c r="AB377" i="32"/>
  <c r="AB378" i="32" a="1"/>
  <c r="AB378" i="32" s="1"/>
  <c r="AB379" i="32" a="1"/>
  <c r="AB379" i="32"/>
  <c r="AB380" i="32" a="1"/>
  <c r="AB380" i="32" s="1"/>
  <c r="AB381" i="32" a="1"/>
  <c r="AB381" i="32" s="1"/>
  <c r="AB382" i="32" a="1"/>
  <c r="AB382" i="32" s="1"/>
  <c r="AB383" i="32" a="1"/>
  <c r="AB383" i="32"/>
  <c r="AB384" i="32" a="1"/>
  <c r="AB384" i="32"/>
  <c r="AB385" i="32" a="1"/>
  <c r="AB385" i="32" s="1"/>
  <c r="AB386" i="32" a="1"/>
  <c r="AB386" i="32" s="1"/>
  <c r="AB387" i="32" a="1"/>
  <c r="AB387" i="32" s="1"/>
  <c r="AB388" i="32" a="1"/>
  <c r="AB388" i="32" s="1"/>
  <c r="AB389" i="32" a="1"/>
  <c r="AB389" i="32" s="1"/>
  <c r="AB390" i="32" a="1"/>
  <c r="AB390" i="32" s="1"/>
  <c r="AB391" i="32" a="1"/>
  <c r="AB391" i="32" s="1"/>
  <c r="AB392" i="32" a="1"/>
  <c r="AB392" i="32"/>
  <c r="AB393" i="32" a="1"/>
  <c r="AB393" i="32" s="1"/>
  <c r="AB394" i="32" a="1"/>
  <c r="AB394" i="32"/>
  <c r="AB395" i="32" a="1"/>
  <c r="AB395" i="32" s="1"/>
  <c r="AB396" i="32" a="1"/>
  <c r="AB396" i="32" s="1"/>
  <c r="AB397" i="32" a="1"/>
  <c r="AB397" i="32"/>
  <c r="AB398" i="32" a="1"/>
  <c r="AB398" i="32"/>
  <c r="AB399" i="32" a="1"/>
  <c r="AB399" i="32"/>
  <c r="AB400" i="32" a="1"/>
  <c r="AB400" i="32" s="1"/>
  <c r="AB401" i="32" a="1"/>
  <c r="AB401" i="32" s="1"/>
  <c r="AB402" i="32" a="1"/>
  <c r="AB402" i="32" s="1"/>
  <c r="AB403" i="32" a="1"/>
  <c r="AB403" i="32" s="1"/>
  <c r="AB404" i="32" a="1"/>
  <c r="AB404" i="32" s="1"/>
  <c r="AB405" i="32" a="1"/>
  <c r="AB405" i="32" s="1"/>
  <c r="AB406" i="32" a="1"/>
  <c r="AB406" i="32" s="1"/>
  <c r="AB407" i="32" a="1"/>
  <c r="AB407" i="32"/>
  <c r="AB408" i="32" a="1"/>
  <c r="AB408" i="32"/>
  <c r="AB409" i="32" a="1"/>
  <c r="AB409" i="32"/>
  <c r="AB410" i="32" a="1"/>
  <c r="AB410" i="32" s="1"/>
  <c r="AB411" i="32" a="1"/>
  <c r="AB411" i="32"/>
  <c r="AB412" i="32" a="1"/>
  <c r="AB412" i="32" s="1"/>
  <c r="AB413" i="32" a="1"/>
  <c r="AB413" i="32"/>
  <c r="AB414" i="32" a="1"/>
  <c r="AB414" i="32"/>
  <c r="AB415" i="32" a="1"/>
  <c r="AB415" i="32"/>
  <c r="AB416" i="32" a="1"/>
  <c r="AB416" i="32"/>
  <c r="AB417" i="32" a="1"/>
  <c r="AB417" i="32"/>
  <c r="AB418" i="32" a="1"/>
  <c r="AB418" i="32"/>
  <c r="AB419" i="32" a="1"/>
  <c r="AB419" i="32"/>
  <c r="AB420" i="32" a="1"/>
  <c r="AB420" i="32"/>
  <c r="AB421" i="32" a="1"/>
  <c r="AB421" i="32"/>
  <c r="AB422" i="32" a="1"/>
  <c r="AB422" i="32" s="1"/>
  <c r="AB423" i="32" a="1"/>
  <c r="AB423" i="32"/>
  <c r="AB424" i="32" a="1"/>
  <c r="AB424" i="32" s="1"/>
  <c r="AB425" i="32" a="1"/>
  <c r="AB425" i="32"/>
  <c r="AB426" i="32" a="1"/>
  <c r="AB426" i="32"/>
  <c r="AB427" i="32" a="1"/>
  <c r="AB427" i="32"/>
  <c r="AB428" i="32" a="1"/>
  <c r="AB428" i="32"/>
  <c r="AB429" i="32" a="1"/>
  <c r="AB429" i="32" s="1"/>
  <c r="AB430" i="32" a="1"/>
  <c r="AB430" i="32" s="1"/>
  <c r="AB431" i="32" a="1"/>
  <c r="AB431" i="32" s="1"/>
  <c r="AB432" i="32" a="1"/>
  <c r="AB432" i="32" s="1"/>
  <c r="AB433" i="32" a="1"/>
  <c r="AB433" i="32" s="1"/>
  <c r="AB434" i="32" a="1"/>
  <c r="AB434" i="32" s="1"/>
  <c r="AB435" i="32" a="1"/>
  <c r="AB435" i="32" s="1"/>
  <c r="AB436" i="32" a="1"/>
  <c r="AB436" i="32"/>
  <c r="AB437" i="32" a="1"/>
  <c r="AB437" i="32"/>
  <c r="AB438" i="32" a="1"/>
  <c r="AB438" i="32" s="1"/>
  <c r="AB439" i="32" a="1"/>
  <c r="AB439" i="32" s="1"/>
  <c r="AB440" i="32" a="1"/>
  <c r="AB440" i="32"/>
  <c r="AB441" i="32" a="1"/>
  <c r="AB441" i="32" s="1"/>
  <c r="AB442" i="32" a="1"/>
  <c r="AB442" i="32"/>
  <c r="AB443" i="32" a="1"/>
  <c r="AB443" i="32"/>
  <c r="AB444" i="32" a="1"/>
  <c r="AB444" i="32"/>
  <c r="AB445" i="32" a="1"/>
  <c r="AB445" i="32"/>
  <c r="AB446" i="32" a="1"/>
  <c r="AB446" i="32"/>
  <c r="AB447" i="32" a="1"/>
  <c r="AB447" i="32"/>
  <c r="AB448" i="32" a="1"/>
  <c r="AB448" i="32"/>
  <c r="AB449" i="32" a="1"/>
  <c r="AB449" i="32"/>
  <c r="AB450" i="32" a="1"/>
  <c r="AB450" i="32"/>
  <c r="AB451" i="32" a="1"/>
  <c r="AB451" i="32" s="1"/>
  <c r="AB452" i="32" a="1"/>
  <c r="AB452" i="32" s="1"/>
  <c r="AB453" i="32" a="1"/>
  <c r="AB453" i="32"/>
  <c r="AB454" i="32" a="1"/>
  <c r="AB454" i="32"/>
  <c r="AB455" i="32" a="1"/>
  <c r="AB455" i="32"/>
  <c r="AB456" i="32" a="1"/>
  <c r="AB456" i="32"/>
  <c r="AB457" i="32" a="1"/>
  <c r="AB457" i="32"/>
  <c r="AB458" i="32" a="1"/>
  <c r="AB458" i="32" s="1"/>
  <c r="AB459" i="32" a="1"/>
  <c r="AB459" i="32" s="1"/>
  <c r="AB460" i="32" a="1"/>
  <c r="AB460" i="32" s="1"/>
  <c r="AB461" i="32" a="1"/>
  <c r="AB461" i="32" s="1"/>
  <c r="AB462" i="32" a="1"/>
  <c r="AB462" i="32" s="1"/>
  <c r="AB463" i="32" a="1"/>
  <c r="AB463" i="32"/>
  <c r="AB464" i="32" a="1"/>
  <c r="AB464" i="32" s="1"/>
  <c r="AB465" i="32" a="1"/>
  <c r="AB465" i="32"/>
  <c r="AB466" i="32" a="1"/>
  <c r="AB466" i="32" s="1"/>
  <c r="AB467" i="32" a="1"/>
  <c r="AB467" i="32"/>
  <c r="AB468" i="32" a="1"/>
  <c r="AB468" i="32" s="1"/>
  <c r="AB469" i="32" a="1"/>
  <c r="AB469" i="32" s="1"/>
  <c r="AB470" i="32" a="1"/>
  <c r="AB470" i="32" s="1"/>
  <c r="AB471" i="32" a="1"/>
  <c r="AB471" i="32"/>
  <c r="AB472" i="32" a="1"/>
  <c r="AB472" i="32"/>
  <c r="AB473" i="32" a="1"/>
  <c r="AB473" i="32"/>
  <c r="AB474" i="32" a="1"/>
  <c r="AB474" i="32"/>
  <c r="AB475" i="32" a="1"/>
  <c r="AB475" i="32"/>
  <c r="AB476" i="32" a="1"/>
  <c r="AB476" i="32" s="1"/>
  <c r="AB477" i="32" a="1"/>
  <c r="AB477" i="32"/>
  <c r="AB478" i="32" a="1"/>
  <c r="AB478" i="32"/>
  <c r="AB479" i="32" a="1"/>
  <c r="AB479" i="32"/>
  <c r="AB480" i="32" a="1"/>
  <c r="AB480" i="32" s="1"/>
  <c r="AB481" i="32" a="1"/>
  <c r="AB481" i="32"/>
  <c r="AB482" i="32" a="1"/>
  <c r="AB482" i="32"/>
  <c r="AB483" i="32" a="1"/>
  <c r="AB483" i="32"/>
  <c r="AB484" i="32" a="1"/>
  <c r="AB484" i="32"/>
  <c r="AB485" i="32" a="1"/>
  <c r="AB485" i="32"/>
  <c r="AB486" i="32" a="1"/>
  <c r="AB486" i="32"/>
  <c r="AB487" i="32" a="1"/>
  <c r="AB487" i="32" s="1"/>
  <c r="AB488" i="32" a="1"/>
  <c r="AB488" i="32" s="1"/>
  <c r="AB489" i="32" a="1"/>
  <c r="AB489" i="32" s="1"/>
  <c r="AB490" i="32" a="1"/>
  <c r="AB490" i="32"/>
  <c r="AB491" i="32" a="1"/>
  <c r="AB491" i="32" s="1"/>
  <c r="AB492" i="32" a="1"/>
  <c r="AB492" i="32"/>
  <c r="AB493" i="32" a="1"/>
  <c r="AB493" i="32" s="1"/>
  <c r="AB494" i="32" a="1"/>
  <c r="AB494" i="32" s="1"/>
  <c r="AB495" i="32" a="1"/>
  <c r="AB495" i="32" s="1"/>
  <c r="AB496" i="32" a="1"/>
  <c r="AB496" i="32"/>
  <c r="AB497" i="32" a="1"/>
  <c r="AB497" i="32" s="1"/>
  <c r="AB498" i="32" a="1"/>
  <c r="AB498" i="32"/>
  <c r="AB499" i="32" a="1"/>
  <c r="AB499" i="32" s="1"/>
  <c r="AB500" i="32" a="1"/>
  <c r="AB500" i="32"/>
  <c r="AB2" i="32" a="1"/>
  <c r="AB2" i="32" s="1"/>
  <c r="AB3" i="31" a="1"/>
  <c r="AB3" i="31" s="1"/>
  <c r="AB4" i="31" a="1"/>
  <c r="AB4" i="31" s="1"/>
  <c r="AB5" i="31" a="1"/>
  <c r="AB5" i="31" s="1"/>
  <c r="AB6" i="31" a="1"/>
  <c r="AB6" i="31" s="1"/>
  <c r="AB7" i="31" a="1"/>
  <c r="AB7" i="31"/>
  <c r="AB8" i="31" a="1"/>
  <c r="AB8" i="31" s="1"/>
  <c r="AB9" i="31" a="1"/>
  <c r="AB9" i="31" s="1"/>
  <c r="AB10" i="31" a="1"/>
  <c r="AB10" i="31"/>
  <c r="AB11" i="31" a="1"/>
  <c r="AB11" i="31"/>
  <c r="AB12" i="31" a="1"/>
  <c r="AB12" i="31" s="1"/>
  <c r="AB13" i="31" a="1"/>
  <c r="AB13" i="31"/>
  <c r="AB14" i="31" a="1"/>
  <c r="AB14" i="31" s="1"/>
  <c r="AB15" i="31" a="1"/>
  <c r="AB15" i="31"/>
  <c r="AB16" i="31" a="1"/>
  <c r="AB16" i="31" s="1"/>
  <c r="AB17" i="31" a="1"/>
  <c r="AB17" i="31" s="1"/>
  <c r="AB18" i="31" a="1"/>
  <c r="AB18" i="31" s="1"/>
  <c r="AB19" i="31" a="1"/>
  <c r="AB19" i="31"/>
  <c r="AB20" i="31" a="1"/>
  <c r="AB20" i="31"/>
  <c r="AB21" i="31" a="1"/>
  <c r="AB21" i="31"/>
  <c r="AB22" i="31" a="1"/>
  <c r="AB22" i="31"/>
  <c r="AB23" i="31" a="1"/>
  <c r="AB23" i="31" s="1"/>
  <c r="AB24" i="31" a="1"/>
  <c r="AB24" i="31" s="1"/>
  <c r="AB25" i="31" a="1"/>
  <c r="AB25" i="31"/>
  <c r="AB26" i="31" a="1"/>
  <c r="AB26" i="31" s="1"/>
  <c r="AB27" i="31" a="1"/>
  <c r="AB27" i="31"/>
  <c r="AB28" i="31" a="1"/>
  <c r="AB28" i="31"/>
  <c r="AB29" i="31" a="1"/>
  <c r="AB29" i="31"/>
  <c r="AB30" i="31" a="1"/>
  <c r="AB30" i="31"/>
  <c r="AB31" i="31" a="1"/>
  <c r="AB31" i="31" s="1"/>
  <c r="AB32" i="31" a="1"/>
  <c r="AB32" i="31" s="1"/>
  <c r="AB33" i="31" a="1"/>
  <c r="AB33" i="31"/>
  <c r="AB34" i="31" a="1"/>
  <c r="AB34" i="31"/>
  <c r="AB35" i="31" a="1"/>
  <c r="AB35" i="31" s="1"/>
  <c r="AB36" i="31" a="1"/>
  <c r="AB36" i="31" s="1"/>
  <c r="AB37" i="31" a="1"/>
  <c r="AB37" i="31" s="1"/>
  <c r="AB38" i="31" a="1"/>
  <c r="AB38" i="31"/>
  <c r="AB39" i="31" a="1"/>
  <c r="AB39" i="31"/>
  <c r="AB40" i="31" a="1"/>
  <c r="AB40" i="31"/>
  <c r="AB41" i="31" a="1"/>
  <c r="AB41" i="31"/>
  <c r="AB42" i="31" a="1"/>
  <c r="AB42" i="31"/>
  <c r="AB43" i="31" a="1"/>
  <c r="AB43" i="31" s="1"/>
  <c r="AB44" i="31" a="1"/>
  <c r="AB44" i="31"/>
  <c r="AB45" i="31" a="1"/>
  <c r="AB45" i="31" s="1"/>
  <c r="AB46" i="31" a="1"/>
  <c r="AB46" i="31" s="1"/>
  <c r="AB47" i="31" a="1"/>
  <c r="AB47" i="31"/>
  <c r="AB48" i="31" a="1"/>
  <c r="AB48" i="31" s="1"/>
  <c r="AB49" i="31" a="1"/>
  <c r="AB49" i="31"/>
  <c r="AB50" i="31" a="1"/>
  <c r="AB50" i="31"/>
  <c r="AB51" i="31" a="1"/>
  <c r="AB51" i="31" s="1"/>
  <c r="AB52" i="31" a="1"/>
  <c r="AB52" i="31" s="1"/>
  <c r="AB53" i="31" a="1"/>
  <c r="AB53" i="31" s="1"/>
  <c r="AB54" i="31" a="1"/>
  <c r="AB54" i="31"/>
  <c r="AB55" i="31" a="1"/>
  <c r="AB55" i="31" s="1"/>
  <c r="AB56" i="31" a="1"/>
  <c r="AB56" i="31"/>
  <c r="AB57" i="31" a="1"/>
  <c r="AB57" i="31" s="1"/>
  <c r="AB58" i="31" a="1"/>
  <c r="AB58" i="31"/>
  <c r="AB59" i="31" a="1"/>
  <c r="AB59" i="31" s="1"/>
  <c r="AB60" i="31" a="1"/>
  <c r="AB60" i="31" s="1"/>
  <c r="AB61" i="31" a="1"/>
  <c r="AB61" i="31"/>
  <c r="AB62" i="31" a="1"/>
  <c r="AB62" i="31"/>
  <c r="AB63" i="31" a="1"/>
  <c r="AB63" i="31"/>
  <c r="AB64" i="31" a="1"/>
  <c r="AB64" i="31"/>
  <c r="AB65" i="31" a="1"/>
  <c r="AB65" i="31" s="1"/>
  <c r="AB66" i="31" a="1"/>
  <c r="AB66" i="31"/>
  <c r="AB67" i="31" a="1"/>
  <c r="AB67" i="31"/>
  <c r="AB68" i="31" a="1"/>
  <c r="AB68" i="31"/>
  <c r="AB69" i="31" a="1"/>
  <c r="AB69" i="31"/>
  <c r="AB70" i="31" a="1"/>
  <c r="AB70" i="31"/>
  <c r="AB71" i="31" a="1"/>
  <c r="AB71" i="31"/>
  <c r="AB72" i="31" a="1"/>
  <c r="AB72" i="31"/>
  <c r="AB73" i="31" a="1"/>
  <c r="AB73" i="31" s="1"/>
  <c r="AB74" i="31" a="1"/>
  <c r="AB74" i="31" s="1"/>
  <c r="AB75" i="31" a="1"/>
  <c r="AB75" i="31" s="1"/>
  <c r="AB76" i="31" a="1"/>
  <c r="AB76" i="31"/>
  <c r="AB77" i="31" a="1"/>
  <c r="AB77" i="31" s="1"/>
  <c r="AB78" i="31" a="1"/>
  <c r="AB78" i="31"/>
  <c r="AB79" i="31" a="1"/>
  <c r="AB79" i="31" s="1"/>
  <c r="AB80" i="31" a="1"/>
  <c r="AB80" i="31"/>
  <c r="AB81" i="31" a="1"/>
  <c r="AB81" i="31"/>
  <c r="AB82" i="31" a="1"/>
  <c r="AB82" i="31" s="1"/>
  <c r="AB83" i="31" a="1"/>
  <c r="AB83" i="31" s="1"/>
  <c r="AB84" i="31" a="1"/>
  <c r="AB84" i="31" s="1"/>
  <c r="AB85" i="31" a="1"/>
  <c r="AB85" i="31"/>
  <c r="AB86" i="31" a="1"/>
  <c r="AB86" i="31" s="1"/>
  <c r="AB87" i="31" a="1"/>
  <c r="AB87" i="31" s="1"/>
  <c r="AB88" i="31" a="1"/>
  <c r="AB88" i="31" s="1"/>
  <c r="AB89" i="31" a="1"/>
  <c r="AB89" i="31" s="1"/>
  <c r="AB90" i="31" a="1"/>
  <c r="AB90" i="31"/>
  <c r="AB91" i="31" a="1"/>
  <c r="AB91" i="31"/>
  <c r="AB92" i="31" a="1"/>
  <c r="AB92" i="31"/>
  <c r="AB93" i="31" a="1"/>
  <c r="AB93" i="31" s="1"/>
  <c r="AB94" i="31" a="1"/>
  <c r="AB94" i="31"/>
  <c r="AB95" i="31" a="1"/>
  <c r="AB95" i="31" s="1"/>
  <c r="AB96" i="31" a="1"/>
  <c r="AB96" i="31"/>
  <c r="AB97" i="31" a="1"/>
  <c r="AB97" i="31"/>
  <c r="AB98" i="31" a="1"/>
  <c r="AB98" i="31"/>
  <c r="AB99" i="31" a="1"/>
  <c r="AB99" i="31"/>
  <c r="AB100" i="31" a="1"/>
  <c r="AB100" i="31"/>
  <c r="AB101" i="31" a="1"/>
  <c r="AB101" i="31" s="1"/>
  <c r="AB102" i="31" a="1"/>
  <c r="AB102" i="31" s="1"/>
  <c r="AB103" i="31" a="1"/>
  <c r="AB103" i="31"/>
  <c r="AB104" i="31" a="1"/>
  <c r="AB104" i="31"/>
  <c r="AB105" i="31" a="1"/>
  <c r="AB105" i="31"/>
  <c r="AB106" i="31" a="1"/>
  <c r="AB106" i="31" s="1"/>
  <c r="AB107" i="31" a="1"/>
  <c r="AB107" i="31" s="1"/>
  <c r="AB108" i="31" a="1"/>
  <c r="AB108" i="31"/>
  <c r="AB109" i="31" a="1"/>
  <c r="AB109" i="31"/>
  <c r="AB110" i="31" a="1"/>
  <c r="AB110" i="31"/>
  <c r="AB111" i="31" a="1"/>
  <c r="AB111" i="31"/>
  <c r="AB112" i="31" a="1"/>
  <c r="AB112" i="31"/>
  <c r="AB113" i="31" a="1"/>
  <c r="AB113" i="31" s="1"/>
  <c r="AB114" i="31" a="1"/>
  <c r="AB114" i="31" s="1"/>
  <c r="AB115" i="31" a="1"/>
  <c r="AB115" i="31" s="1"/>
  <c r="AB116" i="31" a="1"/>
  <c r="AB116" i="31" s="1"/>
  <c r="AB117" i="31" a="1"/>
  <c r="AB117" i="31" s="1"/>
  <c r="AB118" i="31" a="1"/>
  <c r="AB118" i="31" s="1"/>
  <c r="AB119" i="31" a="1"/>
  <c r="AB119" i="31"/>
  <c r="AB120" i="31" a="1"/>
  <c r="AB120" i="31" s="1"/>
  <c r="AB121" i="31" a="1"/>
  <c r="AB121" i="31" s="1"/>
  <c r="AB122" i="31" a="1"/>
  <c r="AB122" i="31" s="1"/>
  <c r="AB123" i="31" a="1"/>
  <c r="AB123" i="31"/>
  <c r="AB124" i="31" a="1"/>
  <c r="AB124" i="31" s="1"/>
  <c r="AB125" i="31" a="1"/>
  <c r="AB125" i="31"/>
  <c r="AB126" i="31" a="1"/>
  <c r="AB126" i="31" s="1"/>
  <c r="AB127" i="31" a="1"/>
  <c r="AB127" i="31"/>
  <c r="AB128" i="31" a="1"/>
  <c r="AB128" i="31"/>
  <c r="AB129" i="31" a="1"/>
  <c r="AB129" i="31" s="1"/>
  <c r="AB130" i="31" a="1"/>
  <c r="AB130" i="31" s="1"/>
  <c r="AB131" i="31" a="1"/>
  <c r="AB131" i="31"/>
  <c r="AB132" i="31" a="1"/>
  <c r="AB132" i="31"/>
  <c r="AB133" i="31" a="1"/>
  <c r="AB133" i="31"/>
  <c r="AB134" i="31" a="1"/>
  <c r="AB134" i="31"/>
  <c r="AB135" i="31" a="1"/>
  <c r="AB135" i="31" s="1"/>
  <c r="AB136" i="31" a="1"/>
  <c r="AB136" i="31" s="1"/>
  <c r="AB137" i="31" a="1"/>
  <c r="AB137" i="31"/>
  <c r="AB138" i="31" a="1"/>
  <c r="AB138" i="31"/>
  <c r="AB139" i="31" a="1"/>
  <c r="AB139" i="31"/>
  <c r="AB140" i="31" a="1"/>
  <c r="AB140" i="31"/>
  <c r="AB141" i="31" a="1"/>
  <c r="AB141" i="31"/>
  <c r="AB142" i="31" a="1"/>
  <c r="AB142" i="31"/>
  <c r="AB143" i="31" a="1"/>
  <c r="AB143" i="31" s="1"/>
  <c r="AB144" i="31" a="1"/>
  <c r="AB144" i="31" s="1"/>
  <c r="AB145" i="31" a="1"/>
  <c r="AB145" i="31" s="1"/>
  <c r="AB146" i="31" a="1"/>
  <c r="AB146" i="31" s="1"/>
  <c r="AB147" i="31" a="1"/>
  <c r="AB147" i="31" s="1"/>
  <c r="AB148" i="31" a="1"/>
  <c r="AB148" i="31"/>
  <c r="AB149" i="31" a="1"/>
  <c r="AB149" i="31" s="1"/>
  <c r="AB150" i="31" a="1"/>
  <c r="AB150" i="31"/>
  <c r="AB151" i="31" a="1"/>
  <c r="AB151" i="31"/>
  <c r="AB152" i="31" a="1"/>
  <c r="AB152" i="31"/>
  <c r="AB153" i="31" a="1"/>
  <c r="AB153" i="31" s="1"/>
  <c r="AB154" i="31" a="1"/>
  <c r="AB154" i="31"/>
  <c r="AB155" i="31" a="1"/>
  <c r="AB155" i="31" s="1"/>
  <c r="AB156" i="31" a="1"/>
  <c r="AB156" i="31"/>
  <c r="AB157" i="31" a="1"/>
  <c r="AB157" i="31" s="1"/>
  <c r="AB158" i="31" a="1"/>
  <c r="AB158" i="31" s="1"/>
  <c r="AB159" i="31" a="1"/>
  <c r="AB159" i="31"/>
  <c r="AB160" i="31" a="1"/>
  <c r="AB160" i="31"/>
  <c r="AB161" i="31" a="1"/>
  <c r="AB161" i="31"/>
  <c r="AB162" i="31" a="1"/>
  <c r="AB162" i="31"/>
  <c r="AB163" i="31" a="1"/>
  <c r="AB163" i="31" s="1"/>
  <c r="AB164" i="31" a="1"/>
  <c r="AB164" i="31"/>
  <c r="AB165" i="31" a="1"/>
  <c r="AB165" i="31" s="1"/>
  <c r="AB166" i="31" a="1"/>
  <c r="AB166" i="31"/>
  <c r="AB167" i="31" a="1"/>
  <c r="AB167" i="31" s="1"/>
  <c r="AB168" i="31" a="1"/>
  <c r="AB168" i="31"/>
  <c r="AB169" i="31" a="1"/>
  <c r="AB169" i="31"/>
  <c r="AB170" i="31" a="1"/>
  <c r="AB170" i="31"/>
  <c r="AB171" i="31" a="1"/>
  <c r="AB171" i="31" s="1"/>
  <c r="AB172" i="31" a="1"/>
  <c r="AB172" i="31" s="1"/>
  <c r="AB173" i="31" a="1"/>
  <c r="AB173" i="31"/>
  <c r="AB174" i="31" a="1"/>
  <c r="AB174" i="31"/>
  <c r="AB175" i="31" a="1"/>
  <c r="AB175" i="31"/>
  <c r="AB176" i="31" a="1"/>
  <c r="AB176" i="31" s="1"/>
  <c r="AB177" i="31" a="1"/>
  <c r="AB177" i="31" s="1"/>
  <c r="AB178" i="31" a="1"/>
  <c r="AB178" i="31"/>
  <c r="AB179" i="31" a="1"/>
  <c r="AB179" i="31"/>
  <c r="AB180" i="31" a="1"/>
  <c r="AB180" i="31"/>
  <c r="AB181" i="31" a="1"/>
  <c r="AB181" i="31"/>
  <c r="AB182" i="31" a="1"/>
  <c r="AB182" i="31"/>
  <c r="AB183" i="31" a="1"/>
  <c r="AB183" i="31"/>
  <c r="AB184" i="31" a="1"/>
  <c r="AB184" i="31" s="1"/>
  <c r="AB185" i="31" a="1"/>
  <c r="AB185" i="31" s="1"/>
  <c r="AB186" i="31" a="1"/>
  <c r="AB186" i="31" s="1"/>
  <c r="AB187" i="31" a="1"/>
  <c r="AB187" i="31" s="1"/>
  <c r="AB188" i="31" a="1"/>
  <c r="AB188" i="31"/>
  <c r="AB189" i="31" a="1"/>
  <c r="AB189" i="31" s="1"/>
  <c r="AB190" i="31" a="1"/>
  <c r="AB190" i="31"/>
  <c r="AB191" i="31" a="1"/>
  <c r="AB191" i="31" s="1"/>
  <c r="AB192" i="31" a="1"/>
  <c r="AB192" i="31" s="1"/>
  <c r="AB193" i="31" a="1"/>
  <c r="AB193" i="31" s="1"/>
  <c r="AB194" i="31" a="1"/>
  <c r="AB194" i="31" s="1"/>
  <c r="AB195" i="31" a="1"/>
  <c r="AB195" i="31"/>
  <c r="AB196" i="31" a="1"/>
  <c r="AB196" i="31" s="1"/>
  <c r="AB197" i="31" a="1"/>
  <c r="AB197" i="31"/>
  <c r="AB198" i="31" a="1"/>
  <c r="AB198" i="31" s="1"/>
  <c r="AB199" i="31" a="1"/>
  <c r="AB199" i="31" s="1"/>
  <c r="AB200" i="31" a="1"/>
  <c r="AB200" i="31" s="1"/>
  <c r="AB201" i="31" a="1"/>
  <c r="AB201" i="31"/>
  <c r="AB202" i="31" a="1"/>
  <c r="AB202" i="31"/>
  <c r="AB203" i="31" a="1"/>
  <c r="AB203" i="31"/>
  <c r="AB204" i="31" a="1"/>
  <c r="AB204" i="31"/>
  <c r="AB205" i="31" a="1"/>
  <c r="AB205" i="31" s="1"/>
  <c r="AB206" i="31" a="1"/>
  <c r="AB206" i="31"/>
  <c r="AB207" i="31" a="1"/>
  <c r="AB207" i="31"/>
  <c r="AB208" i="31" a="1"/>
  <c r="AB208" i="31"/>
  <c r="AB209" i="31" a="1"/>
  <c r="AB209" i="31"/>
  <c r="AB210" i="31" a="1"/>
  <c r="AB210" i="31"/>
  <c r="AB211" i="31" a="1"/>
  <c r="AB211" i="31"/>
  <c r="AB212" i="31" a="1"/>
  <c r="AB212" i="31"/>
  <c r="AB213" i="31" a="1"/>
  <c r="AB213" i="31" s="1"/>
  <c r="AB214" i="31" a="1"/>
  <c r="AB214" i="31" s="1"/>
  <c r="AB215" i="31" a="1"/>
  <c r="AB215" i="31"/>
  <c r="AB216" i="31" a="1"/>
  <c r="AB216" i="31" s="1"/>
  <c r="AB217" i="31" a="1"/>
  <c r="AB217" i="31"/>
  <c r="AB218" i="31" a="1"/>
  <c r="AB218" i="31" s="1"/>
  <c r="AB219" i="31" a="1"/>
  <c r="AB219" i="31" s="1"/>
  <c r="AB220" i="31" a="1"/>
  <c r="AB220" i="31"/>
  <c r="AB221" i="31" a="1"/>
  <c r="AB221" i="31"/>
  <c r="AB222" i="31" a="1"/>
  <c r="AB222" i="31"/>
  <c r="AB223" i="31" a="1"/>
  <c r="AB223" i="31" s="1"/>
  <c r="AB224" i="31" a="1"/>
  <c r="AB224" i="31" s="1"/>
  <c r="AB225" i="31" a="1"/>
  <c r="AB225" i="31" s="1"/>
  <c r="AB226" i="31" a="1"/>
  <c r="AB226" i="31"/>
  <c r="AB227" i="31" a="1"/>
  <c r="AB227" i="31" s="1"/>
  <c r="AB228" i="31" a="1"/>
  <c r="AB228" i="31" s="1"/>
  <c r="AB229" i="31" a="1"/>
  <c r="AB229" i="31"/>
  <c r="AB230" i="31" a="1"/>
  <c r="AB230" i="31" s="1"/>
  <c r="AB231" i="31" a="1"/>
  <c r="AB231" i="31"/>
  <c r="AB232" i="31" a="1"/>
  <c r="AB232" i="31"/>
  <c r="AB233" i="31" a="1"/>
  <c r="AB233" i="31" s="1"/>
  <c r="AB234" i="31" a="1"/>
  <c r="AB234" i="31" s="1"/>
  <c r="AB235" i="31" a="1"/>
  <c r="AB235" i="31"/>
  <c r="AB236" i="31" a="1"/>
  <c r="AB236" i="31" s="1"/>
  <c r="AB237" i="31" a="1"/>
  <c r="AB237" i="31"/>
  <c r="AB238" i="31" a="1"/>
  <c r="AB238" i="31"/>
  <c r="AB239" i="31" a="1"/>
  <c r="AB239" i="31"/>
  <c r="AB240" i="31" a="1"/>
  <c r="AB240" i="31"/>
  <c r="AB241" i="31" a="1"/>
  <c r="AB241" i="31" s="1"/>
  <c r="AB242" i="31" a="1"/>
  <c r="AB242" i="31" s="1"/>
  <c r="AB243" i="31" a="1"/>
  <c r="AB243" i="31"/>
  <c r="AB244" i="31" a="1"/>
  <c r="AB244" i="31"/>
  <c r="AB245" i="31" a="1"/>
  <c r="AB245" i="31"/>
  <c r="AB246" i="31" a="1"/>
  <c r="AB246" i="31"/>
  <c r="AB247" i="31" a="1"/>
  <c r="AB247" i="31" s="1"/>
  <c r="AB248" i="31" a="1"/>
  <c r="AB248" i="31"/>
  <c r="AB249" i="31" a="1"/>
  <c r="AB249" i="31"/>
  <c r="AB250" i="31" a="1"/>
  <c r="AB250" i="31"/>
  <c r="AB251" i="31" a="1"/>
  <c r="AB251" i="31"/>
  <c r="AB252" i="31" a="1"/>
  <c r="AB252" i="31"/>
  <c r="AB253" i="31" a="1"/>
  <c r="AB253" i="31"/>
  <c r="AB254" i="31" a="1"/>
  <c r="AB254" i="31" s="1"/>
  <c r="AB255" i="31" a="1"/>
  <c r="AB255" i="31" s="1"/>
  <c r="AB256" i="31" a="1"/>
  <c r="AB256" i="31" s="1"/>
  <c r="AB257" i="31" a="1"/>
  <c r="AB257" i="31" s="1"/>
  <c r="AB258" i="31" a="1"/>
  <c r="AB258" i="31"/>
  <c r="AB259" i="31" a="1"/>
  <c r="AB259" i="31" s="1"/>
  <c r="AB260" i="31" a="1"/>
  <c r="AB260" i="31"/>
  <c r="AB261" i="31" a="1"/>
  <c r="AB261" i="31" s="1"/>
  <c r="AB262" i="31" a="1"/>
  <c r="AB262" i="31"/>
  <c r="AB263" i="31" a="1"/>
  <c r="AB263" i="31" s="1"/>
  <c r="AB264" i="31" a="1"/>
  <c r="AB264" i="31"/>
  <c r="AB265" i="31" a="1"/>
  <c r="AB265" i="31" s="1"/>
  <c r="AB266" i="31" a="1"/>
  <c r="AB266" i="31"/>
  <c r="AB267" i="31" a="1"/>
  <c r="AB267" i="31" s="1"/>
  <c r="AB268" i="31" a="1"/>
  <c r="AB268" i="31"/>
  <c r="AB269" i="31" a="1"/>
  <c r="AB269" i="31" s="1"/>
  <c r="AB270" i="31" a="1"/>
  <c r="AB270" i="31" s="1"/>
  <c r="AB271" i="31" a="1"/>
  <c r="AB271" i="31"/>
  <c r="AB272" i="31" a="1"/>
  <c r="AB272" i="31"/>
  <c r="AB273" i="31" a="1"/>
  <c r="AB273" i="31"/>
  <c r="AB274" i="31" a="1"/>
  <c r="AB274" i="31"/>
  <c r="AB275" i="31" a="1"/>
  <c r="AB275" i="31" s="1"/>
  <c r="AB276" i="31" a="1"/>
  <c r="AB276" i="31"/>
  <c r="AB277" i="31" a="1"/>
  <c r="AB277" i="31" s="1"/>
  <c r="AB278" i="31" a="1"/>
  <c r="AB278" i="31"/>
  <c r="AB279" i="31" a="1"/>
  <c r="AB279" i="31"/>
  <c r="AB280" i="31" a="1"/>
  <c r="AB280" i="31"/>
  <c r="AB281" i="31" a="1"/>
  <c r="AB281" i="31"/>
  <c r="AB282" i="31" a="1"/>
  <c r="AB282" i="31"/>
  <c r="AB283" i="31" a="1"/>
  <c r="AB283" i="31" s="1"/>
  <c r="AB284" i="31" a="1"/>
  <c r="AB284" i="31" s="1"/>
  <c r="AB285" i="31" a="1"/>
  <c r="AB285" i="31"/>
  <c r="AB286" i="31" a="1"/>
  <c r="AB286" i="31" s="1"/>
  <c r="AB287" i="31" a="1"/>
  <c r="AB287" i="31" s="1"/>
  <c r="AB288" i="31" a="1"/>
  <c r="AB288" i="31" s="1"/>
  <c r="AB289" i="31" a="1"/>
  <c r="AB289" i="31" s="1"/>
  <c r="AB290" i="31" a="1"/>
  <c r="AB290" i="31"/>
  <c r="AB291" i="31" a="1"/>
  <c r="AB291" i="31"/>
  <c r="AB292" i="31" a="1"/>
  <c r="AB292" i="31"/>
  <c r="AB293" i="31" a="1"/>
  <c r="AB293" i="31"/>
  <c r="AB294" i="31" a="1"/>
  <c r="AB294" i="31" s="1"/>
  <c r="AB295" i="31" a="1"/>
  <c r="AB295" i="31"/>
  <c r="AB296" i="31" a="1"/>
  <c r="AB296" i="31" s="1"/>
  <c r="AB297" i="31" a="1"/>
  <c r="AB297" i="31" s="1"/>
  <c r="AB298" i="31" a="1"/>
  <c r="AB298" i="31" s="1"/>
  <c r="AB299" i="31" a="1"/>
  <c r="AB299" i="31" s="1"/>
  <c r="AB300" i="31" a="1"/>
  <c r="AB300" i="31"/>
  <c r="AB301" i="31" a="1"/>
  <c r="AB301" i="31"/>
  <c r="AB302" i="31" a="1"/>
  <c r="AB302" i="31"/>
  <c r="AB303" i="31" a="1"/>
  <c r="AB303" i="31" s="1"/>
  <c r="AB304" i="31" a="1"/>
  <c r="AB304" i="31" s="1"/>
  <c r="AB305" i="31" a="1"/>
  <c r="AB305" i="31"/>
  <c r="AB306" i="31" a="1"/>
  <c r="AB306" i="31" s="1"/>
  <c r="AB307" i="31" a="1"/>
  <c r="AB307" i="31"/>
  <c r="AB308" i="31" a="1"/>
  <c r="AB308" i="31" s="1"/>
  <c r="AB309" i="31" a="1"/>
  <c r="AB309" i="31"/>
  <c r="AB310" i="31" a="1"/>
  <c r="AB310" i="31"/>
  <c r="AB311" i="31" a="1"/>
  <c r="AB311" i="31" s="1"/>
  <c r="AB312" i="31" a="1"/>
  <c r="AB312" i="31" s="1"/>
  <c r="AB313" i="31" a="1"/>
  <c r="AB313" i="31"/>
  <c r="AB314" i="31" a="1"/>
  <c r="AB314" i="31"/>
  <c r="AB315" i="31" a="1"/>
  <c r="AB315" i="31"/>
  <c r="AB316" i="31" a="1"/>
  <c r="AB316" i="31"/>
  <c r="AB317" i="31" a="1"/>
  <c r="AB317" i="31" s="1"/>
  <c r="AB318" i="31" a="1"/>
  <c r="AB318" i="31"/>
  <c r="AB319" i="31" a="1"/>
  <c r="AB319" i="31"/>
  <c r="AB320" i="31" a="1"/>
  <c r="AB320" i="31"/>
  <c r="AB321" i="31" a="1"/>
  <c r="AB321" i="31" s="1"/>
  <c r="AB322" i="31" a="1"/>
  <c r="AB322" i="31"/>
  <c r="AB323" i="31" a="1"/>
  <c r="AB323" i="31"/>
  <c r="AB324" i="31" a="1"/>
  <c r="AB324" i="31"/>
  <c r="AB325" i="31" a="1"/>
  <c r="AB325" i="31" s="1"/>
  <c r="AB326" i="31" a="1"/>
  <c r="AB326" i="31" s="1"/>
  <c r="AB327" i="31" a="1"/>
  <c r="AB327" i="31"/>
  <c r="AB328" i="31" a="1"/>
  <c r="AB328" i="31" s="1"/>
  <c r="AB329" i="31" a="1"/>
  <c r="AB329" i="31"/>
  <c r="AB330" i="31" a="1"/>
  <c r="AB330" i="31" s="1"/>
  <c r="AB331" i="31" a="1"/>
  <c r="AB331" i="31" s="1"/>
  <c r="AB332" i="31" a="1"/>
  <c r="AB332" i="31"/>
  <c r="AB333" i="31" a="1"/>
  <c r="AB333" i="31" s="1"/>
  <c r="AB334" i="31" a="1"/>
  <c r="AB334" i="31" s="1"/>
  <c r="AB335" i="31" a="1"/>
  <c r="AB335" i="31" s="1"/>
  <c r="AB336" i="31" a="1"/>
  <c r="AB336" i="31"/>
  <c r="AB337" i="31" a="1"/>
  <c r="AB337" i="31" s="1"/>
  <c r="AB338" i="31" a="1"/>
  <c r="AB338" i="31"/>
  <c r="AB339" i="31" a="1"/>
  <c r="AB339" i="31" s="1"/>
  <c r="AB340" i="31" a="1"/>
  <c r="AB340" i="31" s="1"/>
  <c r="AB341" i="31" a="1"/>
  <c r="AB341" i="31"/>
  <c r="AB342" i="31" a="1"/>
  <c r="AB342" i="31"/>
  <c r="AB343" i="31" a="1"/>
  <c r="AB343" i="31"/>
  <c r="AB344" i="31" a="1"/>
  <c r="AB344" i="31"/>
  <c r="AB345" i="31" a="1"/>
  <c r="AB345" i="31" s="1"/>
  <c r="AB346" i="31" a="1"/>
  <c r="AB346" i="31" s="1"/>
  <c r="AB347" i="31" a="1"/>
  <c r="AB347" i="31"/>
  <c r="AB348" i="31" a="1"/>
  <c r="AB348" i="31"/>
  <c r="AB349" i="31" a="1"/>
  <c r="AB349" i="31"/>
  <c r="AB350" i="31" a="1"/>
  <c r="AB350" i="31"/>
  <c r="AB351" i="31" a="1"/>
  <c r="AB351" i="31"/>
  <c r="AB352" i="31" a="1"/>
  <c r="AB352" i="31" s="1"/>
  <c r="AB353" i="31" a="1"/>
  <c r="AB353" i="31" s="1"/>
  <c r="AB354" i="31" a="1"/>
  <c r="AB354" i="31" s="1"/>
  <c r="AB355" i="31" a="1"/>
  <c r="AB355" i="31"/>
  <c r="AB356" i="31" a="1"/>
  <c r="AB356" i="31"/>
  <c r="AB357" i="31" a="1"/>
  <c r="AB357" i="31" s="1"/>
  <c r="AB358" i="31" a="1"/>
  <c r="AB358" i="31"/>
  <c r="AB359" i="31" a="1"/>
  <c r="AB359" i="31" s="1"/>
  <c r="AB360" i="31" a="1"/>
  <c r="AB360" i="31"/>
  <c r="AB361" i="31" a="1"/>
  <c r="AB361" i="31"/>
  <c r="AB362" i="31" a="1"/>
  <c r="AB362" i="31"/>
  <c r="AB363" i="31" a="1"/>
  <c r="AB363" i="31"/>
  <c r="AB364" i="31" a="1"/>
  <c r="AB364" i="31" s="1"/>
  <c r="AB365" i="31" a="1"/>
  <c r="AB365" i="31" s="1"/>
  <c r="AB366" i="31" a="1"/>
  <c r="AB366" i="31" s="1"/>
  <c r="AB367" i="31" a="1"/>
  <c r="AB367" i="31" s="1"/>
  <c r="AB368" i="31" a="1"/>
  <c r="AB368" i="31" s="1"/>
  <c r="AB369" i="31" a="1"/>
  <c r="AB369" i="31" s="1"/>
  <c r="AB370" i="31" a="1"/>
  <c r="AB370" i="31"/>
  <c r="AB371" i="31" a="1"/>
  <c r="AB371" i="31"/>
  <c r="AB372" i="31" a="1"/>
  <c r="AB372" i="31"/>
  <c r="AB373" i="31" a="1"/>
  <c r="AB373" i="31" s="1"/>
  <c r="AB374" i="31" a="1"/>
  <c r="AB374" i="31"/>
  <c r="AB375" i="31" a="1"/>
  <c r="AB375" i="31" s="1"/>
  <c r="AB376" i="31" a="1"/>
  <c r="AB376" i="31"/>
  <c r="AB377" i="31" a="1"/>
  <c r="AB377" i="31" s="1"/>
  <c r="AB378" i="31" a="1"/>
  <c r="AB378" i="31"/>
  <c r="AB379" i="31" a="1"/>
  <c r="AB379" i="31"/>
  <c r="AB380" i="31" a="1"/>
  <c r="AB380" i="31"/>
  <c r="AB381" i="31" a="1"/>
  <c r="AB381" i="31" s="1"/>
  <c r="AB382" i="31" a="1"/>
  <c r="AB382" i="31" s="1"/>
  <c r="AB383" i="31" a="1"/>
  <c r="AB383" i="31"/>
  <c r="AB384" i="31" a="1"/>
  <c r="AB384" i="31" s="1"/>
  <c r="AB385" i="31" a="1"/>
  <c r="AB385" i="31" s="1"/>
  <c r="AB386" i="31" a="1"/>
  <c r="AB386" i="31"/>
  <c r="AB387" i="31" a="1"/>
  <c r="AB387" i="31" s="1"/>
  <c r="AB388" i="31" a="1"/>
  <c r="AB388" i="31"/>
  <c r="AB389" i="31" a="1"/>
  <c r="AB389" i="31" s="1"/>
  <c r="AB390" i="31" a="1"/>
  <c r="AB390" i="31"/>
  <c r="AB391" i="31" a="1"/>
  <c r="AB391" i="31" s="1"/>
  <c r="AB392" i="31" a="1"/>
  <c r="AB392" i="31"/>
  <c r="AB393" i="31" a="1"/>
  <c r="AB393" i="31" s="1"/>
  <c r="AB394" i="31" a="1"/>
  <c r="AB394" i="31"/>
  <c r="AB395" i="31" a="1"/>
  <c r="AB395" i="31" s="1"/>
  <c r="AB396" i="31" a="1"/>
  <c r="AB396" i="31" s="1"/>
  <c r="AB397" i="31" a="1"/>
  <c r="AB397" i="31"/>
  <c r="AB398" i="31" a="1"/>
  <c r="AB398" i="31"/>
  <c r="AB399" i="31" a="1"/>
  <c r="AB399" i="31"/>
  <c r="AB400" i="31" a="1"/>
  <c r="AB400" i="31" s="1"/>
  <c r="AB401" i="31" a="1"/>
  <c r="AB401" i="31" s="1"/>
  <c r="AB402" i="31" a="1"/>
  <c r="AB402" i="31"/>
  <c r="AB403" i="31" a="1"/>
  <c r="AB403" i="31"/>
  <c r="AB404" i="31" a="1"/>
  <c r="AB404" i="31"/>
  <c r="AB405" i="31" a="1"/>
  <c r="AB405" i="31"/>
  <c r="AB406" i="31" a="1"/>
  <c r="AB406" i="31"/>
  <c r="AB407" i="31" a="1"/>
  <c r="AB407" i="31"/>
  <c r="AB408" i="31" a="1"/>
  <c r="AB408" i="31"/>
  <c r="AB409" i="31" a="1"/>
  <c r="AB409" i="31" s="1"/>
  <c r="AB410" i="31" a="1"/>
  <c r="AB410" i="31" s="1"/>
  <c r="AB411" i="31" a="1"/>
  <c r="AB411" i="31"/>
  <c r="AB412" i="31" a="1"/>
  <c r="AB412" i="31" s="1"/>
  <c r="AB413" i="31" a="1"/>
  <c r="AB413" i="31" s="1"/>
  <c r="AB414" i="31" a="1"/>
  <c r="AB414" i="31" s="1"/>
  <c r="AB415" i="31" a="1"/>
  <c r="AB415" i="31" s="1"/>
  <c r="AB416" i="31" a="1"/>
  <c r="AB416" i="31" s="1"/>
  <c r="AB417" i="31" a="1"/>
  <c r="AB417" i="31"/>
  <c r="AB418" i="31" a="1"/>
  <c r="AB418" i="31"/>
  <c r="AB419" i="31" a="1"/>
  <c r="AB419" i="31"/>
  <c r="AB420" i="31" a="1"/>
  <c r="AB420" i="31" s="1"/>
  <c r="AB421" i="31" a="1"/>
  <c r="AB421" i="31"/>
  <c r="AB422" i="31" a="1"/>
  <c r="AB422" i="31" s="1"/>
  <c r="AB423" i="31" a="1"/>
  <c r="AB423" i="31" s="1"/>
  <c r="AB424" i="31" a="1"/>
  <c r="AB424" i="31" s="1"/>
  <c r="AB425" i="31" a="1"/>
  <c r="AB425" i="31" s="1"/>
  <c r="AB426" i="31" a="1"/>
  <c r="AB426" i="31"/>
  <c r="AB427" i="31" a="1"/>
  <c r="AB427" i="31"/>
  <c r="AB428" i="31" a="1"/>
  <c r="AB428" i="31"/>
  <c r="AB429" i="31" a="1"/>
  <c r="AB429" i="31" s="1"/>
  <c r="AB430" i="31" a="1"/>
  <c r="AB430" i="31" s="1"/>
  <c r="AB431" i="31" a="1"/>
  <c r="AB431" i="31"/>
  <c r="AB432" i="31" a="1"/>
  <c r="AB432" i="31" s="1"/>
  <c r="AB433" i="31" a="1"/>
  <c r="AB433" i="31"/>
  <c r="AB434" i="31" a="1"/>
  <c r="AB434" i="31"/>
  <c r="AB435" i="31" a="1"/>
  <c r="AB435" i="31"/>
  <c r="AB436" i="31" a="1"/>
  <c r="AB436" i="31"/>
  <c r="AB437" i="31" a="1"/>
  <c r="AB437" i="31" s="1"/>
  <c r="AB438" i="31" a="1"/>
  <c r="AB438" i="31" s="1"/>
  <c r="AB439" i="31" a="1"/>
  <c r="AB439" i="31"/>
  <c r="AB440" i="31" a="1"/>
  <c r="AB440" i="31"/>
  <c r="AB441" i="31" a="1"/>
  <c r="AB441" i="31"/>
  <c r="AB442" i="31" a="1"/>
  <c r="AB442" i="31"/>
  <c r="AB443" i="31" a="1"/>
  <c r="AB443" i="31" s="1"/>
  <c r="AB444" i="31" a="1"/>
  <c r="AB444" i="31"/>
  <c r="AB445" i="31" a="1"/>
  <c r="AB445" i="31"/>
  <c r="AB446" i="31" a="1"/>
  <c r="AB446" i="31"/>
  <c r="AB447" i="31" a="1"/>
  <c r="AB447" i="31"/>
  <c r="AB448" i="31" a="1"/>
  <c r="AB448" i="31"/>
  <c r="AB449" i="31" a="1"/>
  <c r="AB449" i="31"/>
  <c r="AB450" i="31" a="1"/>
  <c r="AB450" i="31"/>
  <c r="AB451" i="31" a="1"/>
  <c r="AB451" i="31" s="1"/>
  <c r="AB452" i="31" a="1"/>
  <c r="AB452" i="31" s="1"/>
  <c r="AB453" i="31" a="1"/>
  <c r="AB453" i="31"/>
  <c r="AB454" i="31" a="1"/>
  <c r="AB454" i="31" s="1"/>
  <c r="AB455" i="31" a="1"/>
  <c r="AB455" i="31"/>
  <c r="AB456" i="31" a="1"/>
  <c r="AB456" i="31" s="1"/>
  <c r="AB457" i="31" a="1"/>
  <c r="AB457" i="31" s="1"/>
  <c r="AB458" i="31" a="1"/>
  <c r="AB458" i="31"/>
  <c r="AB459" i="31" a="1"/>
  <c r="AB459" i="31" s="1"/>
  <c r="AB460" i="31" a="1"/>
  <c r="AB460" i="31" s="1"/>
  <c r="AB461" i="31" a="1"/>
  <c r="AB461" i="31" s="1"/>
  <c r="AB462" i="31" a="1"/>
  <c r="AB462" i="31"/>
  <c r="AB463" i="31" a="1"/>
  <c r="AB463" i="31"/>
  <c r="AB464" i="31" a="1"/>
  <c r="AB464" i="31"/>
  <c r="AB465" i="31" a="1"/>
  <c r="AB465" i="31" s="1"/>
  <c r="AB466" i="31" a="1"/>
  <c r="AB466" i="31" s="1"/>
  <c r="AB467" i="31" a="1"/>
  <c r="AB467" i="31"/>
  <c r="AB468" i="31" a="1"/>
  <c r="AB468" i="31"/>
  <c r="AB469" i="31" a="1"/>
  <c r="AB469" i="31"/>
  <c r="AB470" i="31" a="1"/>
  <c r="AB470" i="31"/>
  <c r="AB471" i="31" a="1"/>
  <c r="AB471" i="31" s="1"/>
  <c r="AB472" i="31" a="1"/>
  <c r="AB472" i="31" s="1"/>
  <c r="AB473" i="31" a="1"/>
  <c r="AB473" i="31"/>
  <c r="AB474" i="31" a="1"/>
  <c r="AB474" i="31"/>
  <c r="AB475" i="31" a="1"/>
  <c r="AB475" i="31"/>
  <c r="AB476" i="31" a="1"/>
  <c r="AB476" i="31"/>
  <c r="AB477" i="31" a="1"/>
  <c r="AB477" i="31"/>
  <c r="AB478" i="31" a="1"/>
  <c r="AB478" i="31" s="1"/>
  <c r="AB479" i="31" a="1"/>
  <c r="AB479" i="31" s="1"/>
  <c r="AB480" i="31" a="1"/>
  <c r="AB480" i="31" s="1"/>
  <c r="AB481" i="31" a="1"/>
  <c r="AB481" i="31"/>
  <c r="AB482" i="31" a="1"/>
  <c r="AB482" i="31"/>
  <c r="AB483" i="31" a="1"/>
  <c r="AB483" i="31" s="1"/>
  <c r="AB484" i="31" a="1"/>
  <c r="AB484" i="31"/>
  <c r="AB485" i="31" a="1"/>
  <c r="AB485" i="31" s="1"/>
  <c r="AB486" i="31" a="1"/>
  <c r="AB486" i="31"/>
  <c r="AB487" i="31" a="1"/>
  <c r="AB487" i="31"/>
  <c r="AB488" i="31" a="1"/>
  <c r="AB488" i="31"/>
  <c r="AB489" i="31" a="1"/>
  <c r="AB489" i="31"/>
  <c r="AB490" i="31" a="1"/>
  <c r="AB490" i="31" s="1"/>
  <c r="AB491" i="31" a="1"/>
  <c r="AB491" i="31" s="1"/>
  <c r="AB492" i="31" a="1"/>
  <c r="AB492" i="31" s="1"/>
  <c r="AB493" i="31" a="1"/>
  <c r="AB493" i="31" s="1"/>
  <c r="AB494" i="31" a="1"/>
  <c r="AB494" i="31" s="1"/>
  <c r="AB495" i="31" a="1"/>
  <c r="AB495" i="31"/>
  <c r="AB496" i="31" a="1"/>
  <c r="AB496" i="31"/>
  <c r="AB497" i="31" a="1"/>
  <c r="AB497" i="31"/>
  <c r="AB498" i="31" a="1"/>
  <c r="AB498" i="31"/>
  <c r="AB499" i="31" a="1"/>
  <c r="AB499" i="31" s="1"/>
  <c r="AB500" i="31" a="1"/>
  <c r="AB500" i="31"/>
  <c r="AB2" i="31" a="1"/>
  <c r="AB2" i="31" s="1"/>
  <c r="A1" i="52"/>
  <c r="AB5" i="68" l="1"/>
  <c r="AC3" i="30" l="1" a="1"/>
  <c r="AC3" i="30" s="1"/>
  <c r="AC4" i="30" a="1"/>
  <c r="AC4" i="30" s="1"/>
  <c r="AC5" i="30" a="1"/>
  <c r="AC5" i="30" s="1"/>
  <c r="AC6" i="30" a="1"/>
  <c r="AC6" i="30" s="1"/>
  <c r="AC7" i="30" a="1"/>
  <c r="AC7" i="30" s="1"/>
  <c r="AC8" i="30" a="1"/>
  <c r="AC8" i="30" s="1"/>
  <c r="AC9" i="30" a="1"/>
  <c r="AC9" i="30" s="1"/>
  <c r="AC10" i="30" a="1"/>
  <c r="AC10" i="30" s="1"/>
  <c r="AC11" i="30" a="1"/>
  <c r="AC11" i="30"/>
  <c r="AC12" i="30" a="1"/>
  <c r="AC12" i="30" s="1"/>
  <c r="AC13" i="30" a="1"/>
  <c r="AC13" i="30" s="1"/>
  <c r="AC14" i="30" a="1"/>
  <c r="AC14" i="30" s="1"/>
  <c r="AC15" i="30" a="1"/>
  <c r="AC15" i="30" s="1"/>
  <c r="AC16" i="30" a="1"/>
  <c r="AC16" i="30" s="1"/>
  <c r="AC17" i="30" a="1"/>
  <c r="AC17" i="30" s="1"/>
  <c r="AC18" i="30" a="1"/>
  <c r="AC18" i="30" s="1"/>
  <c r="AC19" i="30" a="1"/>
  <c r="AC19" i="30" s="1"/>
  <c r="AC20" i="30" a="1"/>
  <c r="AC20" i="30"/>
  <c r="AC21" i="30" a="1"/>
  <c r="AC21" i="30" s="1"/>
  <c r="AC22" i="30" a="1"/>
  <c r="AC22" i="30" s="1"/>
  <c r="AC23" i="30" a="1"/>
  <c r="AC23" i="30" s="1"/>
  <c r="AC24" i="30" a="1"/>
  <c r="AC24" i="30" s="1"/>
  <c r="AC25" i="30" a="1"/>
  <c r="AC25" i="30"/>
  <c r="AC26" i="30" a="1"/>
  <c r="AC26" i="30" s="1"/>
  <c r="AC27" i="30" a="1"/>
  <c r="AC27" i="30" s="1"/>
  <c r="AC28" i="30" a="1"/>
  <c r="AC28" i="30" s="1"/>
  <c r="AC29" i="30" a="1"/>
  <c r="AC29" i="30" s="1"/>
  <c r="AC30" i="30" a="1"/>
  <c r="AC30" i="30" s="1"/>
  <c r="AC31" i="30" a="1"/>
  <c r="AC31" i="30" s="1"/>
  <c r="AC32" i="30" a="1"/>
  <c r="AC32" i="30" s="1"/>
  <c r="AC33" i="30" a="1"/>
  <c r="AC33" i="30" s="1"/>
  <c r="AC34" i="30" a="1"/>
  <c r="AC34" i="30" s="1"/>
  <c r="AC35" i="30" a="1"/>
  <c r="AC35" i="30" s="1"/>
  <c r="AC36" i="30" a="1"/>
  <c r="AC36" i="30"/>
  <c r="AC37" i="30" a="1"/>
  <c r="AC37" i="30" s="1"/>
  <c r="AC38" i="30" a="1"/>
  <c r="AC38" i="30" s="1"/>
  <c r="AC39" i="30" a="1"/>
  <c r="AC39" i="30" s="1"/>
  <c r="AC40" i="30" a="1"/>
  <c r="AC40" i="30" s="1"/>
  <c r="AC41" i="30" a="1"/>
  <c r="AC41" i="30" s="1"/>
  <c r="AC42" i="30" a="1"/>
  <c r="AC42" i="30" s="1"/>
  <c r="AC43" i="30" a="1"/>
  <c r="AC43" i="30" s="1"/>
  <c r="AC44" i="30" a="1"/>
  <c r="AC44" i="30" s="1"/>
  <c r="AC45" i="30" a="1"/>
  <c r="AC45" i="30" s="1"/>
  <c r="AC46" i="30" a="1"/>
  <c r="AC46" i="30" s="1"/>
  <c r="AC47" i="30" a="1"/>
  <c r="AC47" i="30" s="1"/>
  <c r="AC48" i="30" a="1"/>
  <c r="AC48" i="30" s="1"/>
  <c r="AC49" i="30" a="1"/>
  <c r="AC49" i="30" s="1"/>
  <c r="AC50" i="30" a="1"/>
  <c r="AC50" i="30" s="1"/>
  <c r="AC51" i="30" a="1"/>
  <c r="AC51" i="30" s="1"/>
  <c r="AC52" i="30" a="1"/>
  <c r="AC52" i="30" s="1"/>
  <c r="AC53" i="30" a="1"/>
  <c r="AC53" i="30" s="1"/>
  <c r="AC54" i="30" a="1"/>
  <c r="AC54" i="30" s="1"/>
  <c r="AC55" i="30" a="1"/>
  <c r="AC55" i="30" s="1"/>
  <c r="AC56" i="30" a="1"/>
  <c r="AC56" i="30"/>
  <c r="AC57" i="30" a="1"/>
  <c r="AC57" i="30" s="1"/>
  <c r="AC58" i="30" a="1"/>
  <c r="AC58" i="30" s="1"/>
  <c r="AC59" i="30" a="1"/>
  <c r="AC59" i="30" s="1"/>
  <c r="AC60" i="30" a="1"/>
  <c r="AC60" i="30" s="1"/>
  <c r="AC61" i="30" a="1"/>
  <c r="AC61" i="30" s="1"/>
  <c r="AC62" i="30" a="1"/>
  <c r="AC62" i="30" s="1"/>
  <c r="AC63" i="30" a="1"/>
  <c r="AC63" i="30" s="1"/>
  <c r="AC64" i="30" a="1"/>
  <c r="AC64" i="30" s="1"/>
  <c r="AC65" i="30" a="1"/>
  <c r="AC65" i="30" s="1"/>
  <c r="AC66" i="30" a="1"/>
  <c r="AC66" i="30" s="1"/>
  <c r="AC67" i="30" a="1"/>
  <c r="AC67" i="30" s="1"/>
  <c r="AC68" i="30" a="1"/>
  <c r="AC68" i="30" s="1"/>
  <c r="AC69" i="30" a="1"/>
  <c r="AC69" i="30" s="1"/>
  <c r="AC70" i="30" a="1"/>
  <c r="AC70" i="30"/>
  <c r="AC71" i="30" a="1"/>
  <c r="AC71" i="30" s="1"/>
  <c r="AC72" i="30" a="1"/>
  <c r="AC72" i="30" s="1"/>
  <c r="AC73" i="30" a="1"/>
  <c r="AC73" i="30" s="1"/>
  <c r="AC74" i="30" a="1"/>
  <c r="AC74" i="30" s="1"/>
  <c r="AC75" i="30" a="1"/>
  <c r="AC75" i="30" s="1"/>
  <c r="AC76" i="30" a="1"/>
  <c r="AC76" i="30" s="1"/>
  <c r="AC77" i="30" a="1"/>
  <c r="AC77" i="30" s="1"/>
  <c r="AC78" i="30" a="1"/>
  <c r="AC78" i="30" s="1"/>
  <c r="AC2" i="30" a="1"/>
  <c r="AC2" i="30" s="1"/>
  <c r="C80" i="57" l="1"/>
  <c r="C43" i="57"/>
  <c r="C42" i="57"/>
  <c r="C41" i="57"/>
  <c r="C40" i="57"/>
  <c r="C39" i="57"/>
  <c r="C38" i="57"/>
  <c r="C37" i="57"/>
  <c r="C36" i="57"/>
  <c r="C35" i="57"/>
  <c r="E87" i="57" l="1"/>
  <c r="E89" i="57" s="1"/>
  <c r="E91" i="57" s="1"/>
  <c r="C15" i="52"/>
  <c r="C80" i="52"/>
  <c r="C83" i="52" s="1"/>
  <c r="C67" i="52"/>
  <c r="C70" i="52" s="1"/>
  <c r="C54" i="52"/>
  <c r="C56" i="52" s="1"/>
  <c r="C41" i="52"/>
  <c r="C43" i="52" s="1"/>
  <c r="C38" i="52"/>
  <c r="C44" i="52" s="1"/>
  <c r="C57" i="52" l="1"/>
  <c r="C68" i="52"/>
  <c r="C69" i="52"/>
  <c r="C81" i="52"/>
  <c r="C82" i="52"/>
  <c r="C55" i="52"/>
  <c r="I32" i="20"/>
  <c r="D9" i="20"/>
  <c r="D8" i="20"/>
  <c r="H62" i="20" l="1"/>
  <c r="H63" i="20"/>
  <c r="H51" i="60" l="1"/>
  <c r="I30" i="60"/>
  <c r="I29" i="60"/>
  <c r="I7" i="60"/>
  <c r="C22" i="20"/>
  <c r="C9" i="20"/>
  <c r="H22" i="60"/>
  <c r="H43" i="60"/>
  <c r="C43" i="60" s="1"/>
  <c r="H41" i="60"/>
  <c r="C41" i="60" s="1"/>
  <c r="H57" i="60"/>
  <c r="H56" i="60"/>
  <c r="I6" i="60"/>
  <c r="C47" i="20" l="1"/>
  <c r="D48" i="60"/>
  <c r="D46" i="60"/>
  <c r="C46" i="60"/>
  <c r="X8" i="58" l="1"/>
  <c r="I46" i="21" s="1"/>
  <c r="W8" i="58"/>
  <c r="H46" i="21" s="1"/>
  <c r="V8" i="58"/>
  <c r="G46" i="21" s="1"/>
  <c r="X7" i="58"/>
  <c r="I45" i="21" s="1"/>
  <c r="W7" i="58"/>
  <c r="H45" i="21" s="1"/>
  <c r="V7" i="58"/>
  <c r="G45" i="21" s="1"/>
  <c r="X6" i="58"/>
  <c r="X11" i="58"/>
  <c r="I7" i="68" s="1"/>
  <c r="J7" i="68" s="1"/>
  <c r="X9" i="58"/>
  <c r="C7" i="68" s="1"/>
  <c r="D7" i="68" s="1"/>
  <c r="W6" i="58"/>
  <c r="V6" i="58"/>
  <c r="G44" i="21" l="1"/>
  <c r="C3" i="36"/>
  <c r="I44" i="21"/>
  <c r="C5" i="36"/>
  <c r="H44" i="21"/>
  <c r="C4" i="36"/>
  <c r="O20" i="56" a="1"/>
  <c r="O20" i="56" s="1"/>
  <c r="O16" i="56" s="1"/>
  <c r="O19" i="56" a="1"/>
  <c r="O19" i="56" s="1"/>
  <c r="O15" i="56" s="1"/>
  <c r="O11" i="56" a="1"/>
  <c r="O11" i="56" s="1"/>
  <c r="O7" i="56" s="1"/>
  <c r="O10" i="56" a="1"/>
  <c r="O10" i="56" s="1"/>
  <c r="O6" i="56" s="1"/>
  <c r="O5" i="56" s="1"/>
  <c r="O14" i="56" l="1"/>
  <c r="Q12" i="20" s="1"/>
  <c r="H29" i="20" s="1"/>
  <c r="J36" i="21"/>
  <c r="Q13" i="20"/>
  <c r="H61" i="20" s="1"/>
  <c r="Q13" i="60"/>
  <c r="H55" i="60" s="1"/>
  <c r="J9" i="60"/>
  <c r="J91" i="60" s="1"/>
  <c r="C54" i="60"/>
  <c r="C53" i="60"/>
  <c r="C52" i="60"/>
  <c r="D39" i="60"/>
  <c r="D38" i="60"/>
  <c r="D37" i="60"/>
  <c r="C50" i="60"/>
  <c r="D50" i="60"/>
  <c r="D47" i="60"/>
  <c r="C47" i="60"/>
  <c r="D49" i="60"/>
  <c r="D45" i="60"/>
  <c r="D43" i="60"/>
  <c r="D41" i="60"/>
  <c r="D34" i="60"/>
  <c r="D44" i="60"/>
  <c r="D42" i="60"/>
  <c r="D40" i="60"/>
  <c r="C33" i="60"/>
  <c r="D33" i="60"/>
  <c r="C32" i="60"/>
  <c r="D32" i="60"/>
  <c r="C31" i="60"/>
  <c r="D31" i="60"/>
  <c r="C21" i="60"/>
  <c r="C20" i="60"/>
  <c r="C25" i="60"/>
  <c r="C24" i="60"/>
  <c r="C23" i="60"/>
  <c r="D9" i="60"/>
  <c r="C9" i="60"/>
  <c r="D8" i="60"/>
  <c r="H59" i="20"/>
  <c r="H60" i="20"/>
  <c r="C60" i="20" s="1"/>
  <c r="H58" i="20"/>
  <c r="H56" i="20"/>
  <c r="H55" i="20"/>
  <c r="H42" i="20"/>
  <c r="C42" i="20" s="1"/>
  <c r="H44" i="20"/>
  <c r="C44" i="20" s="1"/>
  <c r="H46" i="20"/>
  <c r="C46" i="20" s="1"/>
  <c r="H27" i="20"/>
  <c r="H28" i="20"/>
  <c r="C28" i="20" s="1"/>
  <c r="H26" i="20"/>
  <c r="C24" i="20"/>
  <c r="C23" i="20"/>
  <c r="I33" i="20"/>
  <c r="I7" i="20"/>
  <c r="H25" i="20"/>
  <c r="I6" i="20"/>
  <c r="J9" i="20"/>
  <c r="J141" i="20" s="1"/>
  <c r="C56" i="20"/>
  <c r="C55" i="20"/>
  <c r="C54" i="20"/>
  <c r="C53" i="20"/>
  <c r="C21" i="20"/>
  <c r="C20" i="20"/>
  <c r="C52" i="20"/>
  <c r="C40" i="20"/>
  <c r="C39" i="20"/>
  <c r="C38" i="20"/>
  <c r="C51" i="20"/>
  <c r="C41" i="20"/>
  <c r="C34" i="20"/>
  <c r="H57" i="20"/>
  <c r="D21" i="20"/>
  <c r="D20" i="20"/>
  <c r="C37" i="20"/>
  <c r="C48" i="20"/>
  <c r="D34" i="20"/>
  <c r="T51" i="58"/>
  <c r="D43" i="58"/>
  <c r="D41" i="58"/>
  <c r="J46" i="21" l="1"/>
  <c r="Q12" i="60"/>
  <c r="H26" i="60" s="1"/>
  <c r="C26" i="60" s="1"/>
  <c r="K91" i="60"/>
  <c r="L91" i="60" s="1"/>
  <c r="M91" i="60" s="1"/>
  <c r="N91" i="60" s="1"/>
  <c r="E91" i="60" s="1"/>
  <c r="C61" i="20"/>
  <c r="C58" i="20"/>
  <c r="C15" i="58"/>
  <c r="D15" i="58" s="1"/>
  <c r="K141" i="20"/>
  <c r="L141" i="20" s="1"/>
  <c r="M141" i="20" s="1"/>
  <c r="N141" i="20" s="1"/>
  <c r="E141" i="20" s="1"/>
  <c r="C51" i="60"/>
  <c r="C22" i="60"/>
  <c r="C57" i="60"/>
  <c r="C27" i="20"/>
  <c r="C29" i="20"/>
  <c r="C59" i="20"/>
  <c r="C57" i="20"/>
  <c r="C62" i="20"/>
  <c r="C26" i="20"/>
  <c r="C63" i="20"/>
  <c r="H63" i="60"/>
  <c r="H66" i="60"/>
  <c r="H69" i="60"/>
  <c r="H72" i="60"/>
  <c r="H78" i="20"/>
  <c r="H75" i="20"/>
  <c r="H72" i="20"/>
  <c r="H69" i="20"/>
  <c r="W14" i="58"/>
  <c r="X14" i="58"/>
  <c r="X13" i="58"/>
  <c r="W13" i="58"/>
  <c r="V14" i="58"/>
  <c r="V13" i="58"/>
  <c r="V17" i="58"/>
  <c r="W17" i="58"/>
  <c r="X17" i="58"/>
  <c r="V18" i="58"/>
  <c r="W18" i="58"/>
  <c r="X18" i="58"/>
  <c r="W9" i="58"/>
  <c r="C6" i="68" s="1"/>
  <c r="D6" i="68" s="1"/>
  <c r="V9" i="58"/>
  <c r="C5" i="68" s="1"/>
  <c r="D5" i="68" s="1"/>
  <c r="X10" i="58"/>
  <c r="F7" i="68" s="1"/>
  <c r="G7" i="68" s="1"/>
  <c r="W10" i="58"/>
  <c r="F6" i="68" s="1"/>
  <c r="G6" i="68" s="1"/>
  <c r="V10" i="58"/>
  <c r="F5" i="68" s="1"/>
  <c r="G5" i="68" s="1"/>
  <c r="I77" i="20"/>
  <c r="I74" i="20"/>
  <c r="I71" i="20"/>
  <c r="I68" i="20"/>
  <c r="I71" i="60"/>
  <c r="I68" i="60"/>
  <c r="I65" i="60"/>
  <c r="I62" i="60"/>
  <c r="I65" i="20"/>
  <c r="H66" i="20"/>
  <c r="H60" i="60"/>
  <c r="I59" i="60"/>
  <c r="O3" i="60"/>
  <c r="P6" i="58"/>
  <c r="C22" i="54"/>
  <c r="E60" i="57" s="1"/>
  <c r="B29" i="21" l="1"/>
  <c r="I91" i="60"/>
  <c r="D91" i="60"/>
  <c r="A91" i="60"/>
  <c r="E57" i="57"/>
  <c r="J82" i="58"/>
  <c r="J81" i="58"/>
  <c r="I41" i="21" s="1"/>
  <c r="J54" i="58"/>
  <c r="C138" i="20"/>
  <c r="C129" i="20"/>
  <c r="D138" i="20"/>
  <c r="C88" i="60"/>
  <c r="D88" i="60"/>
  <c r="C79" i="60"/>
  <c r="D16" i="58" l="1"/>
  <c r="C8" i="58"/>
  <c r="D8" i="58" s="1"/>
  <c r="D47" i="58"/>
  <c r="D48" i="58"/>
  <c r="P30" i="58"/>
  <c r="P31" i="58"/>
  <c r="P32" i="58"/>
  <c r="P33" i="58"/>
  <c r="P34" i="58"/>
  <c r="P29" i="58"/>
  <c r="O67" i="58" l="1"/>
  <c r="G102" i="20"/>
  <c r="C102" i="20" s="1"/>
  <c r="D31" i="58"/>
  <c r="C7" i="58" l="1"/>
  <c r="D7" i="58" s="1"/>
  <c r="D14" i="58"/>
  <c r="D13" i="58"/>
  <c r="D11" i="58"/>
  <c r="D10" i="58"/>
  <c r="D9" i="58"/>
  <c r="J88" i="60" l="1"/>
  <c r="J92" i="60" s="1"/>
  <c r="J80" i="60"/>
  <c r="I81" i="60"/>
  <c r="I90" i="60"/>
  <c r="K92" i="60" l="1"/>
  <c r="L92" i="60" s="1"/>
  <c r="M92" i="60" s="1"/>
  <c r="N92" i="60" s="1"/>
  <c r="E92" i="60" s="1"/>
  <c r="J93" i="60"/>
  <c r="D2" i="21"/>
  <c r="K93" i="60" l="1"/>
  <c r="L93" i="60" s="1"/>
  <c r="M93" i="60" s="1"/>
  <c r="N93" i="60" s="1"/>
  <c r="E93" i="60" s="1"/>
  <c r="J94" i="60"/>
  <c r="D92" i="60"/>
  <c r="I92" i="60"/>
  <c r="A92" i="60"/>
  <c r="D87" i="60"/>
  <c r="D86" i="60"/>
  <c r="D85" i="60"/>
  <c r="D84" i="60"/>
  <c r="D83" i="60"/>
  <c r="D134" i="20"/>
  <c r="D135" i="20"/>
  <c r="D136" i="20"/>
  <c r="D137" i="20"/>
  <c r="D133" i="20"/>
  <c r="K94" i="60" l="1"/>
  <c r="L94" i="60" s="1"/>
  <c r="M94" i="60" s="1"/>
  <c r="N94" i="60" s="1"/>
  <c r="E94" i="60" s="1"/>
  <c r="J95" i="60"/>
  <c r="A93" i="60"/>
  <c r="I93" i="60"/>
  <c r="D93" i="60"/>
  <c r="I5" i="30"/>
  <c r="K95" i="60" l="1"/>
  <c r="L95" i="60" s="1"/>
  <c r="M95" i="60" s="1"/>
  <c r="N95" i="60" s="1"/>
  <c r="E95" i="60" s="1"/>
  <c r="J96" i="60"/>
  <c r="A94" i="60"/>
  <c r="D94" i="60"/>
  <c r="I94" i="60"/>
  <c r="D34" i="58"/>
  <c r="D32" i="58"/>
  <c r="D51" i="58"/>
  <c r="D42" i="58"/>
  <c r="C12" i="58" s="1"/>
  <c r="D12" i="58" s="1"/>
  <c r="G9" i="21" s="1"/>
  <c r="D44" i="58"/>
  <c r="D26" i="58"/>
  <c r="D27" i="58"/>
  <c r="D46" i="58"/>
  <c r="D52" i="58"/>
  <c r="I7" i="30" s="1"/>
  <c r="C87" i="60"/>
  <c r="C78" i="60"/>
  <c r="K96" i="60" l="1"/>
  <c r="L96" i="60" s="1"/>
  <c r="M96" i="60" s="1"/>
  <c r="N96" i="60" s="1"/>
  <c r="E96" i="60" s="1"/>
  <c r="J97" i="60"/>
  <c r="I95" i="60"/>
  <c r="A95" i="60"/>
  <c r="D95" i="60"/>
  <c r="C48" i="60"/>
  <c r="C72" i="60"/>
  <c r="C69" i="60"/>
  <c r="C66" i="60"/>
  <c r="C63" i="60"/>
  <c r="C60" i="60"/>
  <c r="K97" i="60" l="1"/>
  <c r="L97" i="60" s="1"/>
  <c r="M97" i="60" s="1"/>
  <c r="N97" i="60" s="1"/>
  <c r="E97" i="60" s="1"/>
  <c r="J98" i="60"/>
  <c r="C56" i="60"/>
  <c r="C49" i="60"/>
  <c r="A96" i="60"/>
  <c r="I96" i="60"/>
  <c r="D96" i="60"/>
  <c r="J99" i="60" l="1"/>
  <c r="K98" i="60"/>
  <c r="L98" i="60" s="1"/>
  <c r="M98" i="60" s="1"/>
  <c r="N98" i="60" s="1"/>
  <c r="E98" i="60" s="1"/>
  <c r="D97" i="60"/>
  <c r="I97" i="60"/>
  <c r="A97" i="60"/>
  <c r="K99" i="60" l="1"/>
  <c r="L99" i="60" s="1"/>
  <c r="M99" i="60" s="1"/>
  <c r="N99" i="60" s="1"/>
  <c r="E99" i="60" s="1"/>
  <c r="J100" i="60"/>
  <c r="I98" i="60"/>
  <c r="A98" i="60"/>
  <c r="D98" i="60"/>
  <c r="K100" i="60" l="1"/>
  <c r="L100" i="60" s="1"/>
  <c r="M100" i="60" s="1"/>
  <c r="N100" i="60" s="1"/>
  <c r="E100" i="60" s="1"/>
  <c r="J101" i="60"/>
  <c r="A99" i="60"/>
  <c r="D99" i="60"/>
  <c r="I99" i="60"/>
  <c r="C86" i="60"/>
  <c r="C76" i="60"/>
  <c r="C83" i="60"/>
  <c r="C75" i="60"/>
  <c r="C74" i="60"/>
  <c r="C85" i="60"/>
  <c r="C77" i="60"/>
  <c r="C90" i="60"/>
  <c r="C89" i="60"/>
  <c r="C81" i="60"/>
  <c r="C80" i="60"/>
  <c r="C84" i="60"/>
  <c r="J102" i="60" l="1"/>
  <c r="K101" i="60"/>
  <c r="L101" i="60" s="1"/>
  <c r="M101" i="60" s="1"/>
  <c r="N101" i="60" s="1"/>
  <c r="E101" i="60" s="1"/>
  <c r="A100" i="60"/>
  <c r="D100" i="60"/>
  <c r="I100" i="60"/>
  <c r="B22" i="21"/>
  <c r="K102" i="60" l="1"/>
  <c r="L102" i="60" s="1"/>
  <c r="M102" i="60" s="1"/>
  <c r="N102" i="60" s="1"/>
  <c r="E102" i="60" s="1"/>
  <c r="J103" i="60"/>
  <c r="D101" i="60"/>
  <c r="I101" i="60"/>
  <c r="A101" i="60"/>
  <c r="K103" i="60" l="1"/>
  <c r="L103" i="60" s="1"/>
  <c r="M103" i="60" s="1"/>
  <c r="N103" i="60" s="1"/>
  <c r="E103" i="60" s="1"/>
  <c r="J104" i="60"/>
  <c r="A102" i="60"/>
  <c r="I102" i="60"/>
  <c r="D102" i="60"/>
  <c r="V29" i="58"/>
  <c r="V23" i="58"/>
  <c r="X5" i="68" s="1"/>
  <c r="Y5" i="68" s="1"/>
  <c r="W23" i="58"/>
  <c r="X6" i="68" s="1"/>
  <c r="Y6" i="68" s="1"/>
  <c r="X23" i="58"/>
  <c r="X7" i="68" s="1"/>
  <c r="Y7" i="68" s="1"/>
  <c r="X22" i="58"/>
  <c r="U7" i="68" s="1"/>
  <c r="V7" i="68" s="1"/>
  <c r="W22" i="58"/>
  <c r="U6" i="68" s="1"/>
  <c r="V6" i="68" s="1"/>
  <c r="V22" i="58"/>
  <c r="U5" i="68" s="1"/>
  <c r="V5" i="68" s="1"/>
  <c r="X20" i="58"/>
  <c r="W20" i="58"/>
  <c r="V20" i="58"/>
  <c r="X16" i="58"/>
  <c r="W16" i="58"/>
  <c r="V16" i="58"/>
  <c r="V12" i="58"/>
  <c r="V15" i="58" s="1"/>
  <c r="L5" i="68" s="1"/>
  <c r="M5" i="68" s="1"/>
  <c r="W12" i="58"/>
  <c r="W15" i="58" s="1"/>
  <c r="L6" i="68" s="1"/>
  <c r="M6" i="68" s="1"/>
  <c r="X12" i="58"/>
  <c r="X15" i="58" s="1"/>
  <c r="L7" i="68" s="1"/>
  <c r="M7" i="68" s="1"/>
  <c r="V11" i="58"/>
  <c r="I5" i="68" s="1"/>
  <c r="J5" i="68" s="1"/>
  <c r="W11" i="58"/>
  <c r="I6" i="68" s="1"/>
  <c r="J6" i="68" s="1"/>
  <c r="J105" i="60" l="1"/>
  <c r="K104" i="60"/>
  <c r="L104" i="60" s="1"/>
  <c r="M104" i="60" s="1"/>
  <c r="N104" i="60" s="1"/>
  <c r="E104" i="60" s="1"/>
  <c r="D103" i="60"/>
  <c r="A103" i="60"/>
  <c r="I103" i="60"/>
  <c r="V21" i="58"/>
  <c r="R5" i="68" s="1"/>
  <c r="S5" i="68" s="1"/>
  <c r="H37" i="21"/>
  <c r="W19" i="58"/>
  <c r="O6" i="68" s="1"/>
  <c r="P6" i="68" s="1"/>
  <c r="V19" i="58"/>
  <c r="O5" i="68" s="1"/>
  <c r="P5" i="68" s="1"/>
  <c r="X19" i="58"/>
  <c r="O7" i="68" s="1"/>
  <c r="P7" i="68" s="1"/>
  <c r="I37" i="21"/>
  <c r="G37" i="21"/>
  <c r="W21" i="58"/>
  <c r="R6" i="68" s="1"/>
  <c r="S6" i="68" s="1"/>
  <c r="X21" i="58"/>
  <c r="R7" i="68" s="1"/>
  <c r="S7" i="68" s="1"/>
  <c r="D119" i="20"/>
  <c r="D112" i="20"/>
  <c r="D115" i="20"/>
  <c r="D120" i="20"/>
  <c r="D121" i="20"/>
  <c r="D113" i="20"/>
  <c r="D114" i="20"/>
  <c r="D118" i="20"/>
  <c r="P50" i="58"/>
  <c r="P21" i="58"/>
  <c r="P49" i="58"/>
  <c r="O63" i="58" s="1"/>
  <c r="P20" i="58"/>
  <c r="P48" i="58"/>
  <c r="P25" i="58"/>
  <c r="P47" i="58"/>
  <c r="P24" i="58"/>
  <c r="P46" i="58"/>
  <c r="J53" i="58"/>
  <c r="P19" i="58"/>
  <c r="P45" i="58"/>
  <c r="J80" i="58"/>
  <c r="I23" i="21" s="1"/>
  <c r="J52" i="58"/>
  <c r="I22" i="21" s="1"/>
  <c r="P16" i="58"/>
  <c r="P56" i="58"/>
  <c r="J79" i="58"/>
  <c r="J51" i="58"/>
  <c r="P23" i="58"/>
  <c r="P53" i="58"/>
  <c r="J78" i="58"/>
  <c r="G23" i="21" s="1"/>
  <c r="J50" i="58"/>
  <c r="G22" i="21" s="1"/>
  <c r="P22" i="58"/>
  <c r="O6" i="58" s="1"/>
  <c r="P44" i="58"/>
  <c r="J77" i="58"/>
  <c r="H23" i="21" s="1"/>
  <c r="J49" i="58"/>
  <c r="H22" i="21" s="1"/>
  <c r="T50" i="58"/>
  <c r="T49" i="58"/>
  <c r="T48" i="58"/>
  <c r="T47" i="58"/>
  <c r="AA6" i="68"/>
  <c r="AB6" i="68" s="1"/>
  <c r="I67" i="58"/>
  <c r="J67" i="58" s="1"/>
  <c r="I39" i="58"/>
  <c r="J39" i="58" s="1"/>
  <c r="D39" i="58"/>
  <c r="G19" i="21" s="1"/>
  <c r="D37" i="58"/>
  <c r="H19" i="21" s="1"/>
  <c r="D35" i="58"/>
  <c r="K19" i="21" s="1"/>
  <c r="D28" i="58"/>
  <c r="I19" i="21" s="1"/>
  <c r="D33" i="58"/>
  <c r="D50" i="58"/>
  <c r="D49" i="58"/>
  <c r="D40" i="58"/>
  <c r="G20" i="21" s="1"/>
  <c r="D38" i="58"/>
  <c r="H20" i="21" s="1"/>
  <c r="D36" i="58"/>
  <c r="D29" i="58"/>
  <c r="I20" i="21" s="1"/>
  <c r="J17" i="58"/>
  <c r="J16" i="58"/>
  <c r="V40" i="58" s="1"/>
  <c r="C75" i="20"/>
  <c r="C72" i="20"/>
  <c r="K23" i="54"/>
  <c r="E333" i="57"/>
  <c r="H37" i="57"/>
  <c r="E251" i="57" s="1"/>
  <c r="H35" i="57"/>
  <c r="E172" i="57" s="1"/>
  <c r="H33" i="57"/>
  <c r="J20" i="21" l="1"/>
  <c r="K20" i="21"/>
  <c r="K22" i="21"/>
  <c r="J22" i="21"/>
  <c r="J23" i="21"/>
  <c r="K23" i="21"/>
  <c r="J19" i="21"/>
  <c r="G13" i="57" a="1"/>
  <c r="G13" i="57" s="1"/>
  <c r="G10" i="57" a="1"/>
  <c r="G10" i="57" s="1"/>
  <c r="G7" i="57" a="1"/>
  <c r="G7" i="57" s="1"/>
  <c r="E93" i="57"/>
  <c r="B4" i="68"/>
  <c r="G7" i="21"/>
  <c r="I7" i="21"/>
  <c r="O64" i="58"/>
  <c r="O65" i="58"/>
  <c r="O62" i="58"/>
  <c r="O66" i="58"/>
  <c r="AA7" i="68"/>
  <c r="AB7" i="68" s="1"/>
  <c r="K105" i="60"/>
  <c r="L105" i="60" s="1"/>
  <c r="M105" i="60" s="1"/>
  <c r="N105" i="60" s="1"/>
  <c r="E105" i="60" s="1"/>
  <c r="J106" i="60"/>
  <c r="C50" i="20"/>
  <c r="C49" i="20"/>
  <c r="O32" i="58"/>
  <c r="O33" i="58"/>
  <c r="I38" i="21"/>
  <c r="G38" i="21"/>
  <c r="H38" i="21"/>
  <c r="O30" i="58"/>
  <c r="A104" i="60"/>
  <c r="I104" i="60"/>
  <c r="D104" i="60"/>
  <c r="I39" i="21"/>
  <c r="H39" i="21"/>
  <c r="G39" i="21"/>
  <c r="O29" i="58"/>
  <c r="G86" i="20"/>
  <c r="B18" i="21"/>
  <c r="D23" i="21" s="1"/>
  <c r="O31" i="58"/>
  <c r="E82" i="57"/>
  <c r="K106" i="60" l="1"/>
  <c r="L106" i="60" s="1"/>
  <c r="M106" i="60" s="1"/>
  <c r="N106" i="60" s="1"/>
  <c r="E106" i="60" s="1"/>
  <c r="J107" i="60"/>
  <c r="I105" i="60"/>
  <c r="A105" i="60"/>
  <c r="D105" i="60"/>
  <c r="O34" i="58"/>
  <c r="D80" i="57"/>
  <c r="D78" i="57"/>
  <c r="C78" i="57"/>
  <c r="E73" i="57"/>
  <c r="E69" i="57" a="1"/>
  <c r="E69" i="57" s="1"/>
  <c r="D69" i="57" a="1"/>
  <c r="D69" i="57" s="1"/>
  <c r="E68" i="57"/>
  <c r="D68" i="57"/>
  <c r="E67" i="57"/>
  <c r="D67" i="57"/>
  <c r="E66" i="57"/>
  <c r="D66" i="57"/>
  <c r="E65" i="57"/>
  <c r="D65" i="57"/>
  <c r="E64" i="57"/>
  <c r="E62" i="57"/>
  <c r="E54" i="57"/>
  <c r="D52" i="57"/>
  <c r="C52" i="57"/>
  <c r="B52" i="57"/>
  <c r="D51" i="57"/>
  <c r="C51" i="57"/>
  <c r="B51" i="57"/>
  <c r="D50" i="57"/>
  <c r="C50" i="57"/>
  <c r="B50" i="57"/>
  <c r="D49" i="57"/>
  <c r="C49" i="57"/>
  <c r="B49" i="57"/>
  <c r="D48" i="57"/>
  <c r="C48" i="57"/>
  <c r="B48" i="57"/>
  <c r="D47" i="57"/>
  <c r="C47" i="57"/>
  <c r="B47" i="57"/>
  <c r="D46" i="57"/>
  <c r="C46" i="57"/>
  <c r="B46" i="57"/>
  <c r="D45" i="57"/>
  <c r="C45" i="57"/>
  <c r="B45" i="57"/>
  <c r="D44" i="57"/>
  <c r="C44" i="57"/>
  <c r="B44" i="57"/>
  <c r="D43" i="57"/>
  <c r="D42" i="57"/>
  <c r="D41" i="57"/>
  <c r="D40" i="57"/>
  <c r="D39" i="57"/>
  <c r="D38" i="57"/>
  <c r="D37" i="57"/>
  <c r="D36" i="57"/>
  <c r="D35" i="57"/>
  <c r="E33" i="57"/>
  <c r="E32" i="57"/>
  <c r="E31" i="57"/>
  <c r="E27" i="57"/>
  <c r="E25" i="57"/>
  <c r="E24" i="57"/>
  <c r="E23" i="57"/>
  <c r="E22" i="57"/>
  <c r="E21" i="57"/>
  <c r="E20" i="57"/>
  <c r="E18" i="57"/>
  <c r="E16" i="57"/>
  <c r="E15" i="57"/>
  <c r="E14" i="57"/>
  <c r="E13" i="57"/>
  <c r="E12" i="57"/>
  <c r="E10" i="57"/>
  <c r="G16" i="57"/>
  <c r="E335" i="57" l="1"/>
  <c r="E336" i="57"/>
  <c r="J108" i="60"/>
  <c r="K107" i="60"/>
  <c r="L107" i="60" s="1"/>
  <c r="M107" i="60" s="1"/>
  <c r="N107" i="60" s="1"/>
  <c r="E107" i="60" s="1"/>
  <c r="A106" i="60"/>
  <c r="I106" i="60"/>
  <c r="D106" i="60"/>
  <c r="H34" i="57"/>
  <c r="H36" i="57" s="1"/>
  <c r="H38" i="57" s="1"/>
  <c r="E47" i="57"/>
  <c r="E48" i="57"/>
  <c r="E50" i="57"/>
  <c r="E39" i="57"/>
  <c r="E51" i="57"/>
  <c r="E45" i="57"/>
  <c r="E40" i="57"/>
  <c r="E52" i="57"/>
  <c r="E41" i="57"/>
  <c r="E36" i="57"/>
  <c r="E49" i="57"/>
  <c r="E42" i="57"/>
  <c r="E43" i="57"/>
  <c r="E38" i="57"/>
  <c r="E70" i="57"/>
  <c r="J109" i="60" l="1"/>
  <c r="K108" i="60"/>
  <c r="L108" i="60" s="1"/>
  <c r="M108" i="60" s="1"/>
  <c r="N108" i="60" s="1"/>
  <c r="E108" i="60" s="1"/>
  <c r="I107" i="60"/>
  <c r="A107" i="60"/>
  <c r="D107" i="60"/>
  <c r="J13" i="36"/>
  <c r="J14" i="36"/>
  <c r="J21" i="36"/>
  <c r="J22" i="36"/>
  <c r="J9" i="36"/>
  <c r="J110" i="60" l="1"/>
  <c r="K109" i="60"/>
  <c r="L109" i="60" s="1"/>
  <c r="M109" i="60" s="1"/>
  <c r="N109" i="60" s="1"/>
  <c r="E109" i="60" s="1"/>
  <c r="A108" i="60"/>
  <c r="D108" i="60"/>
  <c r="I108" i="60"/>
  <c r="J111" i="60" l="1"/>
  <c r="K110" i="60"/>
  <c r="L110" i="60" s="1"/>
  <c r="M110" i="60" s="1"/>
  <c r="N110" i="60" s="1"/>
  <c r="E110" i="60" s="1"/>
  <c r="A109" i="60"/>
  <c r="I109" i="60"/>
  <c r="D109" i="60"/>
  <c r="K111" i="60" l="1"/>
  <c r="L111" i="60" s="1"/>
  <c r="M111" i="60" s="1"/>
  <c r="N111" i="60" s="1"/>
  <c r="E111" i="60" s="1"/>
  <c r="J112" i="60"/>
  <c r="A110" i="60"/>
  <c r="I110" i="60"/>
  <c r="D110" i="60"/>
  <c r="C66" i="20"/>
  <c r="J113" i="60" l="1"/>
  <c r="K112" i="60"/>
  <c r="L112" i="60" s="1"/>
  <c r="M112" i="60" s="1"/>
  <c r="N112" i="60" s="1"/>
  <c r="E112" i="60" s="1"/>
  <c r="D111" i="60"/>
  <c r="A111" i="60"/>
  <c r="I111" i="60"/>
  <c r="G36" i="21"/>
  <c r="I36" i="21"/>
  <c r="J114" i="60" l="1"/>
  <c r="K113" i="60"/>
  <c r="L113" i="60" s="1"/>
  <c r="M113" i="60" s="1"/>
  <c r="N113" i="60" s="1"/>
  <c r="E113" i="60" s="1"/>
  <c r="I112" i="60"/>
  <c r="D112" i="60"/>
  <c r="A112" i="60"/>
  <c r="H36" i="21"/>
  <c r="J115" i="60" l="1"/>
  <c r="K114" i="60"/>
  <c r="L114" i="60" s="1"/>
  <c r="M114" i="60" s="1"/>
  <c r="N114" i="60" s="1"/>
  <c r="E114" i="60" s="1"/>
  <c r="A113" i="60"/>
  <c r="D113" i="60"/>
  <c r="I113" i="60"/>
  <c r="I4" i="30"/>
  <c r="C69" i="20"/>
  <c r="C78" i="20"/>
  <c r="J116" i="60" l="1"/>
  <c r="K115" i="60"/>
  <c r="L115" i="60" s="1"/>
  <c r="M115" i="60" s="1"/>
  <c r="N115" i="60" s="1"/>
  <c r="E115" i="60" s="1"/>
  <c r="I114" i="60"/>
  <c r="D114" i="60"/>
  <c r="A114" i="60"/>
  <c r="J117" i="60" l="1"/>
  <c r="K116" i="60"/>
  <c r="L116" i="60" s="1"/>
  <c r="M116" i="60" s="1"/>
  <c r="N116" i="60" s="1"/>
  <c r="E116" i="60" s="1"/>
  <c r="A115" i="60"/>
  <c r="D115" i="60"/>
  <c r="I115" i="60"/>
  <c r="I12" i="30"/>
  <c r="J118" i="60" l="1"/>
  <c r="K117" i="60"/>
  <c r="L117" i="60" s="1"/>
  <c r="M117" i="60" s="1"/>
  <c r="N117" i="60" s="1"/>
  <c r="E117" i="60" s="1"/>
  <c r="D116" i="60"/>
  <c r="A116" i="60"/>
  <c r="I116" i="60"/>
  <c r="D89" i="20"/>
  <c r="D92" i="20"/>
  <c r="D81" i="20"/>
  <c r="D82" i="20"/>
  <c r="D83" i="20"/>
  <c r="D84" i="20"/>
  <c r="D85" i="20"/>
  <c r="D86" i="20"/>
  <c r="D80" i="20"/>
  <c r="J119" i="60" l="1"/>
  <c r="K118" i="60"/>
  <c r="L118" i="60" s="1"/>
  <c r="M118" i="60" s="1"/>
  <c r="N118" i="60" s="1"/>
  <c r="E118" i="60" s="1"/>
  <c r="A117" i="60"/>
  <c r="I117" i="60"/>
  <c r="D117" i="60"/>
  <c r="G35" i="21"/>
  <c r="H35" i="21"/>
  <c r="I35" i="21"/>
  <c r="G34" i="21"/>
  <c r="H34" i="21"/>
  <c r="I34" i="21"/>
  <c r="J120" i="60" l="1"/>
  <c r="K119" i="60"/>
  <c r="L119" i="60" s="1"/>
  <c r="M119" i="60" s="1"/>
  <c r="N119" i="60" s="1"/>
  <c r="E119" i="60" s="1"/>
  <c r="A118" i="60"/>
  <c r="D118" i="60"/>
  <c r="I118" i="60"/>
  <c r="D17" i="21"/>
  <c r="K120" i="60" l="1"/>
  <c r="L120" i="60" s="1"/>
  <c r="M120" i="60" s="1"/>
  <c r="N120" i="60" s="1"/>
  <c r="E120" i="60" s="1"/>
  <c r="J121" i="60"/>
  <c r="D119" i="60"/>
  <c r="A119" i="60"/>
  <c r="I119" i="60"/>
  <c r="J122" i="60" l="1"/>
  <c r="K121" i="60"/>
  <c r="L121" i="60" s="1"/>
  <c r="M121" i="60" s="1"/>
  <c r="N121" i="60" s="1"/>
  <c r="E121" i="60" s="1"/>
  <c r="A120" i="60"/>
  <c r="D120" i="60"/>
  <c r="I120" i="60"/>
  <c r="J123" i="60" l="1"/>
  <c r="K122" i="60"/>
  <c r="L122" i="60" s="1"/>
  <c r="M122" i="60" s="1"/>
  <c r="N122" i="60" s="1"/>
  <c r="E122" i="60" s="1"/>
  <c r="D121" i="60"/>
  <c r="I121" i="60"/>
  <c r="A121" i="60"/>
  <c r="D58" i="19"/>
  <c r="R58" i="19"/>
  <c r="R1267" i="19"/>
  <c r="R1266" i="19"/>
  <c r="R1265" i="19"/>
  <c r="R1264" i="19"/>
  <c r="R1263" i="19"/>
  <c r="R1262" i="19"/>
  <c r="R1261" i="19"/>
  <c r="R1260" i="19"/>
  <c r="R1259" i="19"/>
  <c r="R1258" i="19"/>
  <c r="R1257" i="19"/>
  <c r="R1256" i="19"/>
  <c r="R1255" i="19"/>
  <c r="R1254" i="19"/>
  <c r="R1253" i="19"/>
  <c r="R1252" i="19"/>
  <c r="R1251" i="19"/>
  <c r="R1250" i="19"/>
  <c r="R1249" i="19"/>
  <c r="R1248" i="19"/>
  <c r="R1247" i="19"/>
  <c r="R1246" i="19"/>
  <c r="R1245" i="19"/>
  <c r="R1244" i="19"/>
  <c r="R1243" i="19"/>
  <c r="R1242" i="19"/>
  <c r="R1241" i="19"/>
  <c r="R1240" i="19"/>
  <c r="R1239" i="19"/>
  <c r="R1238" i="19"/>
  <c r="R1237" i="19"/>
  <c r="R1236" i="19"/>
  <c r="R1235" i="19"/>
  <c r="R1234" i="19"/>
  <c r="R1233" i="19"/>
  <c r="R1232" i="19"/>
  <c r="R1231" i="19"/>
  <c r="R1230" i="19"/>
  <c r="R1229" i="19"/>
  <c r="R1228" i="19"/>
  <c r="R1227" i="19"/>
  <c r="R1226" i="19"/>
  <c r="R1225" i="19"/>
  <c r="R1224" i="19"/>
  <c r="R1223" i="19"/>
  <c r="R1222" i="19"/>
  <c r="R1221" i="19"/>
  <c r="R1220" i="19"/>
  <c r="R1219" i="19"/>
  <c r="R1218" i="19"/>
  <c r="R1217" i="19"/>
  <c r="R1216" i="19"/>
  <c r="R1215" i="19"/>
  <c r="R1214" i="19"/>
  <c r="R1213" i="19"/>
  <c r="R1212" i="19"/>
  <c r="R1211" i="19"/>
  <c r="R1210" i="19"/>
  <c r="R1209" i="19"/>
  <c r="R1208" i="19"/>
  <c r="R1207" i="19"/>
  <c r="R1206" i="19"/>
  <c r="R1205" i="19"/>
  <c r="R1204" i="19"/>
  <c r="R1203" i="19"/>
  <c r="R1202" i="19"/>
  <c r="R1201" i="19"/>
  <c r="R1200" i="19"/>
  <c r="R1199" i="19"/>
  <c r="R1198" i="19"/>
  <c r="R1197" i="19"/>
  <c r="R1196" i="19"/>
  <c r="R1195" i="19"/>
  <c r="R1194" i="19"/>
  <c r="R1193" i="19"/>
  <c r="R1192" i="19"/>
  <c r="R1191" i="19"/>
  <c r="R1190" i="19"/>
  <c r="R1189" i="19"/>
  <c r="R1188" i="19"/>
  <c r="R1187" i="19"/>
  <c r="R1186" i="19"/>
  <c r="R1185" i="19"/>
  <c r="R1184" i="19"/>
  <c r="R1183" i="19"/>
  <c r="R1182" i="19"/>
  <c r="R1181" i="19"/>
  <c r="R1180" i="19"/>
  <c r="R1179" i="19"/>
  <c r="R1178" i="19"/>
  <c r="R1177" i="19"/>
  <c r="R1176" i="19"/>
  <c r="R1175" i="19"/>
  <c r="R1174" i="19"/>
  <c r="R1173" i="19"/>
  <c r="R1172" i="19"/>
  <c r="R1171" i="19"/>
  <c r="R1170" i="19"/>
  <c r="R1169" i="19"/>
  <c r="R1168" i="19"/>
  <c r="R1167" i="19"/>
  <c r="R1166" i="19"/>
  <c r="R1165" i="19"/>
  <c r="R1164" i="19"/>
  <c r="R1163" i="19"/>
  <c r="R1162" i="19"/>
  <c r="R1161" i="19"/>
  <c r="R1160" i="19"/>
  <c r="R1159" i="19"/>
  <c r="R1158" i="19"/>
  <c r="R1157" i="19"/>
  <c r="R1156" i="19"/>
  <c r="R1155" i="19"/>
  <c r="R1154" i="19"/>
  <c r="R1153" i="19"/>
  <c r="R1152" i="19"/>
  <c r="R1151" i="19"/>
  <c r="R1150" i="19"/>
  <c r="R1149" i="19"/>
  <c r="R1148" i="19"/>
  <c r="R1147" i="19"/>
  <c r="R1146" i="19"/>
  <c r="R1145" i="19"/>
  <c r="R1144" i="19"/>
  <c r="R1143" i="19"/>
  <c r="R1142" i="19"/>
  <c r="R1141" i="19"/>
  <c r="R1140" i="19"/>
  <c r="R1139" i="19"/>
  <c r="R1138" i="19"/>
  <c r="R1137" i="19"/>
  <c r="R1136" i="19"/>
  <c r="R1135" i="19"/>
  <c r="R1134" i="19"/>
  <c r="R1133" i="19"/>
  <c r="R1132" i="19"/>
  <c r="R1131" i="19"/>
  <c r="R1130" i="19"/>
  <c r="R1129" i="19"/>
  <c r="R1128" i="19"/>
  <c r="R1127" i="19"/>
  <c r="R1126" i="19"/>
  <c r="R1125" i="19"/>
  <c r="R1124" i="19"/>
  <c r="R1123" i="19"/>
  <c r="R1122" i="19"/>
  <c r="R1121" i="19"/>
  <c r="R1120" i="19"/>
  <c r="R1119" i="19"/>
  <c r="R1118" i="19"/>
  <c r="R1117" i="19"/>
  <c r="R1116" i="19"/>
  <c r="R1115" i="19"/>
  <c r="R1114" i="19"/>
  <c r="R1113" i="19"/>
  <c r="R1112" i="19"/>
  <c r="R1111" i="19"/>
  <c r="R1110" i="19"/>
  <c r="R1109" i="19"/>
  <c r="R1108" i="19"/>
  <c r="R1107" i="19"/>
  <c r="R1106" i="19"/>
  <c r="R1105" i="19"/>
  <c r="R1104" i="19"/>
  <c r="R1103" i="19"/>
  <c r="R1102" i="19"/>
  <c r="R1101" i="19"/>
  <c r="R1100" i="19"/>
  <c r="R1099" i="19"/>
  <c r="R1098" i="19"/>
  <c r="R1097" i="19"/>
  <c r="R1096" i="19"/>
  <c r="R1095" i="19"/>
  <c r="R1094" i="19"/>
  <c r="R1093" i="19"/>
  <c r="R1092" i="19"/>
  <c r="R1091" i="19"/>
  <c r="R1090" i="19"/>
  <c r="R1089" i="19"/>
  <c r="R1088" i="19"/>
  <c r="R1087" i="19"/>
  <c r="R1086" i="19"/>
  <c r="R1085" i="19"/>
  <c r="R1084" i="19"/>
  <c r="R1083" i="19"/>
  <c r="R1082" i="19"/>
  <c r="R1081" i="19"/>
  <c r="R1080" i="19"/>
  <c r="R1079" i="19"/>
  <c r="R1078" i="19"/>
  <c r="R1077" i="19"/>
  <c r="R1076" i="19"/>
  <c r="R1075" i="19"/>
  <c r="R1074" i="19"/>
  <c r="R1073" i="19"/>
  <c r="R1072" i="19"/>
  <c r="R1071" i="19"/>
  <c r="R1070" i="19"/>
  <c r="R1069" i="19"/>
  <c r="R1068" i="19"/>
  <c r="R1067" i="19"/>
  <c r="R1066" i="19"/>
  <c r="R1065" i="19"/>
  <c r="R1064" i="19"/>
  <c r="R1063" i="19"/>
  <c r="R1062" i="19"/>
  <c r="R1061" i="19"/>
  <c r="R1060" i="19"/>
  <c r="R1059" i="19"/>
  <c r="R1058" i="19"/>
  <c r="R1057" i="19"/>
  <c r="R1056" i="19"/>
  <c r="R1055" i="19"/>
  <c r="R1054" i="19"/>
  <c r="R1053" i="19"/>
  <c r="R1052" i="19"/>
  <c r="R1051" i="19"/>
  <c r="R1050" i="19"/>
  <c r="R1049" i="19"/>
  <c r="R1048" i="19"/>
  <c r="R1047" i="19"/>
  <c r="R1046" i="19"/>
  <c r="R1045" i="19"/>
  <c r="R1044" i="19"/>
  <c r="R1043" i="19"/>
  <c r="R1042" i="19"/>
  <c r="R1041" i="19"/>
  <c r="R1040" i="19"/>
  <c r="R1039" i="19"/>
  <c r="R1038" i="19"/>
  <c r="R1037" i="19"/>
  <c r="R1036" i="19"/>
  <c r="R1035" i="19"/>
  <c r="R1034" i="19"/>
  <c r="R1033" i="19"/>
  <c r="R1032" i="19"/>
  <c r="R1031" i="19"/>
  <c r="R1030" i="19"/>
  <c r="R1029" i="19"/>
  <c r="R1028" i="19"/>
  <c r="R1027" i="19"/>
  <c r="R1026" i="19"/>
  <c r="R1025" i="19"/>
  <c r="R1024" i="19"/>
  <c r="R1023" i="19"/>
  <c r="R1022" i="19"/>
  <c r="R1021" i="19"/>
  <c r="R1020" i="19"/>
  <c r="R1019" i="19"/>
  <c r="R1018" i="19"/>
  <c r="R1017" i="19"/>
  <c r="R1016" i="19"/>
  <c r="R1015" i="19"/>
  <c r="R1014" i="19"/>
  <c r="R1013" i="19"/>
  <c r="R1012" i="19"/>
  <c r="R1011" i="19"/>
  <c r="R1010" i="19"/>
  <c r="R1009" i="19"/>
  <c r="R1008" i="19"/>
  <c r="R1007" i="19"/>
  <c r="R1006" i="19"/>
  <c r="R1005" i="19"/>
  <c r="R1004" i="19"/>
  <c r="R1003" i="19"/>
  <c r="R1002" i="19"/>
  <c r="R1001" i="19"/>
  <c r="R1000" i="19"/>
  <c r="R999" i="19"/>
  <c r="R998" i="19"/>
  <c r="R997" i="19"/>
  <c r="R996" i="19"/>
  <c r="R995" i="19"/>
  <c r="R994" i="19"/>
  <c r="R993" i="19"/>
  <c r="R992" i="19"/>
  <c r="R991" i="19"/>
  <c r="R990" i="19"/>
  <c r="R989" i="19"/>
  <c r="R988" i="19"/>
  <c r="R987" i="19"/>
  <c r="R986" i="19"/>
  <c r="R985" i="19"/>
  <c r="R984" i="19"/>
  <c r="R983" i="19"/>
  <c r="R982" i="19"/>
  <c r="R981" i="19"/>
  <c r="R980" i="19"/>
  <c r="R979" i="19"/>
  <c r="R978" i="19"/>
  <c r="R977" i="19"/>
  <c r="R976" i="19"/>
  <c r="R975" i="19"/>
  <c r="R974" i="19"/>
  <c r="R973" i="19"/>
  <c r="R972" i="19"/>
  <c r="R971" i="19"/>
  <c r="R970" i="19"/>
  <c r="R969" i="19"/>
  <c r="R968" i="19"/>
  <c r="R967" i="19"/>
  <c r="R966" i="19"/>
  <c r="R965" i="19"/>
  <c r="R964" i="19"/>
  <c r="R963" i="19"/>
  <c r="R962" i="19"/>
  <c r="R961" i="19"/>
  <c r="R960" i="19"/>
  <c r="R959" i="19"/>
  <c r="R958" i="19"/>
  <c r="R957" i="19"/>
  <c r="R956" i="19"/>
  <c r="R955" i="19"/>
  <c r="R954" i="19"/>
  <c r="R953" i="19"/>
  <c r="R952" i="19"/>
  <c r="R951" i="19"/>
  <c r="R950" i="19"/>
  <c r="R949" i="19"/>
  <c r="R948" i="19"/>
  <c r="R947" i="19"/>
  <c r="R946" i="19"/>
  <c r="R945" i="19"/>
  <c r="R944" i="19"/>
  <c r="R943" i="19"/>
  <c r="R942" i="19"/>
  <c r="R941" i="19"/>
  <c r="R940" i="19"/>
  <c r="R939" i="19"/>
  <c r="R938" i="19"/>
  <c r="R937" i="19"/>
  <c r="R936" i="19"/>
  <c r="R935" i="19"/>
  <c r="R934" i="19"/>
  <c r="R933" i="19"/>
  <c r="R932" i="19"/>
  <c r="R931" i="19"/>
  <c r="R930" i="19"/>
  <c r="R929" i="19"/>
  <c r="R928" i="19"/>
  <c r="R927" i="19"/>
  <c r="R926" i="19"/>
  <c r="R925" i="19"/>
  <c r="R924" i="19"/>
  <c r="R923" i="19"/>
  <c r="R922" i="19"/>
  <c r="R921" i="19"/>
  <c r="R920" i="19"/>
  <c r="R919" i="19"/>
  <c r="R918" i="19"/>
  <c r="R917" i="19"/>
  <c r="R916" i="19"/>
  <c r="R915" i="19"/>
  <c r="R914" i="19"/>
  <c r="R913" i="19"/>
  <c r="R912" i="19"/>
  <c r="R911" i="19"/>
  <c r="R910" i="19"/>
  <c r="R909" i="19"/>
  <c r="R908" i="19"/>
  <c r="R907" i="19"/>
  <c r="R906" i="19"/>
  <c r="R905" i="19"/>
  <c r="R904" i="19"/>
  <c r="R903" i="19"/>
  <c r="R902" i="19"/>
  <c r="R901" i="19"/>
  <c r="R900" i="19"/>
  <c r="R899" i="19"/>
  <c r="R898" i="19"/>
  <c r="R897" i="19"/>
  <c r="R896" i="19"/>
  <c r="R895" i="19"/>
  <c r="R894" i="19"/>
  <c r="R893" i="19"/>
  <c r="R892" i="19"/>
  <c r="R891" i="19"/>
  <c r="R890" i="19"/>
  <c r="R889" i="19"/>
  <c r="R888" i="19"/>
  <c r="R887" i="19"/>
  <c r="R886" i="19"/>
  <c r="R885" i="19"/>
  <c r="R884" i="19"/>
  <c r="R883" i="19"/>
  <c r="R882" i="19"/>
  <c r="R881" i="19"/>
  <c r="R880" i="19"/>
  <c r="R879" i="19"/>
  <c r="R878" i="19"/>
  <c r="R877" i="19"/>
  <c r="R876" i="19"/>
  <c r="R875" i="19"/>
  <c r="R874" i="19"/>
  <c r="R873" i="19"/>
  <c r="R872" i="19"/>
  <c r="R871" i="19"/>
  <c r="R870" i="19"/>
  <c r="R869" i="19"/>
  <c r="R868" i="19"/>
  <c r="R867" i="19"/>
  <c r="R866" i="19"/>
  <c r="R865" i="19"/>
  <c r="R864" i="19"/>
  <c r="R863" i="19"/>
  <c r="R862" i="19"/>
  <c r="R861" i="19"/>
  <c r="R860" i="19"/>
  <c r="R859" i="19"/>
  <c r="R858" i="19"/>
  <c r="R857" i="19"/>
  <c r="R856" i="19"/>
  <c r="R855" i="19"/>
  <c r="R854" i="19"/>
  <c r="R853" i="19"/>
  <c r="R852" i="19"/>
  <c r="R851" i="19"/>
  <c r="R850" i="19"/>
  <c r="R849" i="19"/>
  <c r="R848" i="19"/>
  <c r="R847" i="19"/>
  <c r="R846" i="19"/>
  <c r="R845" i="19"/>
  <c r="R844" i="19"/>
  <c r="R843" i="19"/>
  <c r="R842" i="19"/>
  <c r="R841" i="19"/>
  <c r="R840" i="19"/>
  <c r="R839" i="19"/>
  <c r="R838" i="19"/>
  <c r="R837" i="19"/>
  <c r="R836" i="19"/>
  <c r="R835" i="19"/>
  <c r="R834" i="19"/>
  <c r="R833" i="19"/>
  <c r="R832" i="19"/>
  <c r="R831" i="19"/>
  <c r="R830" i="19"/>
  <c r="R829" i="19"/>
  <c r="R828" i="19"/>
  <c r="R827" i="19"/>
  <c r="R826" i="19"/>
  <c r="R825" i="19"/>
  <c r="R824" i="19"/>
  <c r="R823" i="19"/>
  <c r="R822" i="19"/>
  <c r="R821" i="19"/>
  <c r="R820" i="19"/>
  <c r="R819" i="19"/>
  <c r="R818" i="19"/>
  <c r="R817" i="19"/>
  <c r="R816" i="19"/>
  <c r="R815" i="19"/>
  <c r="R814" i="19"/>
  <c r="R813" i="19"/>
  <c r="R812" i="19"/>
  <c r="R811" i="19"/>
  <c r="R810" i="19"/>
  <c r="R809" i="19"/>
  <c r="R808" i="19"/>
  <c r="R807" i="19"/>
  <c r="R806" i="19"/>
  <c r="R805" i="19"/>
  <c r="R804" i="19"/>
  <c r="R803" i="19"/>
  <c r="R802" i="19"/>
  <c r="R801" i="19"/>
  <c r="R800" i="19"/>
  <c r="R799" i="19"/>
  <c r="R798" i="19"/>
  <c r="R797" i="19"/>
  <c r="R796" i="19"/>
  <c r="R795" i="19"/>
  <c r="R794" i="19"/>
  <c r="R793" i="19"/>
  <c r="R792" i="19"/>
  <c r="R791" i="19"/>
  <c r="R790" i="19"/>
  <c r="R789" i="19"/>
  <c r="R788" i="19"/>
  <c r="R787" i="19"/>
  <c r="R786" i="19"/>
  <c r="R785" i="19"/>
  <c r="R784" i="19"/>
  <c r="R783" i="19"/>
  <c r="R782" i="19"/>
  <c r="R781" i="19"/>
  <c r="R780" i="19"/>
  <c r="R779" i="19"/>
  <c r="R778" i="19"/>
  <c r="R777" i="19"/>
  <c r="R776" i="19"/>
  <c r="R775" i="19"/>
  <c r="R774" i="19"/>
  <c r="R773" i="19"/>
  <c r="R772" i="19"/>
  <c r="R771" i="19"/>
  <c r="R770" i="19"/>
  <c r="R769" i="19"/>
  <c r="R768" i="19"/>
  <c r="R767" i="19"/>
  <c r="R766" i="19"/>
  <c r="R765" i="19"/>
  <c r="R764" i="19"/>
  <c r="R763" i="19"/>
  <c r="R762" i="19"/>
  <c r="R761" i="19"/>
  <c r="R760" i="19"/>
  <c r="R759" i="19"/>
  <c r="R758" i="19"/>
  <c r="R757" i="19"/>
  <c r="R756" i="19"/>
  <c r="R755" i="19"/>
  <c r="R754" i="19"/>
  <c r="R753" i="19"/>
  <c r="R752" i="19"/>
  <c r="R751" i="19"/>
  <c r="R750" i="19"/>
  <c r="R749" i="19"/>
  <c r="R748" i="19"/>
  <c r="R747" i="19"/>
  <c r="R746" i="19"/>
  <c r="R745" i="19"/>
  <c r="R744" i="19"/>
  <c r="R743" i="19"/>
  <c r="R742" i="19"/>
  <c r="R741" i="19"/>
  <c r="R740" i="19"/>
  <c r="R739" i="19"/>
  <c r="R738" i="19"/>
  <c r="R737" i="19"/>
  <c r="R736" i="19"/>
  <c r="R735" i="19"/>
  <c r="R734" i="19"/>
  <c r="R733" i="19"/>
  <c r="R732" i="19"/>
  <c r="R731" i="19"/>
  <c r="R730" i="19"/>
  <c r="R729" i="19"/>
  <c r="R728" i="19"/>
  <c r="R727" i="19"/>
  <c r="R726" i="19"/>
  <c r="R725" i="19"/>
  <c r="R724" i="19"/>
  <c r="R723" i="19"/>
  <c r="R722" i="19"/>
  <c r="R721" i="19"/>
  <c r="R720" i="19"/>
  <c r="R719" i="19"/>
  <c r="R718" i="19"/>
  <c r="R717" i="19"/>
  <c r="R716" i="19"/>
  <c r="R715" i="19"/>
  <c r="R714" i="19"/>
  <c r="R713" i="19"/>
  <c r="R712" i="19"/>
  <c r="R711" i="19"/>
  <c r="R710" i="19"/>
  <c r="R709" i="19"/>
  <c r="R708" i="19"/>
  <c r="R707" i="19"/>
  <c r="R706" i="19"/>
  <c r="R705" i="19"/>
  <c r="R704" i="19"/>
  <c r="R703" i="19"/>
  <c r="R702" i="19"/>
  <c r="R701" i="19"/>
  <c r="R700" i="19"/>
  <c r="R699" i="19"/>
  <c r="R698" i="19"/>
  <c r="R697" i="19"/>
  <c r="R696" i="19"/>
  <c r="R695" i="19"/>
  <c r="R694" i="19"/>
  <c r="R693" i="19"/>
  <c r="R692" i="19"/>
  <c r="R691" i="19"/>
  <c r="R690" i="19"/>
  <c r="R689" i="19"/>
  <c r="R688" i="19"/>
  <c r="R687" i="19"/>
  <c r="R686" i="19"/>
  <c r="R685" i="19"/>
  <c r="R684" i="19"/>
  <c r="R683" i="19"/>
  <c r="R682" i="19"/>
  <c r="R681" i="19"/>
  <c r="R680" i="19"/>
  <c r="R679" i="19"/>
  <c r="R678" i="19"/>
  <c r="R677" i="19"/>
  <c r="R676" i="19"/>
  <c r="R675" i="19"/>
  <c r="R674" i="19"/>
  <c r="R673" i="19"/>
  <c r="R672" i="19"/>
  <c r="R671" i="19"/>
  <c r="R670" i="19"/>
  <c r="R669" i="19"/>
  <c r="R668" i="19"/>
  <c r="R667" i="19"/>
  <c r="R666" i="19"/>
  <c r="R665" i="19"/>
  <c r="R664" i="19"/>
  <c r="R663" i="19"/>
  <c r="R662" i="19"/>
  <c r="R661" i="19"/>
  <c r="R660" i="19"/>
  <c r="R659" i="19"/>
  <c r="R658" i="19"/>
  <c r="R657" i="19"/>
  <c r="R656" i="19"/>
  <c r="R655" i="19"/>
  <c r="R654" i="19"/>
  <c r="R653" i="19"/>
  <c r="R652" i="19"/>
  <c r="R651" i="19"/>
  <c r="R650" i="19"/>
  <c r="R649" i="19"/>
  <c r="R648" i="19"/>
  <c r="R647" i="19"/>
  <c r="R646" i="19"/>
  <c r="R645" i="19"/>
  <c r="R644" i="19"/>
  <c r="R643" i="19"/>
  <c r="R642" i="19"/>
  <c r="R641" i="19"/>
  <c r="R640" i="19"/>
  <c r="R639" i="19"/>
  <c r="R638" i="19"/>
  <c r="R637" i="19"/>
  <c r="R636" i="19"/>
  <c r="R635" i="19"/>
  <c r="R634" i="19"/>
  <c r="R633" i="19"/>
  <c r="R632" i="19"/>
  <c r="R631" i="19"/>
  <c r="R630" i="19"/>
  <c r="R629" i="19"/>
  <c r="R628" i="19"/>
  <c r="R627" i="19"/>
  <c r="R626" i="19"/>
  <c r="R625" i="19"/>
  <c r="R624" i="19"/>
  <c r="R623" i="19"/>
  <c r="R622" i="19"/>
  <c r="R621" i="19"/>
  <c r="R620" i="19"/>
  <c r="R619" i="19"/>
  <c r="R618" i="19"/>
  <c r="R617" i="19"/>
  <c r="R616" i="19"/>
  <c r="R615" i="19"/>
  <c r="R614" i="19"/>
  <c r="R613" i="19"/>
  <c r="R612" i="19"/>
  <c r="R611" i="19"/>
  <c r="R610" i="19"/>
  <c r="R609" i="19"/>
  <c r="R608" i="19"/>
  <c r="R607" i="19"/>
  <c r="R606" i="19"/>
  <c r="R605" i="19"/>
  <c r="R604" i="19"/>
  <c r="R603" i="19"/>
  <c r="R602" i="19"/>
  <c r="R601" i="19"/>
  <c r="R600" i="19"/>
  <c r="R599" i="19"/>
  <c r="R598" i="19"/>
  <c r="R597" i="19"/>
  <c r="R596" i="19"/>
  <c r="R595" i="19"/>
  <c r="R594" i="19"/>
  <c r="R593" i="19"/>
  <c r="R592" i="19"/>
  <c r="R591" i="19"/>
  <c r="R590" i="19"/>
  <c r="R589" i="19"/>
  <c r="R588" i="19"/>
  <c r="R587" i="19"/>
  <c r="R586" i="19"/>
  <c r="R585" i="19"/>
  <c r="R584" i="19"/>
  <c r="R583" i="19"/>
  <c r="R582" i="19"/>
  <c r="R581" i="19"/>
  <c r="R580" i="19"/>
  <c r="R579" i="19"/>
  <c r="R578" i="19"/>
  <c r="R577" i="19"/>
  <c r="R576" i="19"/>
  <c r="R575" i="19"/>
  <c r="R574" i="19"/>
  <c r="R573" i="19"/>
  <c r="R572" i="19"/>
  <c r="R571" i="19"/>
  <c r="R570" i="19"/>
  <c r="R569" i="19"/>
  <c r="R568" i="19"/>
  <c r="R567" i="19"/>
  <c r="R566" i="19"/>
  <c r="R565" i="19"/>
  <c r="R564" i="19"/>
  <c r="R563" i="19"/>
  <c r="R562" i="19"/>
  <c r="R561" i="19"/>
  <c r="R560" i="19"/>
  <c r="R559" i="19"/>
  <c r="R558" i="19"/>
  <c r="R557" i="19"/>
  <c r="R556" i="19"/>
  <c r="R555" i="19"/>
  <c r="R554" i="19"/>
  <c r="R553" i="19"/>
  <c r="R552" i="19"/>
  <c r="R551" i="19"/>
  <c r="R550" i="19"/>
  <c r="R549" i="19"/>
  <c r="R548" i="19"/>
  <c r="R547" i="19"/>
  <c r="R546" i="19"/>
  <c r="R545" i="19"/>
  <c r="R544" i="19"/>
  <c r="R543" i="19"/>
  <c r="R542" i="19"/>
  <c r="R541" i="19"/>
  <c r="R540" i="19"/>
  <c r="R539" i="19"/>
  <c r="R538" i="19"/>
  <c r="R537" i="19"/>
  <c r="R536" i="19"/>
  <c r="R535" i="19"/>
  <c r="R534" i="19"/>
  <c r="R533" i="19"/>
  <c r="R532" i="19"/>
  <c r="R531" i="19"/>
  <c r="R530" i="19"/>
  <c r="R529" i="19"/>
  <c r="R528" i="19"/>
  <c r="R527" i="19"/>
  <c r="R526" i="19"/>
  <c r="R525" i="19"/>
  <c r="R524" i="19"/>
  <c r="R523" i="19"/>
  <c r="R522" i="19"/>
  <c r="R521" i="19"/>
  <c r="R520" i="19"/>
  <c r="R519" i="19"/>
  <c r="R518" i="19"/>
  <c r="R517" i="19"/>
  <c r="R516" i="19"/>
  <c r="R515" i="19"/>
  <c r="R514" i="19"/>
  <c r="R513" i="19"/>
  <c r="R512" i="19"/>
  <c r="R511" i="19"/>
  <c r="R510" i="19"/>
  <c r="R509" i="19"/>
  <c r="R508" i="19"/>
  <c r="R507" i="19"/>
  <c r="R506" i="19"/>
  <c r="R505" i="19"/>
  <c r="R504" i="19"/>
  <c r="R503" i="19"/>
  <c r="R502" i="19"/>
  <c r="R501" i="19"/>
  <c r="R500" i="19"/>
  <c r="R499" i="19"/>
  <c r="R498" i="19"/>
  <c r="R497" i="19"/>
  <c r="R496" i="19"/>
  <c r="R495" i="19"/>
  <c r="R494" i="19"/>
  <c r="R493" i="19"/>
  <c r="R492" i="19"/>
  <c r="R491" i="19"/>
  <c r="R490" i="19"/>
  <c r="R489" i="19"/>
  <c r="R488" i="19"/>
  <c r="R487" i="19"/>
  <c r="R486" i="19"/>
  <c r="R485" i="19"/>
  <c r="R484" i="19"/>
  <c r="R483" i="19"/>
  <c r="R482" i="19"/>
  <c r="R481" i="19"/>
  <c r="R480" i="19"/>
  <c r="R479" i="19"/>
  <c r="R478" i="19"/>
  <c r="R477" i="19"/>
  <c r="R476" i="19"/>
  <c r="R475" i="19"/>
  <c r="R474" i="19"/>
  <c r="R473" i="19"/>
  <c r="R472" i="19"/>
  <c r="R471" i="19"/>
  <c r="R470" i="19"/>
  <c r="R469" i="19"/>
  <c r="R468" i="19"/>
  <c r="R467" i="19"/>
  <c r="R466" i="19"/>
  <c r="R465" i="19"/>
  <c r="R464" i="19"/>
  <c r="R463" i="19"/>
  <c r="R462" i="19"/>
  <c r="R461" i="19"/>
  <c r="R460" i="19"/>
  <c r="R459" i="19"/>
  <c r="R458" i="19"/>
  <c r="R457" i="19"/>
  <c r="R456" i="19"/>
  <c r="R455" i="19"/>
  <c r="R454" i="19"/>
  <c r="R453" i="19"/>
  <c r="R452" i="19"/>
  <c r="R451" i="19"/>
  <c r="R450" i="19"/>
  <c r="R449" i="19"/>
  <c r="R448" i="19"/>
  <c r="R447" i="19"/>
  <c r="R446" i="19"/>
  <c r="R445" i="19"/>
  <c r="R444" i="19"/>
  <c r="R443" i="19"/>
  <c r="R442" i="19"/>
  <c r="R441" i="19"/>
  <c r="R440" i="19"/>
  <c r="R439" i="19"/>
  <c r="R438" i="19"/>
  <c r="R437" i="19"/>
  <c r="R436" i="19"/>
  <c r="R435" i="19"/>
  <c r="R434" i="19"/>
  <c r="R433" i="19"/>
  <c r="R432" i="19"/>
  <c r="R431" i="19"/>
  <c r="R430" i="19"/>
  <c r="R429" i="19"/>
  <c r="R428" i="19"/>
  <c r="R427" i="19"/>
  <c r="R426" i="19"/>
  <c r="R425" i="19"/>
  <c r="R424" i="19"/>
  <c r="R423" i="19"/>
  <c r="R422" i="19"/>
  <c r="R421" i="19"/>
  <c r="R420" i="19"/>
  <c r="R419" i="19"/>
  <c r="R418" i="19"/>
  <c r="R417" i="19"/>
  <c r="R416" i="19"/>
  <c r="R415" i="19"/>
  <c r="R414" i="19"/>
  <c r="R413" i="19"/>
  <c r="R412" i="19"/>
  <c r="R411" i="19"/>
  <c r="R410" i="19"/>
  <c r="R409" i="19"/>
  <c r="R408" i="19"/>
  <c r="R407" i="19"/>
  <c r="R406" i="19"/>
  <c r="R405" i="19"/>
  <c r="R404" i="19"/>
  <c r="R403" i="19"/>
  <c r="R402" i="19"/>
  <c r="R401" i="19"/>
  <c r="R400" i="19"/>
  <c r="R399" i="19"/>
  <c r="R398" i="19"/>
  <c r="R397" i="19"/>
  <c r="R396" i="19"/>
  <c r="R395" i="19"/>
  <c r="R394" i="19"/>
  <c r="R393" i="19"/>
  <c r="R392" i="19"/>
  <c r="R391" i="19"/>
  <c r="R390" i="19"/>
  <c r="R389" i="19"/>
  <c r="R388" i="19"/>
  <c r="R387" i="19"/>
  <c r="R386" i="19"/>
  <c r="R385" i="19"/>
  <c r="R384" i="19"/>
  <c r="R383" i="19"/>
  <c r="R382" i="19"/>
  <c r="R381" i="19"/>
  <c r="R380" i="19"/>
  <c r="R379" i="19"/>
  <c r="R378" i="19"/>
  <c r="R377" i="19"/>
  <c r="R376" i="19"/>
  <c r="R375" i="19"/>
  <c r="R374" i="19"/>
  <c r="R373" i="19"/>
  <c r="R372" i="19"/>
  <c r="R371" i="19"/>
  <c r="R370" i="19"/>
  <c r="R369" i="19"/>
  <c r="R368" i="19"/>
  <c r="R367" i="19"/>
  <c r="R366" i="19"/>
  <c r="R365" i="19"/>
  <c r="R364" i="19"/>
  <c r="R363" i="19"/>
  <c r="R362" i="19"/>
  <c r="R361" i="19"/>
  <c r="R360" i="19"/>
  <c r="R359" i="19"/>
  <c r="R358" i="19"/>
  <c r="R357" i="19"/>
  <c r="R356" i="19"/>
  <c r="R355" i="19"/>
  <c r="R354" i="19"/>
  <c r="R353" i="19"/>
  <c r="R352" i="19"/>
  <c r="R351" i="19"/>
  <c r="R350" i="19"/>
  <c r="R349" i="19"/>
  <c r="R348" i="19"/>
  <c r="R347" i="19"/>
  <c r="R346" i="19"/>
  <c r="R345" i="19"/>
  <c r="R344" i="19"/>
  <c r="R343" i="19"/>
  <c r="R342" i="19"/>
  <c r="R341" i="19"/>
  <c r="R340" i="19"/>
  <c r="R339" i="19"/>
  <c r="R338" i="19"/>
  <c r="R337" i="19"/>
  <c r="R336" i="19"/>
  <c r="R335" i="19"/>
  <c r="R334" i="19"/>
  <c r="R333" i="19"/>
  <c r="R332" i="19"/>
  <c r="R331" i="19"/>
  <c r="R330" i="19"/>
  <c r="R329" i="19"/>
  <c r="R328" i="19"/>
  <c r="R327" i="19"/>
  <c r="R326" i="19"/>
  <c r="R325" i="19"/>
  <c r="R324" i="19"/>
  <c r="R323" i="19"/>
  <c r="R322" i="19"/>
  <c r="R321" i="19"/>
  <c r="R320" i="19"/>
  <c r="R319" i="19"/>
  <c r="R318" i="19"/>
  <c r="R317" i="19"/>
  <c r="R316" i="19"/>
  <c r="R315" i="19"/>
  <c r="R314" i="19"/>
  <c r="R313" i="19"/>
  <c r="R312" i="19"/>
  <c r="R311" i="19"/>
  <c r="R310" i="19"/>
  <c r="R309" i="19"/>
  <c r="R308" i="19"/>
  <c r="R307" i="19"/>
  <c r="R306" i="19"/>
  <c r="R305" i="19"/>
  <c r="R304" i="19"/>
  <c r="R303" i="19"/>
  <c r="R302" i="19"/>
  <c r="R301" i="19"/>
  <c r="R300" i="19"/>
  <c r="R299" i="19"/>
  <c r="R298" i="19"/>
  <c r="R297" i="19"/>
  <c r="R296" i="19"/>
  <c r="R295" i="19"/>
  <c r="R294" i="19"/>
  <c r="R293" i="19"/>
  <c r="R292" i="19"/>
  <c r="R291" i="19"/>
  <c r="R290" i="19"/>
  <c r="R289" i="19"/>
  <c r="R288" i="19"/>
  <c r="R287" i="19"/>
  <c r="R286" i="19"/>
  <c r="R285" i="19"/>
  <c r="R284" i="19"/>
  <c r="R283" i="19"/>
  <c r="R282" i="19"/>
  <c r="R281" i="19"/>
  <c r="R280" i="19"/>
  <c r="R279" i="19"/>
  <c r="R278" i="19"/>
  <c r="R277" i="19"/>
  <c r="R276" i="19"/>
  <c r="R275" i="19"/>
  <c r="R274" i="19"/>
  <c r="R273" i="19"/>
  <c r="R272" i="19"/>
  <c r="R271" i="19"/>
  <c r="R270" i="19"/>
  <c r="R269" i="19"/>
  <c r="R268" i="19"/>
  <c r="R267" i="19"/>
  <c r="R266" i="19"/>
  <c r="R265" i="19"/>
  <c r="R264" i="19"/>
  <c r="R263" i="19"/>
  <c r="R262" i="19"/>
  <c r="R261" i="19"/>
  <c r="R260" i="19"/>
  <c r="R259" i="19"/>
  <c r="R258" i="19"/>
  <c r="R257" i="19"/>
  <c r="R256" i="19"/>
  <c r="R255" i="19"/>
  <c r="R254" i="19"/>
  <c r="R253" i="19"/>
  <c r="R252" i="19"/>
  <c r="R251" i="19"/>
  <c r="R250" i="19"/>
  <c r="R249" i="19"/>
  <c r="R248" i="19"/>
  <c r="R247" i="19"/>
  <c r="R246" i="19"/>
  <c r="R245" i="19"/>
  <c r="R244" i="19"/>
  <c r="R243" i="19"/>
  <c r="R242" i="19"/>
  <c r="R241" i="19"/>
  <c r="R240" i="19"/>
  <c r="R239" i="19"/>
  <c r="R238" i="19"/>
  <c r="R237" i="19"/>
  <c r="R236" i="19"/>
  <c r="R235" i="19"/>
  <c r="R234" i="19"/>
  <c r="R233" i="19"/>
  <c r="R232" i="19"/>
  <c r="R231" i="19"/>
  <c r="R230" i="19"/>
  <c r="R229" i="19"/>
  <c r="R228" i="19"/>
  <c r="R227" i="19"/>
  <c r="R226" i="19"/>
  <c r="R225" i="19"/>
  <c r="R224" i="19"/>
  <c r="R223" i="19"/>
  <c r="R222" i="19"/>
  <c r="R221" i="19"/>
  <c r="R220" i="19"/>
  <c r="R219" i="19"/>
  <c r="R218" i="19"/>
  <c r="R217" i="19"/>
  <c r="R216" i="19"/>
  <c r="R215" i="19"/>
  <c r="R214" i="19"/>
  <c r="R213" i="19"/>
  <c r="R212" i="19"/>
  <c r="R211" i="19"/>
  <c r="R210" i="19"/>
  <c r="R209" i="19"/>
  <c r="R208" i="19"/>
  <c r="R207" i="19"/>
  <c r="R206" i="19"/>
  <c r="R205" i="19"/>
  <c r="R204" i="19"/>
  <c r="R203" i="19"/>
  <c r="R202" i="19"/>
  <c r="R201" i="19"/>
  <c r="R200" i="19"/>
  <c r="R199" i="19"/>
  <c r="R198" i="19"/>
  <c r="R197" i="19"/>
  <c r="R196" i="19"/>
  <c r="R195" i="19"/>
  <c r="R194" i="19"/>
  <c r="R193" i="19"/>
  <c r="R192" i="19"/>
  <c r="R191" i="19"/>
  <c r="R190" i="19"/>
  <c r="R189" i="19"/>
  <c r="R188" i="19"/>
  <c r="R187" i="19"/>
  <c r="R186" i="19"/>
  <c r="R185" i="19"/>
  <c r="R184" i="19"/>
  <c r="R183" i="19"/>
  <c r="R182" i="19"/>
  <c r="R181" i="19"/>
  <c r="R180" i="19"/>
  <c r="R179" i="19"/>
  <c r="R178" i="19"/>
  <c r="R177" i="19"/>
  <c r="R176" i="19"/>
  <c r="R175" i="19"/>
  <c r="R174" i="19"/>
  <c r="R173" i="19"/>
  <c r="R172" i="19"/>
  <c r="R171" i="19"/>
  <c r="R170" i="19"/>
  <c r="R169" i="19"/>
  <c r="R168" i="19"/>
  <c r="R167" i="19"/>
  <c r="R166" i="19"/>
  <c r="R165" i="19"/>
  <c r="R164" i="19"/>
  <c r="R163" i="19"/>
  <c r="R162" i="19"/>
  <c r="R161" i="19"/>
  <c r="R160" i="19"/>
  <c r="R159" i="19"/>
  <c r="R158" i="19"/>
  <c r="R157" i="19"/>
  <c r="R156" i="19"/>
  <c r="R155" i="19"/>
  <c r="R154" i="19"/>
  <c r="R153" i="19"/>
  <c r="R152" i="19"/>
  <c r="R151" i="19"/>
  <c r="R150" i="19"/>
  <c r="R149" i="19"/>
  <c r="R148" i="19"/>
  <c r="R147" i="19"/>
  <c r="R146" i="19"/>
  <c r="R145" i="19"/>
  <c r="R144" i="19"/>
  <c r="R143" i="19"/>
  <c r="R142" i="19"/>
  <c r="R141" i="19"/>
  <c r="R140" i="19"/>
  <c r="R139" i="19"/>
  <c r="R138" i="19"/>
  <c r="R137" i="19"/>
  <c r="R136" i="19"/>
  <c r="R135" i="19"/>
  <c r="R134" i="19"/>
  <c r="R133" i="19"/>
  <c r="R132" i="19"/>
  <c r="R131" i="19"/>
  <c r="R130" i="19"/>
  <c r="R129" i="19"/>
  <c r="R128" i="19"/>
  <c r="R127" i="19"/>
  <c r="R126" i="19"/>
  <c r="R125" i="19"/>
  <c r="R124" i="19"/>
  <c r="R123" i="19"/>
  <c r="R122" i="19"/>
  <c r="R121" i="19"/>
  <c r="R120" i="19"/>
  <c r="R119" i="19"/>
  <c r="R118" i="19"/>
  <c r="R117" i="19"/>
  <c r="R116" i="19"/>
  <c r="R115" i="19"/>
  <c r="R114" i="19"/>
  <c r="R113" i="19"/>
  <c r="R112" i="19"/>
  <c r="R111" i="19"/>
  <c r="R110" i="19"/>
  <c r="R109" i="19"/>
  <c r="R108" i="19"/>
  <c r="R107" i="19"/>
  <c r="R106" i="19"/>
  <c r="R105" i="19"/>
  <c r="R104" i="19"/>
  <c r="R103" i="19"/>
  <c r="R102" i="19"/>
  <c r="R101" i="19"/>
  <c r="R100" i="19"/>
  <c r="R99" i="19"/>
  <c r="R98" i="19"/>
  <c r="R97" i="19"/>
  <c r="R96" i="19"/>
  <c r="R95" i="19"/>
  <c r="R94" i="19"/>
  <c r="R93" i="19"/>
  <c r="R92" i="19"/>
  <c r="R91" i="19"/>
  <c r="R90" i="19"/>
  <c r="R89" i="19"/>
  <c r="R88" i="19"/>
  <c r="R87" i="19"/>
  <c r="R86" i="19"/>
  <c r="R85" i="19"/>
  <c r="R84" i="19"/>
  <c r="R83" i="19"/>
  <c r="R82" i="19"/>
  <c r="R81" i="19"/>
  <c r="R80" i="19"/>
  <c r="R79" i="19"/>
  <c r="R78" i="19"/>
  <c r="R77" i="19"/>
  <c r="R76" i="19"/>
  <c r="R75" i="19"/>
  <c r="R74" i="19"/>
  <c r="R73" i="19"/>
  <c r="R72" i="19"/>
  <c r="R71" i="19"/>
  <c r="R70" i="19"/>
  <c r="R69" i="19"/>
  <c r="R68" i="19"/>
  <c r="R67" i="19"/>
  <c r="R66" i="19"/>
  <c r="R65" i="19"/>
  <c r="R64" i="19"/>
  <c r="R63" i="19"/>
  <c r="R62" i="19"/>
  <c r="R61" i="19"/>
  <c r="R60" i="19"/>
  <c r="R59" i="19"/>
  <c r="R57" i="19"/>
  <c r="R56" i="19"/>
  <c r="R55" i="19"/>
  <c r="R54" i="19"/>
  <c r="R53" i="19"/>
  <c r="R52" i="19"/>
  <c r="R51" i="19"/>
  <c r="R50" i="19"/>
  <c r="R49" i="19"/>
  <c r="R48" i="19"/>
  <c r="R47" i="19"/>
  <c r="R46" i="19"/>
  <c r="R45" i="19"/>
  <c r="R44" i="19"/>
  <c r="R43" i="19"/>
  <c r="R42" i="19"/>
  <c r="R41" i="19"/>
  <c r="R40" i="19"/>
  <c r="R39" i="19"/>
  <c r="R38" i="19"/>
  <c r="R37" i="19"/>
  <c r="R36" i="19"/>
  <c r="R35" i="19"/>
  <c r="R34" i="19"/>
  <c r="R33" i="19"/>
  <c r="R32" i="19"/>
  <c r="R31" i="19"/>
  <c r="R30" i="19"/>
  <c r="R29" i="19"/>
  <c r="R28" i="19"/>
  <c r="R27" i="19"/>
  <c r="R26" i="19"/>
  <c r="R25" i="19"/>
  <c r="R24" i="19"/>
  <c r="R23" i="19"/>
  <c r="R22" i="19"/>
  <c r="R21" i="19"/>
  <c r="R20" i="19"/>
  <c r="R19" i="19"/>
  <c r="R18" i="19"/>
  <c r="K1267" i="19"/>
  <c r="K1266" i="19"/>
  <c r="K1265" i="19"/>
  <c r="K1264" i="19"/>
  <c r="K1263" i="19"/>
  <c r="K1262" i="19"/>
  <c r="K1261" i="19"/>
  <c r="K1260" i="19"/>
  <c r="K1259" i="19"/>
  <c r="K1258" i="19"/>
  <c r="K1257" i="19"/>
  <c r="K1256" i="19"/>
  <c r="K1255" i="19"/>
  <c r="K1254" i="19"/>
  <c r="K1253" i="19"/>
  <c r="K1252" i="19"/>
  <c r="K1251" i="19"/>
  <c r="K1250" i="19"/>
  <c r="K1249" i="19"/>
  <c r="K1248" i="19"/>
  <c r="K1247" i="19"/>
  <c r="K1246" i="19"/>
  <c r="K1245" i="19"/>
  <c r="K1244" i="19"/>
  <c r="K1243" i="19"/>
  <c r="K1242" i="19"/>
  <c r="K1241" i="19"/>
  <c r="K1240" i="19"/>
  <c r="K1239" i="19"/>
  <c r="K1238" i="19"/>
  <c r="K1237" i="19"/>
  <c r="K1236" i="19"/>
  <c r="K1235" i="19"/>
  <c r="K1234" i="19"/>
  <c r="K1233" i="19"/>
  <c r="K1232" i="19"/>
  <c r="K1231" i="19"/>
  <c r="K1230" i="19"/>
  <c r="K1229" i="19"/>
  <c r="K1228" i="19"/>
  <c r="K1227" i="19"/>
  <c r="K1226" i="19"/>
  <c r="K1225" i="19"/>
  <c r="K1224" i="19"/>
  <c r="K1223" i="19"/>
  <c r="K1222" i="19"/>
  <c r="K1221" i="19"/>
  <c r="K1220" i="19"/>
  <c r="K1219" i="19"/>
  <c r="K1218" i="19"/>
  <c r="K1217" i="19"/>
  <c r="K1216" i="19"/>
  <c r="K1215" i="19"/>
  <c r="K1214" i="19"/>
  <c r="K1213" i="19"/>
  <c r="K1212" i="19"/>
  <c r="K1211" i="19"/>
  <c r="K1210" i="19"/>
  <c r="K1209" i="19"/>
  <c r="K1208" i="19"/>
  <c r="K1207" i="19"/>
  <c r="K1206" i="19"/>
  <c r="K1205" i="19"/>
  <c r="K1204" i="19"/>
  <c r="K1203" i="19"/>
  <c r="K1202" i="19"/>
  <c r="K1201" i="19"/>
  <c r="K1200" i="19"/>
  <c r="K1199" i="19"/>
  <c r="K1198" i="19"/>
  <c r="K1197" i="19"/>
  <c r="K1196" i="19"/>
  <c r="K1195" i="19"/>
  <c r="K1194" i="19"/>
  <c r="K1193" i="19"/>
  <c r="K1192" i="19"/>
  <c r="K1191" i="19"/>
  <c r="K1190" i="19"/>
  <c r="K1189" i="19"/>
  <c r="K1188" i="19"/>
  <c r="K1187" i="19"/>
  <c r="K1186" i="19"/>
  <c r="K1185" i="19"/>
  <c r="K1184" i="19"/>
  <c r="K1183" i="19"/>
  <c r="K1182" i="19"/>
  <c r="K1181" i="19"/>
  <c r="K1180" i="19"/>
  <c r="K1179" i="19"/>
  <c r="K1178" i="19"/>
  <c r="K1177" i="19"/>
  <c r="K1176" i="19"/>
  <c r="K1175" i="19"/>
  <c r="K1174" i="19"/>
  <c r="K1173" i="19"/>
  <c r="K1172" i="19"/>
  <c r="K1171" i="19"/>
  <c r="K1170" i="19"/>
  <c r="K1169" i="19"/>
  <c r="K1168" i="19"/>
  <c r="K1167" i="19"/>
  <c r="K1166" i="19"/>
  <c r="K1165" i="19"/>
  <c r="K1164" i="19"/>
  <c r="K1163" i="19"/>
  <c r="K1162" i="19"/>
  <c r="K1161" i="19"/>
  <c r="K1160" i="19"/>
  <c r="K1159" i="19"/>
  <c r="K1158" i="19"/>
  <c r="K1157" i="19"/>
  <c r="K1156" i="19"/>
  <c r="K1155" i="19"/>
  <c r="K1154" i="19"/>
  <c r="K1153" i="19"/>
  <c r="K1152" i="19"/>
  <c r="K1151" i="19"/>
  <c r="K1150" i="19"/>
  <c r="K1149" i="19"/>
  <c r="K1148" i="19"/>
  <c r="K1147" i="19"/>
  <c r="K1146" i="19"/>
  <c r="K1145" i="19"/>
  <c r="K1144" i="19"/>
  <c r="K1143" i="19"/>
  <c r="K1142" i="19"/>
  <c r="K1141" i="19"/>
  <c r="K1140" i="19"/>
  <c r="K1139" i="19"/>
  <c r="K1138" i="19"/>
  <c r="K1137" i="19"/>
  <c r="K1136" i="19"/>
  <c r="K1135" i="19"/>
  <c r="K1134" i="19"/>
  <c r="K1133" i="19"/>
  <c r="K1132" i="19"/>
  <c r="K1131" i="19"/>
  <c r="K1130" i="19"/>
  <c r="K1129" i="19"/>
  <c r="K1128" i="19"/>
  <c r="K1127" i="19"/>
  <c r="K1126" i="19"/>
  <c r="K1125" i="19"/>
  <c r="K1124" i="19"/>
  <c r="K1123" i="19"/>
  <c r="K1122" i="19"/>
  <c r="K1121" i="19"/>
  <c r="K1120" i="19"/>
  <c r="K1119" i="19"/>
  <c r="K1118" i="19"/>
  <c r="K1117" i="19"/>
  <c r="K1116" i="19"/>
  <c r="K1115" i="19"/>
  <c r="K1114" i="19"/>
  <c r="K1113" i="19"/>
  <c r="K1112" i="19"/>
  <c r="K1111" i="19"/>
  <c r="K1110" i="19"/>
  <c r="K1109" i="19"/>
  <c r="K1108" i="19"/>
  <c r="K1107" i="19"/>
  <c r="K1106" i="19"/>
  <c r="K1105" i="19"/>
  <c r="K1104" i="19"/>
  <c r="K1103" i="19"/>
  <c r="K1102" i="19"/>
  <c r="K1101" i="19"/>
  <c r="K1100" i="19"/>
  <c r="K1099" i="19"/>
  <c r="K1098" i="19"/>
  <c r="K1097" i="19"/>
  <c r="K1096" i="19"/>
  <c r="K1095" i="19"/>
  <c r="K1094" i="19"/>
  <c r="K1093" i="19"/>
  <c r="K1092" i="19"/>
  <c r="K1091" i="19"/>
  <c r="K1090" i="19"/>
  <c r="K1089" i="19"/>
  <c r="K1088" i="19"/>
  <c r="K1087" i="19"/>
  <c r="K1086" i="19"/>
  <c r="K1085" i="19"/>
  <c r="K1084" i="19"/>
  <c r="K1083" i="19"/>
  <c r="K1082" i="19"/>
  <c r="K1081" i="19"/>
  <c r="K1080" i="19"/>
  <c r="K1079" i="19"/>
  <c r="K1078" i="19"/>
  <c r="K1077" i="19"/>
  <c r="K1076" i="19"/>
  <c r="K1075" i="19"/>
  <c r="K1074" i="19"/>
  <c r="K1073" i="19"/>
  <c r="K1072" i="19"/>
  <c r="K1071" i="19"/>
  <c r="K1070" i="19"/>
  <c r="K1069" i="19"/>
  <c r="K1068" i="19"/>
  <c r="K1067" i="19"/>
  <c r="K1066" i="19"/>
  <c r="K1065" i="19"/>
  <c r="K1064" i="19"/>
  <c r="K1063" i="19"/>
  <c r="K1062" i="19"/>
  <c r="K1061" i="19"/>
  <c r="K1060" i="19"/>
  <c r="K1059" i="19"/>
  <c r="K1058" i="19"/>
  <c r="K1057" i="19"/>
  <c r="K1056" i="19"/>
  <c r="K1055" i="19"/>
  <c r="K1054" i="19"/>
  <c r="K1053" i="19"/>
  <c r="K1052" i="19"/>
  <c r="K1051" i="19"/>
  <c r="K1050" i="19"/>
  <c r="K1049" i="19"/>
  <c r="K1048" i="19"/>
  <c r="K1047" i="19"/>
  <c r="K1046" i="19"/>
  <c r="K1045" i="19"/>
  <c r="K1044" i="19"/>
  <c r="K1043" i="19"/>
  <c r="K1042" i="19"/>
  <c r="K1041" i="19"/>
  <c r="K1040" i="19"/>
  <c r="K1039" i="19"/>
  <c r="K1038" i="19"/>
  <c r="K1037" i="19"/>
  <c r="K1036" i="19"/>
  <c r="K1035" i="19"/>
  <c r="K1034" i="19"/>
  <c r="K1033" i="19"/>
  <c r="K1032" i="19"/>
  <c r="K1031" i="19"/>
  <c r="K1030" i="19"/>
  <c r="K1029" i="19"/>
  <c r="K1028" i="19"/>
  <c r="K1027" i="19"/>
  <c r="K1026" i="19"/>
  <c r="K1025" i="19"/>
  <c r="K1024" i="19"/>
  <c r="K1023" i="19"/>
  <c r="K1022" i="19"/>
  <c r="K1021" i="19"/>
  <c r="K1020" i="19"/>
  <c r="K1019" i="19"/>
  <c r="K1018" i="19"/>
  <c r="K1017" i="19"/>
  <c r="K1016" i="19"/>
  <c r="K1015" i="19"/>
  <c r="K1014" i="19"/>
  <c r="K1013" i="19"/>
  <c r="K1012" i="19"/>
  <c r="K1011" i="19"/>
  <c r="K1010" i="19"/>
  <c r="K1009" i="19"/>
  <c r="K1008" i="19"/>
  <c r="K1007" i="19"/>
  <c r="K1006" i="19"/>
  <c r="K1005" i="19"/>
  <c r="K1004" i="19"/>
  <c r="K1003" i="19"/>
  <c r="K1002" i="19"/>
  <c r="K1001" i="19"/>
  <c r="K1000" i="19"/>
  <c r="K999" i="19"/>
  <c r="K998" i="19"/>
  <c r="K997" i="19"/>
  <c r="K996" i="19"/>
  <c r="K995" i="19"/>
  <c r="K994" i="19"/>
  <c r="K993" i="19"/>
  <c r="K992" i="19"/>
  <c r="K991" i="19"/>
  <c r="K990" i="19"/>
  <c r="K989" i="19"/>
  <c r="K988" i="19"/>
  <c r="K987" i="19"/>
  <c r="K986" i="19"/>
  <c r="K985" i="19"/>
  <c r="K984" i="19"/>
  <c r="K983" i="19"/>
  <c r="K982" i="19"/>
  <c r="K981" i="19"/>
  <c r="K980" i="19"/>
  <c r="K979" i="19"/>
  <c r="K978" i="19"/>
  <c r="K977" i="19"/>
  <c r="K976" i="19"/>
  <c r="K975" i="19"/>
  <c r="K974" i="19"/>
  <c r="K973" i="19"/>
  <c r="K972" i="19"/>
  <c r="K971" i="19"/>
  <c r="K970" i="19"/>
  <c r="K969" i="19"/>
  <c r="K968" i="19"/>
  <c r="K967" i="19"/>
  <c r="K966" i="19"/>
  <c r="K965" i="19"/>
  <c r="K964" i="19"/>
  <c r="K963" i="19"/>
  <c r="K962" i="19"/>
  <c r="K961" i="19"/>
  <c r="K960" i="19"/>
  <c r="K959" i="19"/>
  <c r="K958" i="19"/>
  <c r="K957" i="19"/>
  <c r="K956" i="19"/>
  <c r="K955" i="19"/>
  <c r="K954" i="19"/>
  <c r="K953" i="19"/>
  <c r="K952" i="19"/>
  <c r="K951" i="19"/>
  <c r="K950" i="19"/>
  <c r="K949" i="19"/>
  <c r="K948" i="19"/>
  <c r="K947" i="19"/>
  <c r="K946" i="19"/>
  <c r="K945" i="19"/>
  <c r="K944" i="19"/>
  <c r="K943" i="19"/>
  <c r="K942" i="19"/>
  <c r="K941" i="19"/>
  <c r="K940" i="19"/>
  <c r="K939" i="19"/>
  <c r="K938" i="19"/>
  <c r="K937" i="19"/>
  <c r="K936" i="19"/>
  <c r="K935" i="19"/>
  <c r="K934" i="19"/>
  <c r="K933" i="19"/>
  <c r="K932" i="19"/>
  <c r="K931" i="19"/>
  <c r="K930" i="19"/>
  <c r="K929" i="19"/>
  <c r="K928" i="19"/>
  <c r="K927" i="19"/>
  <c r="K926" i="19"/>
  <c r="K925" i="19"/>
  <c r="K924" i="19"/>
  <c r="K923" i="19"/>
  <c r="K922" i="19"/>
  <c r="K921" i="19"/>
  <c r="K920" i="19"/>
  <c r="K919" i="19"/>
  <c r="K918" i="19"/>
  <c r="K917" i="19"/>
  <c r="K916" i="19"/>
  <c r="K915" i="19"/>
  <c r="K914" i="19"/>
  <c r="K913" i="19"/>
  <c r="K912" i="19"/>
  <c r="K911" i="19"/>
  <c r="K910" i="19"/>
  <c r="K909" i="19"/>
  <c r="K908" i="19"/>
  <c r="K907" i="19"/>
  <c r="K906" i="19"/>
  <c r="K905" i="19"/>
  <c r="K904" i="19"/>
  <c r="K903" i="19"/>
  <c r="K902" i="19"/>
  <c r="K901" i="19"/>
  <c r="K900" i="19"/>
  <c r="K899" i="19"/>
  <c r="K898" i="19"/>
  <c r="K897" i="19"/>
  <c r="K896" i="19"/>
  <c r="K895" i="19"/>
  <c r="K894" i="19"/>
  <c r="K893" i="19"/>
  <c r="K892" i="19"/>
  <c r="K891" i="19"/>
  <c r="K890" i="19"/>
  <c r="K889" i="19"/>
  <c r="K888" i="19"/>
  <c r="K887" i="19"/>
  <c r="K886" i="19"/>
  <c r="K885" i="19"/>
  <c r="K884" i="19"/>
  <c r="K883" i="19"/>
  <c r="K882" i="19"/>
  <c r="K881" i="19"/>
  <c r="K880" i="19"/>
  <c r="K879" i="19"/>
  <c r="K878" i="19"/>
  <c r="K877" i="19"/>
  <c r="K876" i="19"/>
  <c r="K875" i="19"/>
  <c r="K874" i="19"/>
  <c r="K873" i="19"/>
  <c r="K872" i="19"/>
  <c r="K871" i="19"/>
  <c r="K870" i="19"/>
  <c r="K869" i="19"/>
  <c r="K868" i="19"/>
  <c r="K867" i="19"/>
  <c r="K866" i="19"/>
  <c r="K865" i="19"/>
  <c r="K864" i="19"/>
  <c r="K863" i="19"/>
  <c r="K862" i="19"/>
  <c r="K861" i="19"/>
  <c r="K860" i="19"/>
  <c r="K859" i="19"/>
  <c r="K858" i="19"/>
  <c r="K857" i="19"/>
  <c r="K856" i="19"/>
  <c r="K855" i="19"/>
  <c r="K854" i="19"/>
  <c r="K853" i="19"/>
  <c r="K852" i="19"/>
  <c r="K851" i="19"/>
  <c r="K850" i="19"/>
  <c r="K849" i="19"/>
  <c r="K848" i="19"/>
  <c r="K847" i="19"/>
  <c r="K846" i="19"/>
  <c r="K845" i="19"/>
  <c r="K844" i="19"/>
  <c r="K843" i="19"/>
  <c r="K842" i="19"/>
  <c r="K841" i="19"/>
  <c r="K840" i="19"/>
  <c r="K839" i="19"/>
  <c r="K838" i="19"/>
  <c r="K837" i="19"/>
  <c r="K836" i="19"/>
  <c r="K835" i="19"/>
  <c r="K834" i="19"/>
  <c r="K833" i="19"/>
  <c r="K832" i="19"/>
  <c r="K831" i="19"/>
  <c r="K830" i="19"/>
  <c r="K829" i="19"/>
  <c r="K828" i="19"/>
  <c r="K827" i="19"/>
  <c r="K826" i="19"/>
  <c r="K825" i="19"/>
  <c r="K824" i="19"/>
  <c r="K823" i="19"/>
  <c r="K822" i="19"/>
  <c r="K821" i="19"/>
  <c r="K820" i="19"/>
  <c r="K819" i="19"/>
  <c r="K818" i="19"/>
  <c r="K817" i="19"/>
  <c r="K816" i="19"/>
  <c r="K815" i="19"/>
  <c r="K814" i="19"/>
  <c r="K813" i="19"/>
  <c r="K812" i="19"/>
  <c r="K811" i="19"/>
  <c r="K810" i="19"/>
  <c r="K809" i="19"/>
  <c r="K808" i="19"/>
  <c r="K807" i="19"/>
  <c r="K806" i="19"/>
  <c r="K805" i="19"/>
  <c r="K804" i="19"/>
  <c r="K803" i="19"/>
  <c r="K802" i="19"/>
  <c r="K801" i="19"/>
  <c r="K800" i="19"/>
  <c r="K799" i="19"/>
  <c r="K798" i="19"/>
  <c r="K797" i="19"/>
  <c r="K796" i="19"/>
  <c r="K795" i="19"/>
  <c r="K794" i="19"/>
  <c r="K793" i="19"/>
  <c r="K792" i="19"/>
  <c r="K791" i="19"/>
  <c r="K790" i="19"/>
  <c r="K789" i="19"/>
  <c r="K788" i="19"/>
  <c r="K787" i="19"/>
  <c r="K786" i="19"/>
  <c r="K785" i="19"/>
  <c r="K784" i="19"/>
  <c r="K783" i="19"/>
  <c r="K782" i="19"/>
  <c r="K781" i="19"/>
  <c r="K780" i="19"/>
  <c r="K779" i="19"/>
  <c r="K778" i="19"/>
  <c r="K777" i="19"/>
  <c r="K776" i="19"/>
  <c r="K775" i="19"/>
  <c r="K774" i="19"/>
  <c r="K773" i="19"/>
  <c r="K772" i="19"/>
  <c r="K771" i="19"/>
  <c r="K770" i="19"/>
  <c r="K769" i="19"/>
  <c r="K768" i="19"/>
  <c r="K767" i="19"/>
  <c r="K766" i="19"/>
  <c r="K765" i="19"/>
  <c r="K764" i="19"/>
  <c r="K763" i="19"/>
  <c r="K762" i="19"/>
  <c r="K761" i="19"/>
  <c r="K760" i="19"/>
  <c r="K759" i="19"/>
  <c r="K758" i="19"/>
  <c r="K757" i="19"/>
  <c r="K756" i="19"/>
  <c r="K755" i="19"/>
  <c r="K754" i="19"/>
  <c r="K753" i="19"/>
  <c r="K752" i="19"/>
  <c r="K751" i="19"/>
  <c r="K750" i="19"/>
  <c r="K749" i="19"/>
  <c r="K748" i="19"/>
  <c r="K747" i="19"/>
  <c r="K746" i="19"/>
  <c r="K745" i="19"/>
  <c r="K744" i="19"/>
  <c r="K743" i="19"/>
  <c r="K742" i="19"/>
  <c r="K741" i="19"/>
  <c r="K740" i="19"/>
  <c r="K739" i="19"/>
  <c r="K738" i="19"/>
  <c r="K737" i="19"/>
  <c r="K736" i="19"/>
  <c r="K735" i="19"/>
  <c r="K734" i="19"/>
  <c r="K733" i="19"/>
  <c r="K732" i="19"/>
  <c r="K731" i="19"/>
  <c r="K730" i="19"/>
  <c r="K729" i="19"/>
  <c r="K728" i="19"/>
  <c r="K727" i="19"/>
  <c r="K726" i="19"/>
  <c r="K725" i="19"/>
  <c r="K724" i="19"/>
  <c r="K723" i="19"/>
  <c r="K722" i="19"/>
  <c r="K721" i="19"/>
  <c r="K720" i="19"/>
  <c r="K719" i="19"/>
  <c r="K718" i="19"/>
  <c r="K717" i="19"/>
  <c r="K716" i="19"/>
  <c r="K715" i="19"/>
  <c r="K714" i="19"/>
  <c r="K713" i="19"/>
  <c r="K712" i="19"/>
  <c r="K711" i="19"/>
  <c r="K710" i="19"/>
  <c r="K709" i="19"/>
  <c r="K708" i="19"/>
  <c r="K707" i="19"/>
  <c r="K706" i="19"/>
  <c r="K705" i="19"/>
  <c r="K704" i="19"/>
  <c r="K703" i="19"/>
  <c r="K702" i="19"/>
  <c r="K701" i="19"/>
  <c r="K700" i="19"/>
  <c r="K699" i="19"/>
  <c r="K698" i="19"/>
  <c r="K697" i="19"/>
  <c r="K696" i="19"/>
  <c r="K695" i="19"/>
  <c r="K694" i="19"/>
  <c r="K693" i="19"/>
  <c r="K692" i="19"/>
  <c r="K691" i="19"/>
  <c r="K690" i="19"/>
  <c r="K689" i="19"/>
  <c r="K688" i="19"/>
  <c r="K687" i="19"/>
  <c r="K686" i="19"/>
  <c r="K685" i="19"/>
  <c r="K684" i="19"/>
  <c r="K683" i="19"/>
  <c r="K682" i="19"/>
  <c r="K681" i="19"/>
  <c r="K680" i="19"/>
  <c r="K679" i="19"/>
  <c r="K678" i="19"/>
  <c r="K677" i="19"/>
  <c r="K676" i="19"/>
  <c r="K675" i="19"/>
  <c r="K674" i="19"/>
  <c r="K673" i="19"/>
  <c r="K672" i="19"/>
  <c r="K671" i="19"/>
  <c r="K670" i="19"/>
  <c r="K669" i="19"/>
  <c r="K668" i="19"/>
  <c r="K667" i="19"/>
  <c r="K666" i="19"/>
  <c r="K665" i="19"/>
  <c r="K664" i="19"/>
  <c r="K663" i="19"/>
  <c r="K662" i="19"/>
  <c r="K661" i="19"/>
  <c r="K660" i="19"/>
  <c r="K659" i="19"/>
  <c r="K658" i="19"/>
  <c r="K657" i="19"/>
  <c r="K656" i="19"/>
  <c r="K655" i="19"/>
  <c r="K654" i="19"/>
  <c r="K653" i="19"/>
  <c r="K652" i="19"/>
  <c r="K651" i="19"/>
  <c r="K650" i="19"/>
  <c r="K649" i="19"/>
  <c r="K648" i="19"/>
  <c r="K647" i="19"/>
  <c r="K646" i="19"/>
  <c r="K645" i="19"/>
  <c r="K644" i="19"/>
  <c r="K643" i="19"/>
  <c r="K642" i="19"/>
  <c r="K641" i="19"/>
  <c r="K640" i="19"/>
  <c r="K639" i="19"/>
  <c r="K638" i="19"/>
  <c r="K637" i="19"/>
  <c r="K636" i="19"/>
  <c r="K635" i="19"/>
  <c r="K634" i="19"/>
  <c r="K633" i="19"/>
  <c r="K632" i="19"/>
  <c r="K631" i="19"/>
  <c r="K630" i="19"/>
  <c r="K629" i="19"/>
  <c r="K628" i="19"/>
  <c r="K627" i="19"/>
  <c r="K626" i="19"/>
  <c r="K625" i="19"/>
  <c r="K624" i="19"/>
  <c r="K623" i="19"/>
  <c r="K622" i="19"/>
  <c r="K621" i="19"/>
  <c r="K620" i="19"/>
  <c r="K619" i="19"/>
  <c r="K618" i="19"/>
  <c r="K617" i="19"/>
  <c r="K616" i="19"/>
  <c r="K615" i="19"/>
  <c r="K614" i="19"/>
  <c r="K613" i="19"/>
  <c r="K612" i="19"/>
  <c r="K611" i="19"/>
  <c r="K610" i="19"/>
  <c r="K609" i="19"/>
  <c r="K608" i="19"/>
  <c r="K607" i="19"/>
  <c r="K606" i="19"/>
  <c r="K605" i="19"/>
  <c r="K604" i="19"/>
  <c r="K603" i="19"/>
  <c r="K602" i="19"/>
  <c r="K601" i="19"/>
  <c r="K600" i="19"/>
  <c r="K599" i="19"/>
  <c r="K598" i="19"/>
  <c r="K597" i="19"/>
  <c r="K596" i="19"/>
  <c r="K595" i="19"/>
  <c r="K594" i="19"/>
  <c r="K593" i="19"/>
  <c r="K592" i="19"/>
  <c r="K591" i="19"/>
  <c r="K590" i="19"/>
  <c r="K589" i="19"/>
  <c r="K588" i="19"/>
  <c r="K587" i="19"/>
  <c r="K586" i="19"/>
  <c r="K585" i="19"/>
  <c r="K584" i="19"/>
  <c r="K583" i="19"/>
  <c r="K582" i="19"/>
  <c r="K581" i="19"/>
  <c r="K580" i="19"/>
  <c r="K579" i="19"/>
  <c r="K578" i="19"/>
  <c r="K577" i="19"/>
  <c r="K576" i="19"/>
  <c r="K575" i="19"/>
  <c r="K574" i="19"/>
  <c r="K573" i="19"/>
  <c r="K572" i="19"/>
  <c r="K571" i="19"/>
  <c r="K570" i="19"/>
  <c r="K569" i="19"/>
  <c r="K568" i="19"/>
  <c r="K567" i="19"/>
  <c r="K566" i="19"/>
  <c r="K565" i="19"/>
  <c r="K564" i="19"/>
  <c r="K563" i="19"/>
  <c r="K562" i="19"/>
  <c r="K561" i="19"/>
  <c r="K560" i="19"/>
  <c r="K559" i="19"/>
  <c r="K558" i="19"/>
  <c r="K557" i="19"/>
  <c r="K556" i="19"/>
  <c r="K555" i="19"/>
  <c r="K554" i="19"/>
  <c r="K553" i="19"/>
  <c r="K552" i="19"/>
  <c r="K551" i="19"/>
  <c r="K550" i="19"/>
  <c r="K549" i="19"/>
  <c r="K548" i="19"/>
  <c r="K547" i="19"/>
  <c r="K546" i="19"/>
  <c r="K545" i="19"/>
  <c r="K544" i="19"/>
  <c r="K543" i="19"/>
  <c r="K542" i="19"/>
  <c r="K541" i="19"/>
  <c r="K540" i="19"/>
  <c r="K539" i="19"/>
  <c r="K538" i="19"/>
  <c r="K537" i="19"/>
  <c r="K536" i="19"/>
  <c r="K535" i="19"/>
  <c r="K534" i="19"/>
  <c r="K533" i="19"/>
  <c r="K532" i="19"/>
  <c r="K531" i="19"/>
  <c r="K530" i="19"/>
  <c r="K529" i="19"/>
  <c r="K528" i="19"/>
  <c r="K527" i="19"/>
  <c r="K526" i="19"/>
  <c r="K525" i="19"/>
  <c r="K524" i="19"/>
  <c r="K523" i="19"/>
  <c r="K522" i="19"/>
  <c r="K521" i="19"/>
  <c r="K520" i="19"/>
  <c r="K519" i="19"/>
  <c r="K518" i="19"/>
  <c r="K517" i="19"/>
  <c r="K516" i="19"/>
  <c r="K515" i="19"/>
  <c r="K514" i="19"/>
  <c r="K513" i="19"/>
  <c r="K512" i="19"/>
  <c r="K511" i="19"/>
  <c r="K510" i="19"/>
  <c r="K509" i="19"/>
  <c r="K508" i="19"/>
  <c r="K507" i="19"/>
  <c r="K506" i="19"/>
  <c r="K505" i="19"/>
  <c r="K504" i="19"/>
  <c r="K503" i="19"/>
  <c r="K502" i="19"/>
  <c r="K501" i="19"/>
  <c r="K500" i="19"/>
  <c r="K499" i="19"/>
  <c r="K498" i="19"/>
  <c r="K497" i="19"/>
  <c r="K496" i="19"/>
  <c r="K495" i="19"/>
  <c r="K494" i="19"/>
  <c r="K493" i="19"/>
  <c r="K492" i="19"/>
  <c r="K491" i="19"/>
  <c r="K490" i="19"/>
  <c r="K489" i="19"/>
  <c r="K488" i="19"/>
  <c r="K487" i="19"/>
  <c r="K486" i="19"/>
  <c r="K485" i="19"/>
  <c r="K484" i="19"/>
  <c r="K483" i="19"/>
  <c r="K482" i="19"/>
  <c r="K481" i="19"/>
  <c r="K480" i="19"/>
  <c r="K479" i="19"/>
  <c r="K478" i="19"/>
  <c r="K477" i="19"/>
  <c r="K476" i="19"/>
  <c r="K475" i="19"/>
  <c r="K474" i="19"/>
  <c r="K473" i="19"/>
  <c r="K472" i="19"/>
  <c r="K471" i="19"/>
  <c r="K470" i="19"/>
  <c r="K469" i="19"/>
  <c r="K468" i="19"/>
  <c r="K467" i="19"/>
  <c r="K466" i="19"/>
  <c r="K465" i="19"/>
  <c r="K464" i="19"/>
  <c r="K463" i="19"/>
  <c r="K462" i="19"/>
  <c r="K461" i="19"/>
  <c r="K460" i="19"/>
  <c r="K459" i="19"/>
  <c r="K458" i="19"/>
  <c r="K457" i="19"/>
  <c r="K456" i="19"/>
  <c r="K455" i="19"/>
  <c r="K454" i="19"/>
  <c r="K453" i="19"/>
  <c r="K452" i="19"/>
  <c r="K451" i="19"/>
  <c r="K450" i="19"/>
  <c r="K449" i="19"/>
  <c r="K448" i="19"/>
  <c r="K447" i="19"/>
  <c r="K446" i="19"/>
  <c r="K445" i="19"/>
  <c r="K444" i="19"/>
  <c r="K443" i="19"/>
  <c r="K442" i="19"/>
  <c r="K441" i="19"/>
  <c r="K440" i="19"/>
  <c r="K439" i="19"/>
  <c r="K438" i="19"/>
  <c r="K437" i="19"/>
  <c r="K436" i="19"/>
  <c r="K435" i="19"/>
  <c r="K434" i="19"/>
  <c r="K433" i="19"/>
  <c r="K432" i="19"/>
  <c r="K431" i="19"/>
  <c r="K430" i="19"/>
  <c r="K429" i="19"/>
  <c r="K428" i="19"/>
  <c r="K427" i="19"/>
  <c r="K426" i="19"/>
  <c r="K425" i="19"/>
  <c r="K424" i="19"/>
  <c r="K423" i="19"/>
  <c r="K422" i="19"/>
  <c r="K421" i="19"/>
  <c r="K420" i="19"/>
  <c r="K419" i="19"/>
  <c r="K418" i="19"/>
  <c r="K417" i="19"/>
  <c r="K416" i="19"/>
  <c r="K415" i="19"/>
  <c r="K414" i="19"/>
  <c r="K413" i="19"/>
  <c r="K412" i="19"/>
  <c r="K411" i="19"/>
  <c r="K410" i="19"/>
  <c r="K409" i="19"/>
  <c r="K408" i="19"/>
  <c r="K407" i="19"/>
  <c r="K406" i="19"/>
  <c r="K405" i="19"/>
  <c r="K404" i="19"/>
  <c r="K403" i="19"/>
  <c r="K402" i="19"/>
  <c r="K401" i="19"/>
  <c r="K400" i="19"/>
  <c r="K399" i="19"/>
  <c r="K398" i="19"/>
  <c r="K397" i="19"/>
  <c r="K396" i="19"/>
  <c r="K395" i="19"/>
  <c r="K394" i="19"/>
  <c r="K393" i="19"/>
  <c r="K392" i="19"/>
  <c r="K391" i="19"/>
  <c r="K390" i="19"/>
  <c r="K389" i="19"/>
  <c r="K388" i="19"/>
  <c r="K387" i="19"/>
  <c r="K386" i="19"/>
  <c r="K385" i="19"/>
  <c r="K384" i="19"/>
  <c r="K383" i="19"/>
  <c r="K382" i="19"/>
  <c r="K381" i="19"/>
  <c r="K380" i="19"/>
  <c r="K379" i="19"/>
  <c r="K378" i="19"/>
  <c r="K377" i="19"/>
  <c r="K376" i="19"/>
  <c r="K375" i="19"/>
  <c r="K374" i="19"/>
  <c r="K373" i="19"/>
  <c r="K372" i="19"/>
  <c r="K371" i="19"/>
  <c r="K370" i="19"/>
  <c r="K369" i="19"/>
  <c r="K368" i="19"/>
  <c r="K367" i="19"/>
  <c r="K366" i="19"/>
  <c r="K365" i="19"/>
  <c r="K364" i="19"/>
  <c r="K363" i="19"/>
  <c r="K362" i="19"/>
  <c r="K361" i="19"/>
  <c r="K360" i="19"/>
  <c r="K359" i="19"/>
  <c r="K358" i="19"/>
  <c r="K357" i="19"/>
  <c r="K356" i="19"/>
  <c r="K355" i="19"/>
  <c r="K354" i="19"/>
  <c r="K353" i="19"/>
  <c r="K352" i="19"/>
  <c r="K351" i="19"/>
  <c r="K350" i="19"/>
  <c r="K349" i="19"/>
  <c r="K348" i="19"/>
  <c r="K347" i="19"/>
  <c r="K346" i="19"/>
  <c r="K345" i="19"/>
  <c r="K344" i="19"/>
  <c r="K343" i="19"/>
  <c r="K342" i="19"/>
  <c r="K341" i="19"/>
  <c r="K340" i="19"/>
  <c r="K339" i="19"/>
  <c r="K338" i="19"/>
  <c r="K337" i="19"/>
  <c r="K336" i="19"/>
  <c r="K335" i="19"/>
  <c r="K334" i="19"/>
  <c r="K333" i="19"/>
  <c r="K332" i="19"/>
  <c r="K331" i="19"/>
  <c r="K330" i="19"/>
  <c r="K329" i="19"/>
  <c r="K328" i="19"/>
  <c r="K327" i="19"/>
  <c r="K326" i="19"/>
  <c r="K325" i="19"/>
  <c r="K324" i="19"/>
  <c r="K323" i="19"/>
  <c r="K322" i="19"/>
  <c r="K321" i="19"/>
  <c r="K320" i="19"/>
  <c r="K319" i="19"/>
  <c r="K318" i="19"/>
  <c r="K317" i="19"/>
  <c r="K316" i="19"/>
  <c r="K315" i="19"/>
  <c r="K314" i="19"/>
  <c r="K313" i="19"/>
  <c r="K312" i="19"/>
  <c r="K311" i="19"/>
  <c r="K310" i="19"/>
  <c r="K309" i="19"/>
  <c r="K308" i="19"/>
  <c r="K307" i="19"/>
  <c r="K306" i="19"/>
  <c r="K305" i="19"/>
  <c r="K304" i="19"/>
  <c r="K303" i="19"/>
  <c r="K302" i="19"/>
  <c r="K301" i="19"/>
  <c r="K300" i="19"/>
  <c r="K299" i="19"/>
  <c r="K298" i="19"/>
  <c r="K297" i="19"/>
  <c r="K296" i="19"/>
  <c r="K295" i="19"/>
  <c r="K294" i="19"/>
  <c r="K293" i="19"/>
  <c r="K292" i="19"/>
  <c r="K291" i="19"/>
  <c r="K290" i="19"/>
  <c r="K289" i="19"/>
  <c r="K288" i="19"/>
  <c r="K287" i="19"/>
  <c r="K286" i="19"/>
  <c r="K285" i="19"/>
  <c r="K284" i="19"/>
  <c r="K283" i="19"/>
  <c r="K282" i="19"/>
  <c r="K281" i="19"/>
  <c r="K280" i="19"/>
  <c r="K279" i="19"/>
  <c r="K278" i="19"/>
  <c r="K277" i="19"/>
  <c r="K276" i="19"/>
  <c r="K275" i="19"/>
  <c r="K274" i="19"/>
  <c r="K273" i="19"/>
  <c r="K272" i="19"/>
  <c r="K271" i="19"/>
  <c r="K270" i="19"/>
  <c r="K269" i="19"/>
  <c r="K268" i="19"/>
  <c r="K267" i="19"/>
  <c r="K266" i="19"/>
  <c r="K265" i="19"/>
  <c r="K264" i="19"/>
  <c r="K263" i="19"/>
  <c r="K262" i="19"/>
  <c r="K261" i="19"/>
  <c r="K260" i="19"/>
  <c r="K259" i="19"/>
  <c r="K258" i="19"/>
  <c r="K257" i="19"/>
  <c r="K256" i="19"/>
  <c r="K255" i="19"/>
  <c r="K254" i="19"/>
  <c r="K253" i="19"/>
  <c r="K252" i="19"/>
  <c r="K251" i="19"/>
  <c r="K250" i="19"/>
  <c r="K249" i="19"/>
  <c r="K248" i="19"/>
  <c r="K247" i="19"/>
  <c r="K246" i="19"/>
  <c r="K245" i="19"/>
  <c r="K244" i="19"/>
  <c r="K243" i="19"/>
  <c r="K242" i="19"/>
  <c r="K241" i="19"/>
  <c r="K240" i="19"/>
  <c r="K239" i="19"/>
  <c r="K238" i="19"/>
  <c r="K237" i="19"/>
  <c r="K236" i="19"/>
  <c r="K235" i="19"/>
  <c r="K234" i="19"/>
  <c r="K233" i="19"/>
  <c r="K232" i="19"/>
  <c r="K231" i="19"/>
  <c r="K230" i="19"/>
  <c r="K229" i="19"/>
  <c r="K228" i="19"/>
  <c r="K227" i="19"/>
  <c r="K226" i="19"/>
  <c r="K225" i="19"/>
  <c r="K224" i="19"/>
  <c r="K223" i="19"/>
  <c r="K222" i="19"/>
  <c r="K221" i="19"/>
  <c r="K220" i="19"/>
  <c r="K219" i="19"/>
  <c r="K218" i="19"/>
  <c r="K217" i="19"/>
  <c r="K216" i="19"/>
  <c r="K215" i="19"/>
  <c r="K214" i="19"/>
  <c r="K213" i="19"/>
  <c r="K212" i="19"/>
  <c r="K211" i="19"/>
  <c r="K210" i="19"/>
  <c r="K209" i="19"/>
  <c r="K208" i="19"/>
  <c r="K207" i="19"/>
  <c r="K206" i="19"/>
  <c r="K205" i="19"/>
  <c r="K204" i="19"/>
  <c r="K203" i="19"/>
  <c r="K202" i="19"/>
  <c r="K201" i="19"/>
  <c r="K200" i="19"/>
  <c r="K199" i="19"/>
  <c r="K198" i="19"/>
  <c r="K197" i="19"/>
  <c r="K196" i="19"/>
  <c r="K195" i="19"/>
  <c r="K194" i="19"/>
  <c r="K193" i="19"/>
  <c r="K192" i="19"/>
  <c r="K191" i="19"/>
  <c r="K190" i="19"/>
  <c r="K189" i="19"/>
  <c r="K188" i="19"/>
  <c r="K187" i="19"/>
  <c r="K186" i="19"/>
  <c r="K185" i="19"/>
  <c r="K184" i="19"/>
  <c r="K183" i="19"/>
  <c r="K182" i="19"/>
  <c r="K181" i="19"/>
  <c r="K180" i="19"/>
  <c r="K179" i="19"/>
  <c r="K178" i="19"/>
  <c r="K177" i="19"/>
  <c r="K176" i="19"/>
  <c r="K175" i="19"/>
  <c r="K174" i="19"/>
  <c r="K173" i="19"/>
  <c r="K172" i="19"/>
  <c r="K171" i="19"/>
  <c r="K170" i="19"/>
  <c r="K169" i="19"/>
  <c r="K168" i="19"/>
  <c r="K167" i="19"/>
  <c r="K166" i="19"/>
  <c r="K165" i="19"/>
  <c r="K164" i="19"/>
  <c r="K163" i="19"/>
  <c r="K162" i="19"/>
  <c r="K161" i="19"/>
  <c r="K160" i="19"/>
  <c r="K159" i="19"/>
  <c r="K158" i="19"/>
  <c r="K157" i="19"/>
  <c r="K156" i="19"/>
  <c r="K155" i="19"/>
  <c r="K154" i="19"/>
  <c r="K153" i="19"/>
  <c r="K152" i="19"/>
  <c r="K151" i="19"/>
  <c r="K150" i="19"/>
  <c r="K149" i="19"/>
  <c r="K148" i="19"/>
  <c r="K147" i="19"/>
  <c r="K146" i="19"/>
  <c r="K145" i="19"/>
  <c r="K144" i="19"/>
  <c r="K143" i="19"/>
  <c r="K142" i="19"/>
  <c r="K141" i="19"/>
  <c r="K140" i="19"/>
  <c r="K139" i="19"/>
  <c r="K138" i="19"/>
  <c r="K137" i="19"/>
  <c r="K136" i="19"/>
  <c r="K135" i="19"/>
  <c r="K134" i="19"/>
  <c r="K133" i="19"/>
  <c r="K132" i="19"/>
  <c r="K131" i="19"/>
  <c r="K130" i="19"/>
  <c r="K129" i="19"/>
  <c r="K128" i="19"/>
  <c r="K127" i="19"/>
  <c r="K126" i="19"/>
  <c r="K125" i="19"/>
  <c r="K124" i="19"/>
  <c r="K123" i="19"/>
  <c r="K122" i="19"/>
  <c r="K121" i="19"/>
  <c r="K120" i="19"/>
  <c r="K119" i="19"/>
  <c r="K118" i="19"/>
  <c r="K117" i="19"/>
  <c r="K116" i="19"/>
  <c r="K115" i="19"/>
  <c r="K114" i="19"/>
  <c r="K113" i="19"/>
  <c r="K112" i="19"/>
  <c r="K111" i="19"/>
  <c r="K110" i="19"/>
  <c r="K109" i="19"/>
  <c r="K108" i="19"/>
  <c r="K107" i="19"/>
  <c r="K106" i="19"/>
  <c r="K105" i="19"/>
  <c r="K104" i="19"/>
  <c r="K103" i="19"/>
  <c r="K102" i="19"/>
  <c r="K101" i="19"/>
  <c r="K100" i="19"/>
  <c r="K99" i="19"/>
  <c r="K98" i="19"/>
  <c r="K97" i="19"/>
  <c r="K96" i="19"/>
  <c r="K95" i="19"/>
  <c r="K94" i="19"/>
  <c r="K93" i="19"/>
  <c r="K92" i="19"/>
  <c r="K91" i="19"/>
  <c r="K90" i="19"/>
  <c r="K89" i="19"/>
  <c r="K88" i="19"/>
  <c r="K87" i="19"/>
  <c r="K86" i="19"/>
  <c r="K85" i="19"/>
  <c r="K84" i="19"/>
  <c r="K83" i="19"/>
  <c r="K82" i="19"/>
  <c r="K81" i="19"/>
  <c r="K80" i="19"/>
  <c r="K79" i="19"/>
  <c r="K78" i="19"/>
  <c r="K77" i="19"/>
  <c r="K76" i="19"/>
  <c r="K75" i="19"/>
  <c r="K74" i="19"/>
  <c r="K73" i="19"/>
  <c r="K72" i="19"/>
  <c r="K71" i="19"/>
  <c r="K70" i="19"/>
  <c r="K69" i="19"/>
  <c r="K68" i="19"/>
  <c r="K67" i="19"/>
  <c r="K66" i="19"/>
  <c r="K65" i="19"/>
  <c r="K64" i="19"/>
  <c r="K63" i="19"/>
  <c r="K62" i="19"/>
  <c r="K61" i="19"/>
  <c r="K60" i="19"/>
  <c r="K59" i="19"/>
  <c r="K58" i="19"/>
  <c r="K57" i="19"/>
  <c r="K56" i="19"/>
  <c r="K55" i="19"/>
  <c r="K54" i="19"/>
  <c r="K53" i="19"/>
  <c r="K52" i="19"/>
  <c r="K51" i="19"/>
  <c r="K50" i="19"/>
  <c r="K49" i="19"/>
  <c r="K48" i="19"/>
  <c r="K47" i="19"/>
  <c r="K46" i="19"/>
  <c r="K45" i="19"/>
  <c r="K44" i="19"/>
  <c r="K43" i="19"/>
  <c r="K42" i="19"/>
  <c r="K41" i="19"/>
  <c r="K40" i="19"/>
  <c r="K39" i="19"/>
  <c r="K38" i="19"/>
  <c r="K37" i="19"/>
  <c r="K36" i="19"/>
  <c r="K35" i="19"/>
  <c r="K34" i="19"/>
  <c r="K33" i="19"/>
  <c r="K32" i="19"/>
  <c r="K31" i="19"/>
  <c r="K30" i="19"/>
  <c r="K29" i="19"/>
  <c r="K28" i="19"/>
  <c r="K27" i="19"/>
  <c r="K26" i="19"/>
  <c r="K25" i="19"/>
  <c r="K24" i="19"/>
  <c r="K23" i="19"/>
  <c r="K22" i="19"/>
  <c r="K21" i="19"/>
  <c r="K20" i="19"/>
  <c r="K19" i="19"/>
  <c r="K18" i="19"/>
  <c r="K123" i="60" l="1"/>
  <c r="L123" i="60" s="1"/>
  <c r="M123" i="60" s="1"/>
  <c r="N123" i="60" s="1"/>
  <c r="E123" i="60" s="1"/>
  <c r="J124" i="60"/>
  <c r="A122" i="60"/>
  <c r="I122" i="60"/>
  <c r="D122" i="60"/>
  <c r="J125" i="60" l="1"/>
  <c r="K124" i="60"/>
  <c r="L124" i="60" s="1"/>
  <c r="M124" i="60" s="1"/>
  <c r="N124" i="60" s="1"/>
  <c r="E124" i="60" s="1"/>
  <c r="D123" i="60"/>
  <c r="I123" i="60"/>
  <c r="A123" i="60"/>
  <c r="C27" i="54"/>
  <c r="C26" i="54"/>
  <c r="C25" i="54"/>
  <c r="C24" i="54"/>
  <c r="C23" i="54"/>
  <c r="C21" i="54"/>
  <c r="C18" i="54"/>
  <c r="K18" i="54"/>
  <c r="E63" i="57" s="1"/>
  <c r="K125" i="60" l="1"/>
  <c r="L125" i="60" s="1"/>
  <c r="M125" i="60" s="1"/>
  <c r="N125" i="60" s="1"/>
  <c r="E125" i="60" s="1"/>
  <c r="J126" i="60"/>
  <c r="I124" i="60"/>
  <c r="A124" i="60"/>
  <c r="D124" i="60"/>
  <c r="E53" i="57"/>
  <c r="E59" i="57"/>
  <c r="E56" i="57"/>
  <c r="E75" i="57"/>
  <c r="E74" i="57"/>
  <c r="E72" i="57"/>
  <c r="E71" i="57"/>
  <c r="E61" i="57"/>
  <c r="E58" i="57"/>
  <c r="C28" i="54"/>
  <c r="E86" i="57"/>
  <c r="K19" i="54"/>
  <c r="L23" i="54"/>
  <c r="K126" i="60" l="1"/>
  <c r="L126" i="60" s="1"/>
  <c r="M126" i="60" s="1"/>
  <c r="N126" i="60" s="1"/>
  <c r="E126" i="60" s="1"/>
  <c r="J127" i="60"/>
  <c r="D125" i="60"/>
  <c r="A125" i="60"/>
  <c r="I125" i="60"/>
  <c r="E76" i="57"/>
  <c r="E55" i="57"/>
  <c r="L24" i="54"/>
  <c r="C75" i="52"/>
  <c r="A75" i="52"/>
  <c r="C74" i="52"/>
  <c r="E37" i="57" s="1"/>
  <c r="C62" i="52"/>
  <c r="C61" i="52"/>
  <c r="C49" i="52"/>
  <c r="C48" i="52"/>
  <c r="X20" i="19"/>
  <c r="E334" i="57" s="1"/>
  <c r="C29" i="52"/>
  <c r="C28" i="52"/>
  <c r="C14" i="52"/>
  <c r="E46" i="57" l="1"/>
  <c r="C63" i="52"/>
  <c r="E44" i="57" s="1"/>
  <c r="C50" i="52"/>
  <c r="J128" i="60"/>
  <c r="K127" i="60"/>
  <c r="L127" i="60" s="1"/>
  <c r="M127" i="60" s="1"/>
  <c r="N127" i="60" s="1"/>
  <c r="E127" i="60" s="1"/>
  <c r="A126" i="60"/>
  <c r="D126" i="60"/>
  <c r="I126" i="60"/>
  <c r="E29" i="57"/>
  <c r="E28" i="57"/>
  <c r="E19" i="57"/>
  <c r="E8" i="57"/>
  <c r="E9" i="57"/>
  <c r="E11" i="57"/>
  <c r="E88" i="57"/>
  <c r="C76" i="52"/>
  <c r="E35" i="57" s="1"/>
  <c r="W19" i="19"/>
  <c r="L25" i="54"/>
  <c r="C30" i="52"/>
  <c r="K128" i="60" l="1"/>
  <c r="L128" i="60" s="1"/>
  <c r="M128" i="60" s="1"/>
  <c r="N128" i="60" s="1"/>
  <c r="E128" i="60" s="1"/>
  <c r="J129" i="60"/>
  <c r="I127" i="60"/>
  <c r="D127" i="60"/>
  <c r="A127" i="60"/>
  <c r="E331" i="57"/>
  <c r="E30" i="57"/>
  <c r="E34" i="57"/>
  <c r="E26" i="57"/>
  <c r="E17" i="57"/>
  <c r="E90" i="57"/>
  <c r="L26" i="54"/>
  <c r="K129" i="60" l="1"/>
  <c r="L129" i="60" s="1"/>
  <c r="M129" i="60" s="1"/>
  <c r="N129" i="60" s="1"/>
  <c r="E129" i="60" s="1"/>
  <c r="J130" i="60"/>
  <c r="A128" i="60"/>
  <c r="D128" i="60"/>
  <c r="I128" i="60"/>
  <c r="E92" i="57"/>
  <c r="J131" i="60" l="1"/>
  <c r="K130" i="60"/>
  <c r="L130" i="60" s="1"/>
  <c r="M130" i="60" s="1"/>
  <c r="N130" i="60" s="1"/>
  <c r="E130" i="60" s="1"/>
  <c r="I129" i="60"/>
  <c r="A129" i="60"/>
  <c r="D129" i="60"/>
  <c r="C128" i="20"/>
  <c r="C137" i="20"/>
  <c r="K131" i="60" l="1"/>
  <c r="L131" i="60" s="1"/>
  <c r="M131" i="60" s="1"/>
  <c r="N131" i="60" s="1"/>
  <c r="E131" i="60" s="1"/>
  <c r="J132" i="60"/>
  <c r="I130" i="60"/>
  <c r="A130" i="60"/>
  <c r="D130" i="60"/>
  <c r="I140" i="20"/>
  <c r="I131" i="20"/>
  <c r="J139" i="20"/>
  <c r="J142" i="20" s="1"/>
  <c r="J130" i="20"/>
  <c r="K132" i="60" l="1"/>
  <c r="L132" i="60" s="1"/>
  <c r="M132" i="60" s="1"/>
  <c r="N132" i="60" s="1"/>
  <c r="E132" i="60" s="1"/>
  <c r="J133" i="60"/>
  <c r="J143" i="20"/>
  <c r="K142" i="20"/>
  <c r="L142" i="20" s="1"/>
  <c r="M142" i="20" s="1"/>
  <c r="N142" i="20" s="1"/>
  <c r="E142" i="20" s="1"/>
  <c r="D131" i="60"/>
  <c r="A131" i="60"/>
  <c r="I131" i="60"/>
  <c r="A141" i="20"/>
  <c r="J134" i="60" l="1"/>
  <c r="K133" i="60"/>
  <c r="L133" i="60" s="1"/>
  <c r="M133" i="60" s="1"/>
  <c r="N133" i="60" s="1"/>
  <c r="E133" i="60" s="1"/>
  <c r="J144" i="20"/>
  <c r="K143" i="20"/>
  <c r="L143" i="20" s="1"/>
  <c r="M143" i="20" s="1"/>
  <c r="N143" i="20" s="1"/>
  <c r="E143" i="20" s="1"/>
  <c r="A132" i="60"/>
  <c r="D132" i="60"/>
  <c r="I132" i="60"/>
  <c r="D141" i="20"/>
  <c r="I141" i="20"/>
  <c r="K134" i="60" l="1"/>
  <c r="L134" i="60" s="1"/>
  <c r="M134" i="60" s="1"/>
  <c r="N134" i="60" s="1"/>
  <c r="E134" i="60" s="1"/>
  <c r="J135" i="60"/>
  <c r="K144" i="20"/>
  <c r="L144" i="20" s="1"/>
  <c r="M144" i="20" s="1"/>
  <c r="N144" i="20" s="1"/>
  <c r="E144" i="20" s="1"/>
  <c r="J145" i="20"/>
  <c r="A133" i="60"/>
  <c r="I133" i="60"/>
  <c r="D133" i="60"/>
  <c r="I143" i="20"/>
  <c r="A142" i="20"/>
  <c r="D142" i="20"/>
  <c r="I142" i="20"/>
  <c r="C140" i="20"/>
  <c r="C139" i="20"/>
  <c r="K135" i="60" l="1"/>
  <c r="L135" i="60" s="1"/>
  <c r="M135" i="60" s="1"/>
  <c r="N135" i="60" s="1"/>
  <c r="E135" i="60" s="1"/>
  <c r="J136" i="60"/>
  <c r="K145" i="20"/>
  <c r="L145" i="20" s="1"/>
  <c r="M145" i="20" s="1"/>
  <c r="N145" i="20" s="1"/>
  <c r="E145" i="20" s="1"/>
  <c r="J146" i="20"/>
  <c r="D134" i="60"/>
  <c r="A134" i="60"/>
  <c r="I134" i="60"/>
  <c r="A144" i="20"/>
  <c r="D143" i="20"/>
  <c r="A143" i="20"/>
  <c r="J137" i="60" l="1"/>
  <c r="K136" i="60"/>
  <c r="L136" i="60" s="1"/>
  <c r="M136" i="60" s="1"/>
  <c r="N136" i="60" s="1"/>
  <c r="E136" i="60" s="1"/>
  <c r="K146" i="20"/>
  <c r="L146" i="20" s="1"/>
  <c r="M146" i="20" s="1"/>
  <c r="N146" i="20" s="1"/>
  <c r="E146" i="20" s="1"/>
  <c r="J147" i="20"/>
  <c r="A135" i="60"/>
  <c r="I135" i="60"/>
  <c r="D135" i="60"/>
  <c r="A145" i="20"/>
  <c r="D144" i="20"/>
  <c r="I144" i="20"/>
  <c r="K137" i="60" l="1"/>
  <c r="L137" i="60" s="1"/>
  <c r="M137" i="60" s="1"/>
  <c r="N137" i="60" s="1"/>
  <c r="E137" i="60" s="1"/>
  <c r="J138" i="60"/>
  <c r="K147" i="20"/>
  <c r="L147" i="20" s="1"/>
  <c r="M147" i="20" s="1"/>
  <c r="N147" i="20" s="1"/>
  <c r="E147" i="20" s="1"/>
  <c r="J148" i="20"/>
  <c r="D136" i="60"/>
  <c r="A136" i="60"/>
  <c r="I136" i="60"/>
  <c r="A146" i="20"/>
  <c r="I145" i="20"/>
  <c r="D145" i="20"/>
  <c r="K138" i="60" l="1"/>
  <c r="L138" i="60" s="1"/>
  <c r="M138" i="60" s="1"/>
  <c r="N138" i="60" s="1"/>
  <c r="E138" i="60" s="1"/>
  <c r="J139" i="60"/>
  <c r="K148" i="20"/>
  <c r="L148" i="20" s="1"/>
  <c r="M148" i="20" s="1"/>
  <c r="N148" i="20" s="1"/>
  <c r="E148" i="20" s="1"/>
  <c r="J149" i="20"/>
  <c r="I137" i="60"/>
  <c r="A137" i="60"/>
  <c r="D137" i="60"/>
  <c r="A147" i="20"/>
  <c r="I146" i="20"/>
  <c r="D146" i="20"/>
  <c r="J140" i="60" l="1"/>
  <c r="K139" i="60"/>
  <c r="L139" i="60" s="1"/>
  <c r="M139" i="60" s="1"/>
  <c r="N139" i="60" s="1"/>
  <c r="E139" i="60" s="1"/>
  <c r="J150" i="20"/>
  <c r="K149" i="20"/>
  <c r="L149" i="20" s="1"/>
  <c r="M149" i="20" s="1"/>
  <c r="N149" i="20" s="1"/>
  <c r="E149" i="20" s="1"/>
  <c r="A138" i="60"/>
  <c r="I138" i="60"/>
  <c r="D138" i="60"/>
  <c r="D147" i="20"/>
  <c r="I147" i="20"/>
  <c r="K140" i="60" l="1"/>
  <c r="L140" i="60" s="1"/>
  <c r="M140" i="60" s="1"/>
  <c r="N140" i="60" s="1"/>
  <c r="E140" i="60" s="1"/>
  <c r="J141" i="60"/>
  <c r="K150" i="20"/>
  <c r="L150" i="20" s="1"/>
  <c r="M150" i="20" s="1"/>
  <c r="N150" i="20" s="1"/>
  <c r="E150" i="20" s="1"/>
  <c r="J151" i="20"/>
  <c r="A139" i="60"/>
  <c r="D139" i="60"/>
  <c r="I139" i="60"/>
  <c r="D1267" i="19"/>
  <c r="D1266" i="19"/>
  <c r="D1265" i="19"/>
  <c r="D1264" i="19"/>
  <c r="D1263" i="19"/>
  <c r="D1262" i="19"/>
  <c r="D1261" i="19"/>
  <c r="D1260" i="19"/>
  <c r="D1259" i="19"/>
  <c r="D1258" i="19"/>
  <c r="D1257" i="19"/>
  <c r="D1256" i="19"/>
  <c r="D1255" i="19"/>
  <c r="D1254" i="19"/>
  <c r="D1253" i="19"/>
  <c r="D1252" i="19"/>
  <c r="D1251" i="19"/>
  <c r="D1250" i="19"/>
  <c r="D1249" i="19"/>
  <c r="D1248" i="19"/>
  <c r="D1247" i="19"/>
  <c r="D1246" i="19"/>
  <c r="D1245" i="19"/>
  <c r="D1244" i="19"/>
  <c r="D1243" i="19"/>
  <c r="D1242" i="19"/>
  <c r="D1241" i="19"/>
  <c r="D1240" i="19"/>
  <c r="D1239" i="19"/>
  <c r="D1238" i="19"/>
  <c r="D1237" i="19"/>
  <c r="D1236" i="19"/>
  <c r="D1235" i="19"/>
  <c r="D1234" i="19"/>
  <c r="D1233" i="19"/>
  <c r="D1232" i="19"/>
  <c r="D1231" i="19"/>
  <c r="D1230" i="19"/>
  <c r="D1229" i="19"/>
  <c r="D1228" i="19"/>
  <c r="D1227" i="19"/>
  <c r="D1226" i="19"/>
  <c r="D1225" i="19"/>
  <c r="D1224" i="19"/>
  <c r="D1223" i="19"/>
  <c r="D1222" i="19"/>
  <c r="D1221" i="19"/>
  <c r="D1220" i="19"/>
  <c r="D1219" i="19"/>
  <c r="D1218" i="19"/>
  <c r="D1217" i="19"/>
  <c r="D1216" i="19"/>
  <c r="D1215" i="19"/>
  <c r="D1214" i="19"/>
  <c r="D1213" i="19"/>
  <c r="D1212" i="19"/>
  <c r="D1211" i="19"/>
  <c r="D1210" i="19"/>
  <c r="D1209" i="19"/>
  <c r="D1208" i="19"/>
  <c r="D1207" i="19"/>
  <c r="D1206" i="19"/>
  <c r="D1205" i="19"/>
  <c r="D1204" i="19"/>
  <c r="D1203" i="19"/>
  <c r="D1202" i="19"/>
  <c r="D1201" i="19"/>
  <c r="D1200" i="19"/>
  <c r="D1199" i="19"/>
  <c r="D1198" i="19"/>
  <c r="D1197" i="19"/>
  <c r="D1196" i="19"/>
  <c r="D1195" i="19"/>
  <c r="D1194" i="19"/>
  <c r="D1193" i="19"/>
  <c r="D1192" i="19"/>
  <c r="D1191" i="19"/>
  <c r="D1190" i="19"/>
  <c r="D1189" i="19"/>
  <c r="D1188" i="19"/>
  <c r="D1187" i="19"/>
  <c r="D1186" i="19"/>
  <c r="D1185" i="19"/>
  <c r="D1184" i="19"/>
  <c r="D1183" i="19"/>
  <c r="D1182" i="19"/>
  <c r="D1181" i="19"/>
  <c r="D1180" i="19"/>
  <c r="D1179" i="19"/>
  <c r="D1178" i="19"/>
  <c r="D1177" i="19"/>
  <c r="D1176" i="19"/>
  <c r="D1175" i="19"/>
  <c r="D1174" i="19"/>
  <c r="D1173" i="19"/>
  <c r="D1172" i="19"/>
  <c r="D1171" i="19"/>
  <c r="D1170" i="19"/>
  <c r="D1169" i="19"/>
  <c r="D1168" i="19"/>
  <c r="D1167" i="19"/>
  <c r="D1166" i="19"/>
  <c r="D1165" i="19"/>
  <c r="D1164" i="19"/>
  <c r="D1163" i="19"/>
  <c r="D1162" i="19"/>
  <c r="D1161" i="19"/>
  <c r="D1160" i="19"/>
  <c r="D1159" i="19"/>
  <c r="D1158" i="19"/>
  <c r="D1157" i="19"/>
  <c r="D1156" i="19"/>
  <c r="D1155" i="19"/>
  <c r="D1154" i="19"/>
  <c r="D1153" i="19"/>
  <c r="D1152" i="19"/>
  <c r="D1151" i="19"/>
  <c r="D1150" i="19"/>
  <c r="D1149" i="19"/>
  <c r="D1148" i="19"/>
  <c r="D1147" i="19"/>
  <c r="D1146" i="19"/>
  <c r="D1145" i="19"/>
  <c r="D1144" i="19"/>
  <c r="D1143" i="19"/>
  <c r="D1142" i="19"/>
  <c r="D1141" i="19"/>
  <c r="D1140" i="19"/>
  <c r="D1139" i="19"/>
  <c r="D1138" i="19"/>
  <c r="D1137" i="19"/>
  <c r="D1136" i="19"/>
  <c r="D1135" i="19"/>
  <c r="D1134" i="19"/>
  <c r="D1133" i="19"/>
  <c r="D1132" i="19"/>
  <c r="D1131" i="19"/>
  <c r="D1130" i="19"/>
  <c r="D1129" i="19"/>
  <c r="D1128" i="19"/>
  <c r="D1127" i="19"/>
  <c r="D1126" i="19"/>
  <c r="D1125" i="19"/>
  <c r="D1124" i="19"/>
  <c r="D1123" i="19"/>
  <c r="D1122" i="19"/>
  <c r="D1121" i="19"/>
  <c r="D1120" i="19"/>
  <c r="D1119" i="19"/>
  <c r="D1118" i="19"/>
  <c r="D1117" i="19"/>
  <c r="D1116" i="19"/>
  <c r="D1115" i="19"/>
  <c r="D1114" i="19"/>
  <c r="D1113" i="19"/>
  <c r="D1112" i="19"/>
  <c r="D1111" i="19"/>
  <c r="D1110" i="19"/>
  <c r="D1109" i="19"/>
  <c r="D1108" i="19"/>
  <c r="D1107" i="19"/>
  <c r="D1106" i="19"/>
  <c r="D1105" i="19"/>
  <c r="D1104" i="19"/>
  <c r="D1103" i="19"/>
  <c r="D1102" i="19"/>
  <c r="D1101" i="19"/>
  <c r="D1100" i="19"/>
  <c r="D1099" i="19"/>
  <c r="D1098" i="19"/>
  <c r="D1097" i="19"/>
  <c r="D1096" i="19"/>
  <c r="D1095" i="19"/>
  <c r="D1094" i="19"/>
  <c r="D1093" i="19"/>
  <c r="D1092" i="19"/>
  <c r="D1091" i="19"/>
  <c r="D1090" i="19"/>
  <c r="D1089" i="19"/>
  <c r="D1088" i="19"/>
  <c r="D1087" i="19"/>
  <c r="D1086" i="19"/>
  <c r="D1085" i="19"/>
  <c r="D1084" i="19"/>
  <c r="D1083" i="19"/>
  <c r="D1082" i="19"/>
  <c r="D1081" i="19"/>
  <c r="D1080" i="19"/>
  <c r="D1079" i="19"/>
  <c r="D1078" i="19"/>
  <c r="D1077" i="19"/>
  <c r="D1076" i="19"/>
  <c r="D1075" i="19"/>
  <c r="D1074" i="19"/>
  <c r="D1073" i="19"/>
  <c r="D1072" i="19"/>
  <c r="D1071" i="19"/>
  <c r="D1070" i="19"/>
  <c r="D1069" i="19"/>
  <c r="D1068" i="19"/>
  <c r="D1067" i="19"/>
  <c r="D1066" i="19"/>
  <c r="D1065" i="19"/>
  <c r="D1064" i="19"/>
  <c r="D1063" i="19"/>
  <c r="D1062" i="19"/>
  <c r="D1061" i="19"/>
  <c r="D1060" i="19"/>
  <c r="D1059" i="19"/>
  <c r="D1058" i="19"/>
  <c r="D1057" i="19"/>
  <c r="D1056" i="19"/>
  <c r="D1055" i="19"/>
  <c r="D1054" i="19"/>
  <c r="D1053" i="19"/>
  <c r="D1052" i="19"/>
  <c r="D1051" i="19"/>
  <c r="D1050" i="19"/>
  <c r="D1049" i="19"/>
  <c r="D1048" i="19"/>
  <c r="D1047" i="19"/>
  <c r="D1046" i="19"/>
  <c r="D1045" i="19"/>
  <c r="D1044" i="19"/>
  <c r="D1043" i="19"/>
  <c r="D1042" i="19"/>
  <c r="D1041" i="19"/>
  <c r="D1040" i="19"/>
  <c r="D1039" i="19"/>
  <c r="D1038" i="19"/>
  <c r="D1037" i="19"/>
  <c r="D1036" i="19"/>
  <c r="D1035" i="19"/>
  <c r="D1034" i="19"/>
  <c r="D1033" i="19"/>
  <c r="D1032" i="19"/>
  <c r="D1031" i="19"/>
  <c r="D1030" i="19"/>
  <c r="D1029" i="19"/>
  <c r="D1028" i="19"/>
  <c r="D1027" i="19"/>
  <c r="D1026" i="19"/>
  <c r="D1025" i="19"/>
  <c r="D1024" i="19"/>
  <c r="D1023" i="19"/>
  <c r="D1022" i="19"/>
  <c r="D1021" i="19"/>
  <c r="D1020" i="19"/>
  <c r="D1019" i="19"/>
  <c r="D1018" i="19"/>
  <c r="D1017" i="19"/>
  <c r="D1016" i="19"/>
  <c r="D1015" i="19"/>
  <c r="D1014" i="19"/>
  <c r="D1013" i="19"/>
  <c r="D1012" i="19"/>
  <c r="D1011" i="19"/>
  <c r="D1010" i="19"/>
  <c r="D1009" i="19"/>
  <c r="D1008" i="19"/>
  <c r="D1007" i="19"/>
  <c r="D1006" i="19"/>
  <c r="D1005" i="19"/>
  <c r="D1004" i="19"/>
  <c r="D1003" i="19"/>
  <c r="D1002" i="19"/>
  <c r="D1001" i="19"/>
  <c r="D1000" i="19"/>
  <c r="D999" i="19"/>
  <c r="D998" i="19"/>
  <c r="D997" i="19"/>
  <c r="D996" i="19"/>
  <c r="D995" i="19"/>
  <c r="D994" i="19"/>
  <c r="D993" i="19"/>
  <c r="D992" i="19"/>
  <c r="D991" i="19"/>
  <c r="D990" i="19"/>
  <c r="D989" i="19"/>
  <c r="D988" i="19"/>
  <c r="D987" i="19"/>
  <c r="D986" i="19"/>
  <c r="D985" i="19"/>
  <c r="D984" i="19"/>
  <c r="D983" i="19"/>
  <c r="D982" i="19"/>
  <c r="D981" i="19"/>
  <c r="D980" i="19"/>
  <c r="D979" i="19"/>
  <c r="D978" i="19"/>
  <c r="D977" i="19"/>
  <c r="D976" i="19"/>
  <c r="D975" i="19"/>
  <c r="D974" i="19"/>
  <c r="D973" i="19"/>
  <c r="D972" i="19"/>
  <c r="D971" i="19"/>
  <c r="D970" i="19"/>
  <c r="D969" i="19"/>
  <c r="D968" i="19"/>
  <c r="D967" i="19"/>
  <c r="D966" i="19"/>
  <c r="D965" i="19"/>
  <c r="D964" i="19"/>
  <c r="D963" i="19"/>
  <c r="D962" i="19"/>
  <c r="D961" i="19"/>
  <c r="D960" i="19"/>
  <c r="D959" i="19"/>
  <c r="D958" i="19"/>
  <c r="D957" i="19"/>
  <c r="D956" i="19"/>
  <c r="D955" i="19"/>
  <c r="D954" i="19"/>
  <c r="D953" i="19"/>
  <c r="D952" i="19"/>
  <c r="D951" i="19"/>
  <c r="D950" i="19"/>
  <c r="D949" i="19"/>
  <c r="D948" i="19"/>
  <c r="D947" i="19"/>
  <c r="D946" i="19"/>
  <c r="D945" i="19"/>
  <c r="D944" i="19"/>
  <c r="D943" i="19"/>
  <c r="D942" i="19"/>
  <c r="D941" i="19"/>
  <c r="D940" i="19"/>
  <c r="D939" i="19"/>
  <c r="D938" i="19"/>
  <c r="D937" i="19"/>
  <c r="D936" i="19"/>
  <c r="D935" i="19"/>
  <c r="D934" i="19"/>
  <c r="D933" i="19"/>
  <c r="D932" i="19"/>
  <c r="D931" i="19"/>
  <c r="D930" i="19"/>
  <c r="D929" i="19"/>
  <c r="D928" i="19"/>
  <c r="D927" i="19"/>
  <c r="D926" i="19"/>
  <c r="D925" i="19"/>
  <c r="D924" i="19"/>
  <c r="D923" i="19"/>
  <c r="D922" i="19"/>
  <c r="D921" i="19"/>
  <c r="D920" i="19"/>
  <c r="D919" i="19"/>
  <c r="D918" i="19"/>
  <c r="D917" i="19"/>
  <c r="D916" i="19"/>
  <c r="D915" i="19"/>
  <c r="D914" i="19"/>
  <c r="D913" i="19"/>
  <c r="D912" i="19"/>
  <c r="D911" i="19"/>
  <c r="D910" i="19"/>
  <c r="D909" i="19"/>
  <c r="D908" i="19"/>
  <c r="D907" i="19"/>
  <c r="D906" i="19"/>
  <c r="D905" i="19"/>
  <c r="D904" i="19"/>
  <c r="D903" i="19"/>
  <c r="D902" i="19"/>
  <c r="D901" i="19"/>
  <c r="D900" i="19"/>
  <c r="D899" i="19"/>
  <c r="D898" i="19"/>
  <c r="D897" i="19"/>
  <c r="D896" i="19"/>
  <c r="D895" i="19"/>
  <c r="D894" i="19"/>
  <c r="D893" i="19"/>
  <c r="D892" i="19"/>
  <c r="D891" i="19"/>
  <c r="D890" i="19"/>
  <c r="D889" i="19"/>
  <c r="D888" i="19"/>
  <c r="D887" i="19"/>
  <c r="D886" i="19"/>
  <c r="D885" i="19"/>
  <c r="D884" i="19"/>
  <c r="D883" i="19"/>
  <c r="D882" i="19"/>
  <c r="D881" i="19"/>
  <c r="D880" i="19"/>
  <c r="D879" i="19"/>
  <c r="D878" i="19"/>
  <c r="D877" i="19"/>
  <c r="D876" i="19"/>
  <c r="D875" i="19"/>
  <c r="D874" i="19"/>
  <c r="D873" i="19"/>
  <c r="D872" i="19"/>
  <c r="D871" i="19"/>
  <c r="D870" i="19"/>
  <c r="D869" i="19"/>
  <c r="D868" i="19"/>
  <c r="D867" i="19"/>
  <c r="D866" i="19"/>
  <c r="D865" i="19"/>
  <c r="D864" i="19"/>
  <c r="D863" i="19"/>
  <c r="D862" i="19"/>
  <c r="D861" i="19"/>
  <c r="D860" i="19"/>
  <c r="D859" i="19"/>
  <c r="D858" i="19"/>
  <c r="D857" i="19"/>
  <c r="D856" i="19"/>
  <c r="D855" i="19"/>
  <c r="D854" i="19"/>
  <c r="D853" i="19"/>
  <c r="D852" i="19"/>
  <c r="D851" i="19"/>
  <c r="D850" i="19"/>
  <c r="D849" i="19"/>
  <c r="D848" i="19"/>
  <c r="D847" i="19"/>
  <c r="D846" i="19"/>
  <c r="D845" i="19"/>
  <c r="D844" i="19"/>
  <c r="D843" i="19"/>
  <c r="D842" i="19"/>
  <c r="D841" i="19"/>
  <c r="D840" i="19"/>
  <c r="D839" i="19"/>
  <c r="D838" i="19"/>
  <c r="D837" i="19"/>
  <c r="D836" i="19"/>
  <c r="D835" i="19"/>
  <c r="D834" i="19"/>
  <c r="D833" i="19"/>
  <c r="D832" i="19"/>
  <c r="D831" i="19"/>
  <c r="D830" i="19"/>
  <c r="D829" i="19"/>
  <c r="D828" i="19"/>
  <c r="D827" i="19"/>
  <c r="D826" i="19"/>
  <c r="D825" i="19"/>
  <c r="D824" i="19"/>
  <c r="D823" i="19"/>
  <c r="D822" i="19"/>
  <c r="D821" i="19"/>
  <c r="D820" i="19"/>
  <c r="D819" i="19"/>
  <c r="D818" i="19"/>
  <c r="D817" i="19"/>
  <c r="D816" i="19"/>
  <c r="D815" i="19"/>
  <c r="D814" i="19"/>
  <c r="D813" i="19"/>
  <c r="D812" i="19"/>
  <c r="D811" i="19"/>
  <c r="D810" i="19"/>
  <c r="D809" i="19"/>
  <c r="D808" i="19"/>
  <c r="D807" i="19"/>
  <c r="D806" i="19"/>
  <c r="D805" i="19"/>
  <c r="D804" i="19"/>
  <c r="D803" i="19"/>
  <c r="D802" i="19"/>
  <c r="D801" i="19"/>
  <c r="D800" i="19"/>
  <c r="D799" i="19"/>
  <c r="D798" i="19"/>
  <c r="D797" i="19"/>
  <c r="D796" i="19"/>
  <c r="D795" i="19"/>
  <c r="D794" i="19"/>
  <c r="D793" i="19"/>
  <c r="D792" i="19"/>
  <c r="D791" i="19"/>
  <c r="D790" i="19"/>
  <c r="D789" i="19"/>
  <c r="D788" i="19"/>
  <c r="D787" i="19"/>
  <c r="D786" i="19"/>
  <c r="D785" i="19"/>
  <c r="D784" i="19"/>
  <c r="D783" i="19"/>
  <c r="D782" i="19"/>
  <c r="D781" i="19"/>
  <c r="D780" i="19"/>
  <c r="D779" i="19"/>
  <c r="D778" i="19"/>
  <c r="D777" i="19"/>
  <c r="D776" i="19"/>
  <c r="D775" i="19"/>
  <c r="D774" i="19"/>
  <c r="D773" i="19"/>
  <c r="D772" i="19"/>
  <c r="D771" i="19"/>
  <c r="D770" i="19"/>
  <c r="D769" i="19"/>
  <c r="D768" i="19"/>
  <c r="D767" i="19"/>
  <c r="D766" i="19"/>
  <c r="D765" i="19"/>
  <c r="D764" i="19"/>
  <c r="D763" i="19"/>
  <c r="D762" i="19"/>
  <c r="D761" i="19"/>
  <c r="D760" i="19"/>
  <c r="D759" i="19"/>
  <c r="D758" i="19"/>
  <c r="D757" i="19"/>
  <c r="D756" i="19"/>
  <c r="D755" i="19"/>
  <c r="D754" i="19"/>
  <c r="D753" i="19"/>
  <c r="D752" i="19"/>
  <c r="D751" i="19"/>
  <c r="D750" i="19"/>
  <c r="D749" i="19"/>
  <c r="D748" i="19"/>
  <c r="D747" i="19"/>
  <c r="D746" i="19"/>
  <c r="D745" i="19"/>
  <c r="D744" i="19"/>
  <c r="D743" i="19"/>
  <c r="D742" i="19"/>
  <c r="D741" i="19"/>
  <c r="D740" i="19"/>
  <c r="D739" i="19"/>
  <c r="D738" i="19"/>
  <c r="D737" i="19"/>
  <c r="D736" i="19"/>
  <c r="D735" i="19"/>
  <c r="D734" i="19"/>
  <c r="D733" i="19"/>
  <c r="D732" i="19"/>
  <c r="D731" i="19"/>
  <c r="D730" i="19"/>
  <c r="D729" i="19"/>
  <c r="D728" i="19"/>
  <c r="D727" i="19"/>
  <c r="D726" i="19"/>
  <c r="D725" i="19"/>
  <c r="D724" i="19"/>
  <c r="D723" i="19"/>
  <c r="D722" i="19"/>
  <c r="D721" i="19"/>
  <c r="D720" i="19"/>
  <c r="D719" i="19"/>
  <c r="D718" i="19"/>
  <c r="D717" i="19"/>
  <c r="D716" i="19"/>
  <c r="D715" i="19"/>
  <c r="D714" i="19"/>
  <c r="D713" i="19"/>
  <c r="D712" i="19"/>
  <c r="D711" i="19"/>
  <c r="D710" i="19"/>
  <c r="D709" i="19"/>
  <c r="D708" i="19"/>
  <c r="D707" i="19"/>
  <c r="D706" i="19"/>
  <c r="D705" i="19"/>
  <c r="D704" i="19"/>
  <c r="D703" i="19"/>
  <c r="D702" i="19"/>
  <c r="D701" i="19"/>
  <c r="D700" i="19"/>
  <c r="D699" i="19"/>
  <c r="D698" i="19"/>
  <c r="D697" i="19"/>
  <c r="D696" i="19"/>
  <c r="D695" i="19"/>
  <c r="D694" i="19"/>
  <c r="D693" i="19"/>
  <c r="D692" i="19"/>
  <c r="D691" i="19"/>
  <c r="D690" i="19"/>
  <c r="D689" i="19"/>
  <c r="D688" i="19"/>
  <c r="D687" i="19"/>
  <c r="D686" i="19"/>
  <c r="D685" i="19"/>
  <c r="D684" i="19"/>
  <c r="D683" i="19"/>
  <c r="D682" i="19"/>
  <c r="D681" i="19"/>
  <c r="D680" i="19"/>
  <c r="D679" i="19"/>
  <c r="D678" i="19"/>
  <c r="D677" i="19"/>
  <c r="D676" i="19"/>
  <c r="D675" i="19"/>
  <c r="D674" i="19"/>
  <c r="D673" i="19"/>
  <c r="D672" i="19"/>
  <c r="D671" i="19"/>
  <c r="D670" i="19"/>
  <c r="D669" i="19"/>
  <c r="D668" i="19"/>
  <c r="D667" i="19"/>
  <c r="D666" i="19"/>
  <c r="D665" i="19"/>
  <c r="D664" i="19"/>
  <c r="D663" i="19"/>
  <c r="D662" i="19"/>
  <c r="D661" i="19"/>
  <c r="D660" i="19"/>
  <c r="D659" i="19"/>
  <c r="D658" i="19"/>
  <c r="D657" i="19"/>
  <c r="D656" i="19"/>
  <c r="D655" i="19"/>
  <c r="D654" i="19"/>
  <c r="D653" i="19"/>
  <c r="D652" i="19"/>
  <c r="D651" i="19"/>
  <c r="D650" i="19"/>
  <c r="D649" i="19"/>
  <c r="D648" i="19"/>
  <c r="D647" i="19"/>
  <c r="D646" i="19"/>
  <c r="D645" i="19"/>
  <c r="D644" i="19"/>
  <c r="D643" i="19"/>
  <c r="D642" i="19"/>
  <c r="D641" i="19"/>
  <c r="D640" i="19"/>
  <c r="D639" i="19"/>
  <c r="D638" i="19"/>
  <c r="D637" i="19"/>
  <c r="D636" i="19"/>
  <c r="D635" i="19"/>
  <c r="D634" i="19"/>
  <c r="D633" i="19"/>
  <c r="D632" i="19"/>
  <c r="D631" i="19"/>
  <c r="D630" i="19"/>
  <c r="D629" i="19"/>
  <c r="D628" i="19"/>
  <c r="D627" i="19"/>
  <c r="D626" i="19"/>
  <c r="D625" i="19"/>
  <c r="D624" i="19"/>
  <c r="D623" i="19"/>
  <c r="D622" i="19"/>
  <c r="D621" i="19"/>
  <c r="D620" i="19"/>
  <c r="D619" i="19"/>
  <c r="D618" i="19"/>
  <c r="D617" i="19"/>
  <c r="D616" i="19"/>
  <c r="D615" i="19"/>
  <c r="D614" i="19"/>
  <c r="D613" i="19"/>
  <c r="D612" i="19"/>
  <c r="D611" i="19"/>
  <c r="D610" i="19"/>
  <c r="D609" i="19"/>
  <c r="D608" i="19"/>
  <c r="D607" i="19"/>
  <c r="D606" i="19"/>
  <c r="D605" i="19"/>
  <c r="D604" i="19"/>
  <c r="D603" i="19"/>
  <c r="D602" i="19"/>
  <c r="D601" i="19"/>
  <c r="D600" i="19"/>
  <c r="D599" i="19"/>
  <c r="D598" i="19"/>
  <c r="D597" i="19"/>
  <c r="D596" i="19"/>
  <c r="D595" i="19"/>
  <c r="D594" i="19"/>
  <c r="D593" i="19"/>
  <c r="D592" i="19"/>
  <c r="D591" i="19"/>
  <c r="D590" i="19"/>
  <c r="D589" i="19"/>
  <c r="D588" i="19"/>
  <c r="D587" i="19"/>
  <c r="D586" i="19"/>
  <c r="D585" i="19"/>
  <c r="D584" i="19"/>
  <c r="D583" i="19"/>
  <c r="D582" i="19"/>
  <c r="D581" i="19"/>
  <c r="D580" i="19"/>
  <c r="D579" i="19"/>
  <c r="D578" i="19"/>
  <c r="D577" i="19"/>
  <c r="D576" i="19"/>
  <c r="D575" i="19"/>
  <c r="D574" i="19"/>
  <c r="D573" i="19"/>
  <c r="D572" i="19"/>
  <c r="D571" i="19"/>
  <c r="D570" i="19"/>
  <c r="D569" i="19"/>
  <c r="D568" i="19"/>
  <c r="D567" i="19"/>
  <c r="D566" i="19"/>
  <c r="D565" i="19"/>
  <c r="D564" i="19"/>
  <c r="D563" i="19"/>
  <c r="D562" i="19"/>
  <c r="D561" i="19"/>
  <c r="D560" i="19"/>
  <c r="D559" i="19"/>
  <c r="D558" i="19"/>
  <c r="D557" i="19"/>
  <c r="D556" i="19"/>
  <c r="D555" i="19"/>
  <c r="D554" i="19"/>
  <c r="D553" i="19"/>
  <c r="D552" i="19"/>
  <c r="D551" i="19"/>
  <c r="D550" i="19"/>
  <c r="D549" i="19"/>
  <c r="D548" i="19"/>
  <c r="D547" i="19"/>
  <c r="D546" i="19"/>
  <c r="D545" i="19"/>
  <c r="D544" i="19"/>
  <c r="D543" i="19"/>
  <c r="D542" i="19"/>
  <c r="D541" i="19"/>
  <c r="D540" i="19"/>
  <c r="D539" i="19"/>
  <c r="D538" i="19"/>
  <c r="D537" i="19"/>
  <c r="D536" i="19"/>
  <c r="D535" i="19"/>
  <c r="D534" i="19"/>
  <c r="D533" i="19"/>
  <c r="D532" i="19"/>
  <c r="D531" i="19"/>
  <c r="D530" i="19"/>
  <c r="D529" i="19"/>
  <c r="D528" i="19"/>
  <c r="D527" i="19"/>
  <c r="D526" i="19"/>
  <c r="D525" i="19"/>
  <c r="D524" i="19"/>
  <c r="D523" i="19"/>
  <c r="D522" i="19"/>
  <c r="D521" i="19"/>
  <c r="D520" i="19"/>
  <c r="D519" i="19"/>
  <c r="D518" i="19"/>
  <c r="D517" i="19"/>
  <c r="D516" i="19"/>
  <c r="D515" i="19"/>
  <c r="D514" i="19"/>
  <c r="D513" i="19"/>
  <c r="D512" i="19"/>
  <c r="D511" i="19"/>
  <c r="D510" i="19"/>
  <c r="D509" i="19"/>
  <c r="D508" i="19"/>
  <c r="D507" i="19"/>
  <c r="D506" i="19"/>
  <c r="D505" i="19"/>
  <c r="D504" i="19"/>
  <c r="D503" i="19"/>
  <c r="D502" i="19"/>
  <c r="D501" i="19"/>
  <c r="D500" i="19"/>
  <c r="D499" i="19"/>
  <c r="D498" i="19"/>
  <c r="D497" i="19"/>
  <c r="D496" i="19"/>
  <c r="D495" i="19"/>
  <c r="D494" i="19"/>
  <c r="D493" i="19"/>
  <c r="D492" i="19"/>
  <c r="D491" i="19"/>
  <c r="D490" i="19"/>
  <c r="D489" i="19"/>
  <c r="D488" i="19"/>
  <c r="D487" i="19"/>
  <c r="D486" i="19"/>
  <c r="D485" i="19"/>
  <c r="D484" i="19"/>
  <c r="D483" i="19"/>
  <c r="D482" i="19"/>
  <c r="D481" i="19"/>
  <c r="D480" i="19"/>
  <c r="D479" i="19"/>
  <c r="D478" i="19"/>
  <c r="D477" i="19"/>
  <c r="D476" i="19"/>
  <c r="D475" i="19"/>
  <c r="D474" i="19"/>
  <c r="D473" i="19"/>
  <c r="D472" i="19"/>
  <c r="D471" i="19"/>
  <c r="D470" i="19"/>
  <c r="D469" i="19"/>
  <c r="D468" i="19"/>
  <c r="D467" i="19"/>
  <c r="D466" i="19"/>
  <c r="D465" i="19"/>
  <c r="D464" i="19"/>
  <c r="D463" i="19"/>
  <c r="D462" i="19"/>
  <c r="D461" i="19"/>
  <c r="D460" i="19"/>
  <c r="D459" i="19"/>
  <c r="D458" i="19"/>
  <c r="D457" i="19"/>
  <c r="D456" i="19"/>
  <c r="D455" i="19"/>
  <c r="D454" i="19"/>
  <c r="D453" i="19"/>
  <c r="D452" i="19"/>
  <c r="D451" i="19"/>
  <c r="D450" i="19"/>
  <c r="D449" i="19"/>
  <c r="D448" i="19"/>
  <c r="D447" i="19"/>
  <c r="D446" i="19"/>
  <c r="D445" i="19"/>
  <c r="D444" i="19"/>
  <c r="D443" i="19"/>
  <c r="D442" i="19"/>
  <c r="D441" i="19"/>
  <c r="D440" i="19"/>
  <c r="D439" i="19"/>
  <c r="D438" i="19"/>
  <c r="D437" i="19"/>
  <c r="D436" i="19"/>
  <c r="D435" i="19"/>
  <c r="D434" i="19"/>
  <c r="D433" i="19"/>
  <c r="D432" i="19"/>
  <c r="D431" i="19"/>
  <c r="D430" i="19"/>
  <c r="D429" i="19"/>
  <c r="D428" i="19"/>
  <c r="D427" i="19"/>
  <c r="D426" i="19"/>
  <c r="D425" i="19"/>
  <c r="D424" i="19"/>
  <c r="D423" i="19"/>
  <c r="D422" i="19"/>
  <c r="D421" i="19"/>
  <c r="D420" i="19"/>
  <c r="D419" i="19"/>
  <c r="D418" i="19"/>
  <c r="D417" i="19"/>
  <c r="D416" i="19"/>
  <c r="D415" i="19"/>
  <c r="D414" i="19"/>
  <c r="D413" i="19"/>
  <c r="D412" i="19"/>
  <c r="D411" i="19"/>
  <c r="D410" i="19"/>
  <c r="D409" i="19"/>
  <c r="D408" i="19"/>
  <c r="D407" i="19"/>
  <c r="D406" i="19"/>
  <c r="D405" i="19"/>
  <c r="D404" i="19"/>
  <c r="D403" i="19"/>
  <c r="D402" i="19"/>
  <c r="D401" i="19"/>
  <c r="D400" i="19"/>
  <c r="D399" i="19"/>
  <c r="D398" i="19"/>
  <c r="D397" i="19"/>
  <c r="D396" i="19"/>
  <c r="D395" i="19"/>
  <c r="D394" i="19"/>
  <c r="D393" i="19"/>
  <c r="D392" i="19"/>
  <c r="D391" i="19"/>
  <c r="D390" i="19"/>
  <c r="D389" i="19"/>
  <c r="D388" i="19"/>
  <c r="D387" i="19"/>
  <c r="D386" i="19"/>
  <c r="D385" i="19"/>
  <c r="D384" i="19"/>
  <c r="D383" i="19"/>
  <c r="D382" i="19"/>
  <c r="D381" i="19"/>
  <c r="D380" i="19"/>
  <c r="D379" i="19"/>
  <c r="D378" i="19"/>
  <c r="D377" i="19"/>
  <c r="D376" i="19"/>
  <c r="D375" i="19"/>
  <c r="D374" i="19"/>
  <c r="D373" i="19"/>
  <c r="D372" i="19"/>
  <c r="D371" i="19"/>
  <c r="D370" i="19"/>
  <c r="D369" i="19"/>
  <c r="D368" i="19"/>
  <c r="D367" i="19"/>
  <c r="D366" i="19"/>
  <c r="D365" i="19"/>
  <c r="D364" i="19"/>
  <c r="D363" i="19"/>
  <c r="D362" i="19"/>
  <c r="D361" i="19"/>
  <c r="D360" i="19"/>
  <c r="D359" i="19"/>
  <c r="D358" i="19"/>
  <c r="D357" i="19"/>
  <c r="D356" i="19"/>
  <c r="D355" i="19"/>
  <c r="D354" i="19"/>
  <c r="D353" i="19"/>
  <c r="D352" i="19"/>
  <c r="D351" i="19"/>
  <c r="D350" i="19"/>
  <c r="D349" i="19"/>
  <c r="D348" i="19"/>
  <c r="D347" i="19"/>
  <c r="D346" i="19"/>
  <c r="D345" i="19"/>
  <c r="D344" i="19"/>
  <c r="D343" i="19"/>
  <c r="D342" i="19"/>
  <c r="D341" i="19"/>
  <c r="D340" i="19"/>
  <c r="D339" i="19"/>
  <c r="D338" i="19"/>
  <c r="D337" i="19"/>
  <c r="D336" i="19"/>
  <c r="D335" i="19"/>
  <c r="D334" i="19"/>
  <c r="D333" i="19"/>
  <c r="D332" i="19"/>
  <c r="D331" i="19"/>
  <c r="D330" i="19"/>
  <c r="D329" i="19"/>
  <c r="D328" i="19"/>
  <c r="D327" i="19"/>
  <c r="D326" i="19"/>
  <c r="D325" i="19"/>
  <c r="D324" i="19"/>
  <c r="D323" i="19"/>
  <c r="D322" i="19"/>
  <c r="D321" i="19"/>
  <c r="D320" i="19"/>
  <c r="D319" i="19"/>
  <c r="D318" i="19"/>
  <c r="D317" i="19"/>
  <c r="D316" i="19"/>
  <c r="D315" i="19"/>
  <c r="D314" i="19"/>
  <c r="D313" i="19"/>
  <c r="D312" i="19"/>
  <c r="D311" i="19"/>
  <c r="D310" i="19"/>
  <c r="D309" i="19"/>
  <c r="D308" i="19"/>
  <c r="D307" i="19"/>
  <c r="D306" i="19"/>
  <c r="D305" i="19"/>
  <c r="D304" i="19"/>
  <c r="D303" i="19"/>
  <c r="D302" i="19"/>
  <c r="D301" i="19"/>
  <c r="D300" i="19"/>
  <c r="D299" i="19"/>
  <c r="D298" i="19"/>
  <c r="D297" i="19"/>
  <c r="D296" i="19"/>
  <c r="D295" i="19"/>
  <c r="D294" i="19"/>
  <c r="D293" i="19"/>
  <c r="D292" i="19"/>
  <c r="D291" i="19"/>
  <c r="D290" i="19"/>
  <c r="D289" i="19"/>
  <c r="D288" i="19"/>
  <c r="D287" i="19"/>
  <c r="D286" i="19"/>
  <c r="D285" i="19"/>
  <c r="D284" i="19"/>
  <c r="D283" i="19"/>
  <c r="D282" i="19"/>
  <c r="D281" i="19"/>
  <c r="D280" i="19"/>
  <c r="D279" i="19"/>
  <c r="D278" i="19"/>
  <c r="D277" i="19"/>
  <c r="D276" i="19"/>
  <c r="D275" i="19"/>
  <c r="D274" i="19"/>
  <c r="D273" i="19"/>
  <c r="D272" i="19"/>
  <c r="D271" i="19"/>
  <c r="D270" i="19"/>
  <c r="D269" i="19"/>
  <c r="D268" i="19"/>
  <c r="D267" i="19"/>
  <c r="D266" i="19"/>
  <c r="D265" i="19"/>
  <c r="D264" i="19"/>
  <c r="D263" i="19"/>
  <c r="D262" i="19"/>
  <c r="D261" i="19"/>
  <c r="D260" i="19"/>
  <c r="D259" i="19"/>
  <c r="D258" i="19"/>
  <c r="D257" i="19"/>
  <c r="D256" i="19"/>
  <c r="D255" i="19"/>
  <c r="D254" i="19"/>
  <c r="D253" i="19"/>
  <c r="D252" i="19"/>
  <c r="D251" i="19"/>
  <c r="D250" i="19"/>
  <c r="D249" i="19"/>
  <c r="D248" i="19"/>
  <c r="D247" i="19"/>
  <c r="D246" i="19"/>
  <c r="D245" i="19"/>
  <c r="D244" i="19"/>
  <c r="D243" i="19"/>
  <c r="D242" i="19"/>
  <c r="D241" i="19"/>
  <c r="D240" i="19"/>
  <c r="D239" i="19"/>
  <c r="D238" i="19"/>
  <c r="D237" i="19"/>
  <c r="D236" i="19"/>
  <c r="D235" i="19"/>
  <c r="D234" i="19"/>
  <c r="D233" i="19"/>
  <c r="D232" i="19"/>
  <c r="D231" i="19"/>
  <c r="D230" i="19"/>
  <c r="D229" i="19"/>
  <c r="D228" i="19"/>
  <c r="D227" i="19"/>
  <c r="D226" i="19"/>
  <c r="D225" i="19"/>
  <c r="D224" i="19"/>
  <c r="D223" i="19"/>
  <c r="D222" i="19"/>
  <c r="D221" i="19"/>
  <c r="D220" i="19"/>
  <c r="D219" i="19"/>
  <c r="D218" i="19"/>
  <c r="D217" i="19"/>
  <c r="D216" i="19"/>
  <c r="D215" i="19"/>
  <c r="D214" i="19"/>
  <c r="D213" i="19"/>
  <c r="D212" i="19"/>
  <c r="D211" i="19"/>
  <c r="D210" i="19"/>
  <c r="D209" i="19"/>
  <c r="D208" i="19"/>
  <c r="D207" i="19"/>
  <c r="D206" i="19"/>
  <c r="D205" i="19"/>
  <c r="D204" i="19"/>
  <c r="D203" i="19"/>
  <c r="D202" i="19"/>
  <c r="D201" i="19"/>
  <c r="D200" i="19"/>
  <c r="D199" i="19"/>
  <c r="D198" i="19"/>
  <c r="D197" i="19"/>
  <c r="D196" i="19"/>
  <c r="D195" i="19"/>
  <c r="D194" i="19"/>
  <c r="D193" i="19"/>
  <c r="D192" i="19"/>
  <c r="D191" i="19"/>
  <c r="D190" i="19"/>
  <c r="D189" i="19"/>
  <c r="D188" i="19"/>
  <c r="D187" i="19"/>
  <c r="D186" i="19"/>
  <c r="D185" i="19"/>
  <c r="D184" i="19"/>
  <c r="D183" i="19"/>
  <c r="D182" i="19"/>
  <c r="D181" i="19"/>
  <c r="D180" i="19"/>
  <c r="D179" i="19"/>
  <c r="D178" i="19"/>
  <c r="D177" i="19"/>
  <c r="D176" i="19"/>
  <c r="D175" i="19"/>
  <c r="D174" i="19"/>
  <c r="D173" i="19"/>
  <c r="D172" i="19"/>
  <c r="D171" i="19"/>
  <c r="D170" i="19"/>
  <c r="D169" i="19"/>
  <c r="D168" i="19"/>
  <c r="D167" i="19"/>
  <c r="D166" i="19"/>
  <c r="D165" i="19"/>
  <c r="D164" i="19"/>
  <c r="D163" i="19"/>
  <c r="D162" i="19"/>
  <c r="D161" i="19"/>
  <c r="D160" i="19"/>
  <c r="D159" i="19"/>
  <c r="D158" i="19"/>
  <c r="D157" i="19"/>
  <c r="D156" i="19"/>
  <c r="D155" i="19"/>
  <c r="D154" i="19"/>
  <c r="D153" i="19"/>
  <c r="D152" i="19"/>
  <c r="D151" i="19"/>
  <c r="D150" i="19"/>
  <c r="D149" i="19"/>
  <c r="D148" i="19"/>
  <c r="D147" i="19"/>
  <c r="D146" i="19"/>
  <c r="D145" i="19"/>
  <c r="D144" i="19"/>
  <c r="D143" i="19"/>
  <c r="D142" i="19"/>
  <c r="D141" i="19"/>
  <c r="D140" i="19"/>
  <c r="D139" i="19"/>
  <c r="D138" i="19"/>
  <c r="D137" i="19"/>
  <c r="D136" i="19"/>
  <c r="D135" i="19"/>
  <c r="D134" i="19"/>
  <c r="D133" i="19"/>
  <c r="D132" i="19"/>
  <c r="D131" i="19"/>
  <c r="D130" i="19"/>
  <c r="D129" i="19"/>
  <c r="D128" i="19"/>
  <c r="D127" i="19"/>
  <c r="D126" i="19"/>
  <c r="D125" i="19"/>
  <c r="D124" i="19"/>
  <c r="D123" i="19"/>
  <c r="D122" i="19"/>
  <c r="D121" i="19"/>
  <c r="D120" i="19"/>
  <c r="D119" i="19"/>
  <c r="D118" i="19"/>
  <c r="D117" i="19"/>
  <c r="D116" i="19"/>
  <c r="D115" i="19"/>
  <c r="D114" i="19"/>
  <c r="D113" i="19"/>
  <c r="D112" i="19"/>
  <c r="D111" i="19"/>
  <c r="D110" i="19"/>
  <c r="D109" i="19"/>
  <c r="D108" i="19"/>
  <c r="D107" i="19"/>
  <c r="D106" i="19"/>
  <c r="D105" i="19"/>
  <c r="D104" i="19"/>
  <c r="D103" i="19"/>
  <c r="D102" i="19"/>
  <c r="D101" i="19"/>
  <c r="D100" i="19"/>
  <c r="D99" i="19"/>
  <c r="D98" i="19"/>
  <c r="D97" i="19"/>
  <c r="D96" i="19"/>
  <c r="D95" i="19"/>
  <c r="D94" i="19"/>
  <c r="D93" i="19"/>
  <c r="D92" i="19"/>
  <c r="D91" i="19"/>
  <c r="D90" i="19"/>
  <c r="D89" i="19"/>
  <c r="D88" i="19"/>
  <c r="D87" i="19"/>
  <c r="D86" i="19"/>
  <c r="D85" i="19"/>
  <c r="D84" i="19"/>
  <c r="D83" i="19"/>
  <c r="D82" i="19"/>
  <c r="D81" i="19"/>
  <c r="D80" i="19"/>
  <c r="D79" i="19"/>
  <c r="D78" i="19"/>
  <c r="D77" i="19"/>
  <c r="D76" i="19"/>
  <c r="D75" i="19"/>
  <c r="D74" i="19"/>
  <c r="D73" i="19"/>
  <c r="D72" i="19"/>
  <c r="D71" i="19"/>
  <c r="D70" i="19"/>
  <c r="D69" i="19"/>
  <c r="D68" i="19"/>
  <c r="D67" i="19"/>
  <c r="D66" i="19"/>
  <c r="D65" i="19"/>
  <c r="D64" i="19"/>
  <c r="D63" i="19"/>
  <c r="D62" i="19"/>
  <c r="D61" i="19"/>
  <c r="D60" i="19"/>
  <c r="D59" i="19"/>
  <c r="D57" i="19"/>
  <c r="D56" i="19"/>
  <c r="D55" i="19"/>
  <c r="D54" i="19"/>
  <c r="D53" i="19"/>
  <c r="D52" i="19"/>
  <c r="D51" i="19"/>
  <c r="D50" i="19"/>
  <c r="D49" i="19"/>
  <c r="D48" i="19"/>
  <c r="D47" i="19"/>
  <c r="D46" i="19"/>
  <c r="D45" i="19"/>
  <c r="D44" i="19"/>
  <c r="D43" i="19"/>
  <c r="D42" i="19"/>
  <c r="D41" i="19"/>
  <c r="D40" i="19"/>
  <c r="D39" i="19"/>
  <c r="D38" i="19"/>
  <c r="D37" i="19"/>
  <c r="D36" i="19"/>
  <c r="D35" i="19"/>
  <c r="D34" i="19"/>
  <c r="D33" i="19"/>
  <c r="D32" i="19"/>
  <c r="D31" i="19"/>
  <c r="D30" i="19"/>
  <c r="D29" i="19"/>
  <c r="D28" i="19"/>
  <c r="D27" i="19"/>
  <c r="D26" i="19"/>
  <c r="D25" i="19"/>
  <c r="D24" i="19"/>
  <c r="D23" i="19"/>
  <c r="D22" i="19"/>
  <c r="D21" i="19"/>
  <c r="D20" i="19"/>
  <c r="D19" i="19"/>
  <c r="D18" i="19"/>
  <c r="K141" i="60" l="1"/>
  <c r="L141" i="60" s="1"/>
  <c r="M141" i="60" s="1"/>
  <c r="N141" i="60" s="1"/>
  <c r="E141" i="60" s="1"/>
  <c r="J142" i="60"/>
  <c r="K151" i="20"/>
  <c r="L151" i="20" s="1"/>
  <c r="M151" i="20" s="1"/>
  <c r="N151" i="20" s="1"/>
  <c r="E151" i="20" s="1"/>
  <c r="J152" i="20"/>
  <c r="I140" i="60"/>
  <c r="A140" i="60"/>
  <c r="D140" i="60"/>
  <c r="A148" i="20"/>
  <c r="D148" i="20"/>
  <c r="I148" i="20"/>
  <c r="C134" i="20"/>
  <c r="C133" i="20"/>
  <c r="C136" i="20"/>
  <c r="C135" i="20"/>
  <c r="C125" i="20"/>
  <c r="C124" i="20"/>
  <c r="C131" i="20"/>
  <c r="C130" i="20"/>
  <c r="C127" i="20"/>
  <c r="C126" i="20"/>
  <c r="C122" i="20"/>
  <c r="C114" i="20"/>
  <c r="C113" i="20"/>
  <c r="C121" i="20"/>
  <c r="C120" i="20"/>
  <c r="C115" i="20"/>
  <c r="C112" i="20"/>
  <c r="C119" i="20"/>
  <c r="C118" i="20"/>
  <c r="C85" i="20"/>
  <c r="C84" i="20"/>
  <c r="C83" i="20"/>
  <c r="C82" i="20"/>
  <c r="C81" i="20"/>
  <c r="C89" i="20"/>
  <c r="C80" i="20"/>
  <c r="J4" i="30"/>
  <c r="F25" i="36"/>
  <c r="K7" i="68" s="1"/>
  <c r="F23" i="36"/>
  <c r="K5" i="68" s="1"/>
  <c r="F20" i="36"/>
  <c r="H7" i="68" s="1"/>
  <c r="F19" i="36"/>
  <c r="H6" i="68" s="1"/>
  <c r="F18" i="36"/>
  <c r="H5" i="68" s="1"/>
  <c r="F17" i="36"/>
  <c r="F16" i="36"/>
  <c r="F15" i="36"/>
  <c r="AJ51" i="30"/>
  <c r="AJ52" i="30"/>
  <c r="AJ53" i="30"/>
  <c r="AJ54" i="30"/>
  <c r="AJ55" i="30"/>
  <c r="AJ56" i="30"/>
  <c r="AJ57" i="30"/>
  <c r="AJ58" i="30"/>
  <c r="AJ59" i="30"/>
  <c r="AJ60" i="30"/>
  <c r="AJ61" i="30"/>
  <c r="AJ62" i="30"/>
  <c r="AJ63" i="30"/>
  <c r="AJ64" i="30"/>
  <c r="AJ65" i="30"/>
  <c r="AJ66" i="30"/>
  <c r="AJ67" i="30"/>
  <c r="AJ68" i="30"/>
  <c r="AJ69" i="30"/>
  <c r="AJ70" i="30"/>
  <c r="AJ71" i="30"/>
  <c r="AJ72" i="30"/>
  <c r="AJ73" i="30"/>
  <c r="AJ74" i="30"/>
  <c r="AJ75" i="30"/>
  <c r="AJ76" i="30"/>
  <c r="AJ77" i="30"/>
  <c r="AJ78" i="30"/>
  <c r="AD51" i="30"/>
  <c r="AE51" i="30" s="1"/>
  <c r="AF51" i="30" s="1"/>
  <c r="AD52" i="30"/>
  <c r="AE52" i="30" s="1"/>
  <c r="AF52" i="30" s="1"/>
  <c r="AG52" i="30" s="1"/>
  <c r="AI52" i="30" s="1"/>
  <c r="AD53" i="30"/>
  <c r="AE53" i="30" s="1"/>
  <c r="AF53" i="30" s="1"/>
  <c r="AD54" i="30"/>
  <c r="AE54" i="30" s="1"/>
  <c r="AF54" i="30" s="1"/>
  <c r="AD55" i="30"/>
  <c r="AE55" i="30" s="1"/>
  <c r="AF55" i="30" s="1"/>
  <c r="AG55" i="30" s="1"/>
  <c r="AI55" i="30" s="1"/>
  <c r="AD56" i="30"/>
  <c r="AE56" i="30" s="1"/>
  <c r="AF56" i="30" s="1"/>
  <c r="AD57" i="30"/>
  <c r="AE57" i="30" s="1"/>
  <c r="AF57" i="30" s="1"/>
  <c r="AD58" i="30"/>
  <c r="AE58" i="30" s="1"/>
  <c r="AF58" i="30" s="1"/>
  <c r="AD59" i="30"/>
  <c r="AE59" i="30" s="1"/>
  <c r="AF59" i="30" s="1"/>
  <c r="AH59" i="30" s="1"/>
  <c r="AD60" i="30"/>
  <c r="AE60" i="30" s="1"/>
  <c r="AF60" i="30" s="1"/>
  <c r="AG60" i="30" s="1"/>
  <c r="AI60" i="30" s="1"/>
  <c r="AD61" i="30"/>
  <c r="AE61" i="30" s="1"/>
  <c r="AF61" i="30" s="1"/>
  <c r="AD62" i="30"/>
  <c r="AE62" i="30" s="1"/>
  <c r="AF62" i="30" s="1"/>
  <c r="AH62" i="30" s="1"/>
  <c r="AD63" i="30"/>
  <c r="AE63" i="30" s="1"/>
  <c r="AF63" i="30" s="1"/>
  <c r="AD64" i="30"/>
  <c r="AE64" i="30" s="1"/>
  <c r="AF64" i="30" s="1"/>
  <c r="AD65" i="30"/>
  <c r="AE65" i="30" s="1"/>
  <c r="AF65" i="30" s="1"/>
  <c r="AD66" i="30"/>
  <c r="AE66" i="30" s="1"/>
  <c r="AF66" i="30" s="1"/>
  <c r="AG66" i="30" s="1"/>
  <c r="AI66" i="30" s="1"/>
  <c r="AD67" i="30"/>
  <c r="AE67" i="30" s="1"/>
  <c r="AF67" i="30" s="1"/>
  <c r="AD68" i="30"/>
  <c r="AE68" i="30" s="1"/>
  <c r="AF68" i="30" s="1"/>
  <c r="AD69" i="30"/>
  <c r="AE69" i="30" s="1"/>
  <c r="AF69" i="30" s="1"/>
  <c r="AD70" i="30"/>
  <c r="AE70" i="30" s="1"/>
  <c r="AF70" i="30" s="1"/>
  <c r="AD71" i="30"/>
  <c r="AE71" i="30" s="1"/>
  <c r="AF71" i="30" s="1"/>
  <c r="AG71" i="30" s="1"/>
  <c r="AI71" i="30" s="1"/>
  <c r="AD72" i="30"/>
  <c r="AE72" i="30" s="1"/>
  <c r="AF72" i="30" s="1"/>
  <c r="AG72" i="30" s="1"/>
  <c r="AI72" i="30" s="1"/>
  <c r="AD73" i="30"/>
  <c r="AE73" i="30" s="1"/>
  <c r="AF73" i="30" s="1"/>
  <c r="AD74" i="30"/>
  <c r="AE74" i="30" s="1"/>
  <c r="AF74" i="30" s="1"/>
  <c r="AH74" i="30" s="1"/>
  <c r="AD75" i="30"/>
  <c r="AE75" i="30" s="1"/>
  <c r="AF75" i="30" s="1"/>
  <c r="AH75" i="30" s="1"/>
  <c r="AD76" i="30"/>
  <c r="AE76" i="30" s="1"/>
  <c r="AF76" i="30" s="1"/>
  <c r="AD77" i="30"/>
  <c r="AE77" i="30" s="1"/>
  <c r="AF77" i="30" s="1"/>
  <c r="AH77" i="30" s="1"/>
  <c r="AD78" i="30"/>
  <c r="AE78" i="30" s="1"/>
  <c r="AF78" i="30" s="1"/>
  <c r="AJ15" i="30"/>
  <c r="AJ16" i="30"/>
  <c r="AJ17" i="30"/>
  <c r="AJ18" i="30"/>
  <c r="AJ19" i="30"/>
  <c r="AJ20" i="30"/>
  <c r="AJ21" i="30"/>
  <c r="AJ22" i="30"/>
  <c r="AJ23" i="30"/>
  <c r="AJ24" i="30"/>
  <c r="AJ25" i="30"/>
  <c r="AJ26" i="30"/>
  <c r="AJ27" i="30"/>
  <c r="AJ28" i="30"/>
  <c r="AJ29" i="30"/>
  <c r="AJ30" i="30"/>
  <c r="AJ31" i="30"/>
  <c r="AJ32" i="30"/>
  <c r="AJ33" i="30"/>
  <c r="AJ34" i="30"/>
  <c r="AJ35" i="30"/>
  <c r="AJ36" i="30"/>
  <c r="AJ37" i="30"/>
  <c r="AJ38" i="30"/>
  <c r="AJ39" i="30"/>
  <c r="AJ40" i="30"/>
  <c r="AJ41" i="30"/>
  <c r="AJ42" i="30"/>
  <c r="AJ43" i="30"/>
  <c r="AJ44" i="30"/>
  <c r="AJ45" i="30"/>
  <c r="AJ46" i="30"/>
  <c r="AJ47" i="30"/>
  <c r="AJ48" i="30"/>
  <c r="AJ49" i="30"/>
  <c r="AJ50" i="30"/>
  <c r="AJ3" i="30"/>
  <c r="AJ4" i="30" s="1"/>
  <c r="AJ5" i="30" s="1"/>
  <c r="AJ6" i="30" s="1"/>
  <c r="AJ7" i="30" s="1"/>
  <c r="AJ8" i="30" s="1"/>
  <c r="AJ9" i="30" s="1"/>
  <c r="AJ10" i="30" s="1"/>
  <c r="AJ11" i="30" s="1"/>
  <c r="AJ12" i="30" s="1"/>
  <c r="AJ13" i="30" s="1"/>
  <c r="AJ14" i="30" s="1"/>
  <c r="AD15" i="30"/>
  <c r="AE15" i="30" s="1"/>
  <c r="AF15" i="30" s="1"/>
  <c r="AG15" i="30" s="1"/>
  <c r="AI15" i="30" s="1"/>
  <c r="AD16" i="30"/>
  <c r="AE16" i="30" s="1"/>
  <c r="AF16" i="30" s="1"/>
  <c r="AH16" i="30" s="1"/>
  <c r="AD17" i="30"/>
  <c r="AE17" i="30" s="1"/>
  <c r="AF17" i="30" s="1"/>
  <c r="AD18" i="30"/>
  <c r="AE18" i="30" s="1"/>
  <c r="AF18" i="30" s="1"/>
  <c r="AD19" i="30"/>
  <c r="AE19" i="30" s="1"/>
  <c r="AF19" i="30" s="1"/>
  <c r="AH19" i="30" s="1"/>
  <c r="AD20" i="30"/>
  <c r="AE20" i="30" s="1"/>
  <c r="AF20" i="30" s="1"/>
  <c r="AD21" i="30"/>
  <c r="AE21" i="30" s="1"/>
  <c r="AF21" i="30" s="1"/>
  <c r="AD22" i="30"/>
  <c r="AE22" i="30" s="1"/>
  <c r="AF22" i="30" s="1"/>
  <c r="AG22" i="30" s="1"/>
  <c r="AI22" i="30" s="1"/>
  <c r="AD23" i="30"/>
  <c r="AE23" i="30" s="1"/>
  <c r="AF23" i="30" s="1"/>
  <c r="AH23" i="30" s="1"/>
  <c r="AD24" i="30"/>
  <c r="AE24" i="30" s="1"/>
  <c r="AF24" i="30" s="1"/>
  <c r="AH24" i="30" s="1"/>
  <c r="AD25" i="30"/>
  <c r="AE25" i="30" s="1"/>
  <c r="AF25" i="30" s="1"/>
  <c r="AD26" i="30"/>
  <c r="AE26" i="30" s="1"/>
  <c r="AF26" i="30" s="1"/>
  <c r="AD27" i="30"/>
  <c r="AE27" i="30" s="1"/>
  <c r="AF27" i="30" s="1"/>
  <c r="AD28" i="30"/>
  <c r="AE28" i="30" s="1"/>
  <c r="AF28" i="30" s="1"/>
  <c r="AH28" i="30" s="1"/>
  <c r="AD29" i="30"/>
  <c r="AE29" i="30" s="1"/>
  <c r="AF29" i="30" s="1"/>
  <c r="AH29" i="30" s="1"/>
  <c r="AD30" i="30"/>
  <c r="AE30" i="30" s="1"/>
  <c r="AF30" i="30" s="1"/>
  <c r="AH30" i="30" s="1"/>
  <c r="AD31" i="30"/>
  <c r="AE31" i="30" s="1"/>
  <c r="AF31" i="30" s="1"/>
  <c r="AD32" i="30"/>
  <c r="AE32" i="30" s="1"/>
  <c r="AF32" i="30" s="1"/>
  <c r="AD33" i="30"/>
  <c r="AE33" i="30" s="1"/>
  <c r="AF33" i="30" s="1"/>
  <c r="AG33" i="30" s="1"/>
  <c r="AI33" i="30" s="1"/>
  <c r="AD34" i="30"/>
  <c r="AE34" i="30" s="1"/>
  <c r="AF34" i="30" s="1"/>
  <c r="AD35" i="30"/>
  <c r="AE35" i="30" s="1"/>
  <c r="AF35" i="30" s="1"/>
  <c r="AG35" i="30" s="1"/>
  <c r="AI35" i="30" s="1"/>
  <c r="AD36" i="30"/>
  <c r="AE36" i="30" s="1"/>
  <c r="AF36" i="30" s="1"/>
  <c r="AH36" i="30" s="1"/>
  <c r="AD37" i="30"/>
  <c r="AE37" i="30" s="1"/>
  <c r="AF37" i="30" s="1"/>
  <c r="AH37" i="30" s="1"/>
  <c r="AD38" i="30"/>
  <c r="AE38" i="30" s="1"/>
  <c r="AF38" i="30" s="1"/>
  <c r="AH38" i="30" s="1"/>
  <c r="AD39" i="30"/>
  <c r="AE39" i="30" s="1"/>
  <c r="AF39" i="30" s="1"/>
  <c r="AD40" i="30"/>
  <c r="AE40" i="30" s="1"/>
  <c r="AF40" i="30" s="1"/>
  <c r="AH40" i="30" s="1"/>
  <c r="AD41" i="30"/>
  <c r="AE41" i="30" s="1"/>
  <c r="AF41" i="30" s="1"/>
  <c r="AD42" i="30"/>
  <c r="AE42" i="30" s="1"/>
  <c r="AF42" i="30" s="1"/>
  <c r="AH42" i="30" s="1"/>
  <c r="AD43" i="30"/>
  <c r="AE43" i="30" s="1"/>
  <c r="AF43" i="30" s="1"/>
  <c r="AD44" i="30"/>
  <c r="AE44" i="30" s="1"/>
  <c r="AF44" i="30" s="1"/>
  <c r="AH44" i="30" s="1"/>
  <c r="AD45" i="30"/>
  <c r="AE45" i="30" s="1"/>
  <c r="AF45" i="30" s="1"/>
  <c r="AD46" i="30"/>
  <c r="AE46" i="30" s="1"/>
  <c r="AF46" i="30" s="1"/>
  <c r="AD47" i="30"/>
  <c r="AE47" i="30" s="1"/>
  <c r="AF47" i="30" s="1"/>
  <c r="AD48" i="30"/>
  <c r="AE48" i="30" s="1"/>
  <c r="AF48" i="30" s="1"/>
  <c r="AH48" i="30" s="1"/>
  <c r="AD49" i="30"/>
  <c r="AE49" i="30" s="1"/>
  <c r="AF49" i="30" s="1"/>
  <c r="AD50" i="30"/>
  <c r="AE50" i="30" s="1"/>
  <c r="AF50" i="30" s="1"/>
  <c r="AD3" i="30"/>
  <c r="Z2" i="30"/>
  <c r="V44" i="58" s="1"/>
  <c r="W20" i="19"/>
  <c r="A5" i="21"/>
  <c r="AE2" i="30"/>
  <c r="F49" i="36"/>
  <c r="T7" i="68" s="1"/>
  <c r="F48" i="36"/>
  <c r="T6" i="68" s="1"/>
  <c r="F47" i="36"/>
  <c r="T5" i="68" s="1"/>
  <c r="F43" i="36"/>
  <c r="Q7" i="68" s="1"/>
  <c r="F42" i="36"/>
  <c r="Q6" i="68" s="1"/>
  <c r="F41" i="36"/>
  <c r="Q5" i="68" s="1"/>
  <c r="F37" i="36"/>
  <c r="N7" i="68" s="1"/>
  <c r="F36" i="36"/>
  <c r="N6" i="68" s="1"/>
  <c r="F35" i="36"/>
  <c r="N5" i="68" s="1"/>
  <c r="F31" i="36"/>
  <c r="F30" i="36"/>
  <c r="F29" i="36"/>
  <c r="F24" i="36"/>
  <c r="K6" i="68" s="1"/>
  <c r="F22" i="36"/>
  <c r="F21" i="36"/>
  <c r="F14" i="36"/>
  <c r="F13" i="36"/>
  <c r="F12" i="36"/>
  <c r="F11" i="36"/>
  <c r="F10" i="36"/>
  <c r="F9" i="36"/>
  <c r="C10" i="58"/>
  <c r="L14" i="30"/>
  <c r="K10" i="30"/>
  <c r="Z5" i="68" l="1"/>
  <c r="E5" i="68"/>
  <c r="W5" i="68" s="1"/>
  <c r="Z6" i="68"/>
  <c r="E6" i="68"/>
  <c r="W6" i="68" s="1"/>
  <c r="Z7" i="68"/>
  <c r="E7" i="68"/>
  <c r="W7" i="68" s="1"/>
  <c r="K142" i="60"/>
  <c r="L142" i="60" s="1"/>
  <c r="M142" i="60" s="1"/>
  <c r="N142" i="60" s="1"/>
  <c r="E142" i="60" s="1"/>
  <c r="J143" i="60"/>
  <c r="J153" i="20"/>
  <c r="K152" i="20"/>
  <c r="L152" i="20" s="1"/>
  <c r="M152" i="20" s="1"/>
  <c r="N152" i="20" s="1"/>
  <c r="E152" i="20" s="1"/>
  <c r="A141" i="60"/>
  <c r="I141" i="60"/>
  <c r="D141" i="60"/>
  <c r="A149" i="20"/>
  <c r="D149" i="20"/>
  <c r="I149" i="20"/>
  <c r="AE3" i="30"/>
  <c r="AD4" i="30"/>
  <c r="E332" i="57"/>
  <c r="H39" i="57"/>
  <c r="AF3" i="30"/>
  <c r="AH3" i="30" s="1"/>
  <c r="AF2" i="30"/>
  <c r="AG2" i="30" s="1"/>
  <c r="AH72" i="30"/>
  <c r="AK72" i="30" s="1"/>
  <c r="C92" i="20"/>
  <c r="AG44" i="30"/>
  <c r="AI44" i="30" s="1"/>
  <c r="AK44" i="30" s="1"/>
  <c r="AA48" i="58" s="1"/>
  <c r="AB48" i="58" s="1"/>
  <c r="AG34" i="30"/>
  <c r="AI34" i="30" s="1"/>
  <c r="AH34" i="30"/>
  <c r="AG40" i="30"/>
  <c r="AI40" i="30" s="1"/>
  <c r="AL40" i="30" s="1"/>
  <c r="AG24" i="30"/>
  <c r="AI24" i="30" s="1"/>
  <c r="AL24" i="30" s="1"/>
  <c r="AH18" i="30"/>
  <c r="AG18" i="30"/>
  <c r="AI18" i="30" s="1"/>
  <c r="AL18" i="30" s="1"/>
  <c r="AH33" i="30"/>
  <c r="AK33" i="30" s="1"/>
  <c r="AA37" i="58" s="1"/>
  <c r="AB37" i="58" s="1"/>
  <c r="AL33" i="30"/>
  <c r="AG29" i="30"/>
  <c r="AI29" i="30" s="1"/>
  <c r="AK29" i="30" s="1"/>
  <c r="AA33" i="58" s="1"/>
  <c r="AB33" i="58" s="1"/>
  <c r="AH46" i="30"/>
  <c r="AG46" i="30"/>
  <c r="AI46" i="30" s="1"/>
  <c r="AL46" i="30" s="1"/>
  <c r="AH32" i="30"/>
  <c r="AG32" i="30"/>
  <c r="AI32" i="30" s="1"/>
  <c r="AL32" i="30" s="1"/>
  <c r="AL35" i="30"/>
  <c r="AH25" i="30"/>
  <c r="AG25" i="30"/>
  <c r="AI25" i="30" s="1"/>
  <c r="AL25" i="30" s="1"/>
  <c r="AH17" i="30"/>
  <c r="AG17" i="30"/>
  <c r="AI17" i="30" s="1"/>
  <c r="AL17" i="30" s="1"/>
  <c r="AG27" i="30"/>
  <c r="AI27" i="30" s="1"/>
  <c r="AL27" i="30" s="1"/>
  <c r="AH27" i="30"/>
  <c r="AH26" i="30"/>
  <c r="AG26" i="30"/>
  <c r="AI26" i="30" s="1"/>
  <c r="AG69" i="30"/>
  <c r="AI69" i="30" s="1"/>
  <c r="AL69" i="30" s="1"/>
  <c r="AH69" i="30"/>
  <c r="AH68" i="30"/>
  <c r="AG68" i="30"/>
  <c r="AI68" i="30" s="1"/>
  <c r="AL68" i="30" s="1"/>
  <c r="AL66" i="30"/>
  <c r="AG38" i="30"/>
  <c r="AI38" i="30" s="1"/>
  <c r="AK38" i="30" s="1"/>
  <c r="AA42" i="58" s="1"/>
  <c r="AB42" i="58" s="1"/>
  <c r="AG75" i="30"/>
  <c r="AI75" i="30" s="1"/>
  <c r="AK75" i="30" s="1"/>
  <c r="X6" i="31"/>
  <c r="I40" i="58" s="1"/>
  <c r="J40" i="58" s="1"/>
  <c r="AG45" i="30"/>
  <c r="AI45" i="30" s="1"/>
  <c r="AL45" i="30" s="1"/>
  <c r="AH45" i="30"/>
  <c r="AH31" i="30"/>
  <c r="AG31" i="30"/>
  <c r="AI31" i="30" s="1"/>
  <c r="AL31" i="30" s="1"/>
  <c r="AH47" i="30"/>
  <c r="AG47" i="30"/>
  <c r="AI47" i="30" s="1"/>
  <c r="AG73" i="30"/>
  <c r="AI73" i="30" s="1"/>
  <c r="AL73" i="30" s="1"/>
  <c r="AH73" i="30"/>
  <c r="AH41" i="30"/>
  <c r="AG41" i="30"/>
  <c r="AI41" i="30" s="1"/>
  <c r="AL41" i="30" s="1"/>
  <c r="AG49" i="30"/>
  <c r="AI49" i="30" s="1"/>
  <c r="AL49" i="30" s="1"/>
  <c r="AH49" i="30"/>
  <c r="AH43" i="30"/>
  <c r="AG43" i="30"/>
  <c r="AI43" i="30" s="1"/>
  <c r="AL43" i="30" s="1"/>
  <c r="AG30" i="30"/>
  <c r="AI30" i="30" s="1"/>
  <c r="AL30" i="30" s="1"/>
  <c r="AL52" i="30"/>
  <c r="AG36" i="30"/>
  <c r="AI36" i="30" s="1"/>
  <c r="AK36" i="30" s="1"/>
  <c r="AA40" i="58" s="1"/>
  <c r="AB40" i="58" s="1"/>
  <c r="AH66" i="30"/>
  <c r="AK66" i="30" s="1"/>
  <c r="AG19" i="30"/>
  <c r="AI19" i="30" s="1"/>
  <c r="AL71" i="30"/>
  <c r="AH35" i="30"/>
  <c r="AK35" i="30" s="1"/>
  <c r="AA39" i="58" s="1"/>
  <c r="AB39" i="58" s="1"/>
  <c r="AG74" i="30"/>
  <c r="AI74" i="30" s="1"/>
  <c r="AL55" i="30"/>
  <c r="X6" i="32"/>
  <c r="I68" i="58" s="1"/>
  <c r="J68" i="58" s="1"/>
  <c r="AH50" i="30"/>
  <c r="AG50" i="30"/>
  <c r="AI50" i="30" s="1"/>
  <c r="AL50" i="30" s="1"/>
  <c r="AL22" i="30"/>
  <c r="AG21" i="30"/>
  <c r="AI21" i="30" s="1"/>
  <c r="AL21" i="30" s="1"/>
  <c r="AH21" i="30"/>
  <c r="AH78" i="30"/>
  <c r="AG78" i="30"/>
  <c r="AI78" i="30" s="1"/>
  <c r="AL78" i="30" s="1"/>
  <c r="AG61" i="30"/>
  <c r="AI61" i="30" s="1"/>
  <c r="AH61" i="30"/>
  <c r="AG65" i="30"/>
  <c r="AI65" i="30" s="1"/>
  <c r="AL65" i="30" s="1"/>
  <c r="AH65" i="30"/>
  <c r="AH76" i="30"/>
  <c r="AG76" i="30"/>
  <c r="AI76" i="30" s="1"/>
  <c r="AG67" i="30"/>
  <c r="AI67" i="30" s="1"/>
  <c r="AL67" i="30" s="1"/>
  <c r="AH67" i="30"/>
  <c r="AG48" i="30"/>
  <c r="AI48" i="30" s="1"/>
  <c r="AL48" i="30" s="1"/>
  <c r="AG51" i="30"/>
  <c r="AI51" i="30" s="1"/>
  <c r="AH51" i="30"/>
  <c r="AG23" i="30"/>
  <c r="AI23" i="30" s="1"/>
  <c r="AL23" i="30" s="1"/>
  <c r="AG77" i="30"/>
  <c r="AI77" i="30" s="1"/>
  <c r="AK77" i="30" s="1"/>
  <c r="AG53" i="30"/>
  <c r="AI53" i="30" s="1"/>
  <c r="AL53" i="30" s="1"/>
  <c r="AH53" i="30"/>
  <c r="AG42" i="30"/>
  <c r="AI42" i="30" s="1"/>
  <c r="AK42" i="30" s="1"/>
  <c r="AA46" i="58" s="1"/>
  <c r="AB46" i="58" s="1"/>
  <c r="AG62" i="30"/>
  <c r="AI62" i="30" s="1"/>
  <c r="AK62" i="30" s="1"/>
  <c r="AG37" i="30"/>
  <c r="AI37" i="30" s="1"/>
  <c r="AH60" i="30"/>
  <c r="AK60" i="30" s="1"/>
  <c r="AG54" i="30"/>
  <c r="AI54" i="30" s="1"/>
  <c r="AH54" i="30"/>
  <c r="AG70" i="30"/>
  <c r="AI70" i="30" s="1"/>
  <c r="AL70" i="30" s="1"/>
  <c r="AH70" i="30"/>
  <c r="AL15" i="30"/>
  <c r="AL72" i="30"/>
  <c r="AL60" i="30"/>
  <c r="AG59" i="30"/>
  <c r="AI59" i="30" s="1"/>
  <c r="AL59" i="30" s="1"/>
  <c r="AH56" i="30"/>
  <c r="AG56" i="30"/>
  <c r="AI56" i="30" s="1"/>
  <c r="AL56" i="30" s="1"/>
  <c r="AH22" i="30"/>
  <c r="AK22" i="30" s="1"/>
  <c r="AA26" i="58" s="1"/>
  <c r="AB26" i="58" s="1"/>
  <c r="AH39" i="30"/>
  <c r="AG39" i="30"/>
  <c r="AI39" i="30" s="1"/>
  <c r="AL39" i="30" s="1"/>
  <c r="AH71" i="30"/>
  <c r="AK71" i="30" s="1"/>
  <c r="AH57" i="30"/>
  <c r="AG57" i="30"/>
  <c r="AI57" i="30" s="1"/>
  <c r="AH15" i="30"/>
  <c r="AK15" i="30" s="1"/>
  <c r="AA19" i="58" s="1"/>
  <c r="AB19" i="58" s="1"/>
  <c r="AG28" i="30"/>
  <c r="AI28" i="30" s="1"/>
  <c r="AL28" i="30" s="1"/>
  <c r="AH52" i="30"/>
  <c r="AK52" i="30" s="1"/>
  <c r="AG16" i="30"/>
  <c r="AI16" i="30" s="1"/>
  <c r="AH20" i="30"/>
  <c r="AG20" i="30"/>
  <c r="AI20" i="30" s="1"/>
  <c r="AH55" i="30"/>
  <c r="AK55" i="30" s="1"/>
  <c r="AG58" i="30"/>
  <c r="AI58" i="30" s="1"/>
  <c r="AH58" i="30"/>
  <c r="AG64" i="30"/>
  <c r="AI64" i="30" s="1"/>
  <c r="AH64" i="30"/>
  <c r="AG63" i="30"/>
  <c r="AI63" i="30" s="1"/>
  <c r="AH63" i="30"/>
  <c r="K14" i="30"/>
  <c r="J5" i="30"/>
  <c r="G29" i="36"/>
  <c r="J29" i="36" s="1"/>
  <c r="K143" i="60" l="1"/>
  <c r="L143" i="60" s="1"/>
  <c r="M143" i="60" s="1"/>
  <c r="N143" i="60" s="1"/>
  <c r="E143" i="60" s="1"/>
  <c r="J144" i="60"/>
  <c r="K153" i="20"/>
  <c r="L153" i="20" s="1"/>
  <c r="M153" i="20" s="1"/>
  <c r="N153" i="20" s="1"/>
  <c r="E153" i="20" s="1"/>
  <c r="J154" i="20"/>
  <c r="C11" i="58"/>
  <c r="A142" i="60"/>
  <c r="D142" i="60"/>
  <c r="I142" i="60"/>
  <c r="A150" i="20"/>
  <c r="I150" i="20"/>
  <c r="D150" i="20"/>
  <c r="C14" i="58"/>
  <c r="AL44" i="30"/>
  <c r="AE4" i="30"/>
  <c r="AF4" i="30" s="1"/>
  <c r="AD5" i="30"/>
  <c r="AG3" i="30"/>
  <c r="AI3" i="30" s="1"/>
  <c r="AH2" i="30"/>
  <c r="AL38" i="30"/>
  <c r="AK30" i="30"/>
  <c r="AA34" i="58" s="1"/>
  <c r="AB34" i="58" s="1"/>
  <c r="AK25" i="30"/>
  <c r="AA29" i="58" s="1"/>
  <c r="AB29" i="58" s="1"/>
  <c r="AK78" i="30"/>
  <c r="AK23" i="30"/>
  <c r="AA27" i="58" s="1"/>
  <c r="AB27" i="58" s="1"/>
  <c r="AL75" i="30"/>
  <c r="AL42" i="30"/>
  <c r="AK18" i="30"/>
  <c r="AA22" i="58" s="1"/>
  <c r="AB22" i="58" s="1"/>
  <c r="AK32" i="30"/>
  <c r="AA36" i="58" s="1"/>
  <c r="AB36" i="58" s="1"/>
  <c r="AK68" i="30"/>
  <c r="AK40" i="30"/>
  <c r="AA44" i="58" s="1"/>
  <c r="AB44" i="58" s="1"/>
  <c r="AK24" i="30"/>
  <c r="AA28" i="58" s="1"/>
  <c r="AB28" i="58" s="1"/>
  <c r="AL36" i="30"/>
  <c r="AK34" i="30"/>
  <c r="AA38" i="58" s="1"/>
  <c r="AB38" i="58" s="1"/>
  <c r="AK26" i="30"/>
  <c r="AA30" i="58" s="1"/>
  <c r="AB30" i="58" s="1"/>
  <c r="AK46" i="30"/>
  <c r="AA50" i="58" s="1"/>
  <c r="AB50" i="58" s="1"/>
  <c r="AK69" i="30"/>
  <c r="AK48" i="30"/>
  <c r="AA52" i="58" s="1"/>
  <c r="AB52" i="58" s="1"/>
  <c r="AK49" i="30"/>
  <c r="AA53" i="58" s="1"/>
  <c r="AB53" i="58" s="1"/>
  <c r="AL29" i="30"/>
  <c r="AL34" i="30"/>
  <c r="AK20" i="30"/>
  <c r="AA24" i="58" s="1"/>
  <c r="AB24" i="58" s="1"/>
  <c r="AK73" i="30"/>
  <c r="AK50" i="30"/>
  <c r="AA54" i="58" s="1"/>
  <c r="AB54" i="58" s="1"/>
  <c r="AL26" i="30"/>
  <c r="AK17" i="30"/>
  <c r="AA21" i="58" s="1"/>
  <c r="AB21" i="58" s="1"/>
  <c r="AK27" i="30"/>
  <c r="AA31" i="58" s="1"/>
  <c r="AB31" i="58" s="1"/>
  <c r="AL62" i="30"/>
  <c r="AK53" i="30"/>
  <c r="AK45" i="30"/>
  <c r="AA49" i="58" s="1"/>
  <c r="AB49" i="58" s="1"/>
  <c r="AK64" i="30"/>
  <c r="AK41" i="30"/>
  <c r="AA45" i="58" s="1"/>
  <c r="AB45" i="58" s="1"/>
  <c r="AL77" i="30"/>
  <c r="AK31" i="30"/>
  <c r="AA35" i="58" s="1"/>
  <c r="AB35" i="58" s="1"/>
  <c r="AK58" i="30"/>
  <c r="AK54" i="30"/>
  <c r="AK43" i="30"/>
  <c r="AA47" i="58" s="1"/>
  <c r="AB47" i="58" s="1"/>
  <c r="AK63" i="30"/>
  <c r="AK65" i="30"/>
  <c r="AK57" i="30"/>
  <c r="AL54" i="30"/>
  <c r="AK19" i="30"/>
  <c r="AA23" i="58" s="1"/>
  <c r="AB23" i="58" s="1"/>
  <c r="AL19" i="30"/>
  <c r="AK21" i="30"/>
  <c r="AA25" i="58" s="1"/>
  <c r="AB25" i="58" s="1"/>
  <c r="AK56" i="30"/>
  <c r="AK59" i="30"/>
  <c r="AL74" i="30"/>
  <c r="AK74" i="30"/>
  <c r="AL47" i="30"/>
  <c r="AK47" i="30"/>
  <c r="AA51" i="58" s="1"/>
  <c r="AB51" i="58" s="1"/>
  <c r="AL76" i="30"/>
  <c r="AK76" i="30"/>
  <c r="AK67" i="30"/>
  <c r="AL63" i="30"/>
  <c r="AK70" i="30"/>
  <c r="AL57" i="30"/>
  <c r="AK61" i="30"/>
  <c r="AL61" i="30"/>
  <c r="AL64" i="30"/>
  <c r="AK16" i="30"/>
  <c r="AA20" i="58" s="1"/>
  <c r="AB20" i="58" s="1"/>
  <c r="AL16" i="30"/>
  <c r="AK39" i="30"/>
  <c r="AA43" i="58" s="1"/>
  <c r="AB43" i="58" s="1"/>
  <c r="AK28" i="30"/>
  <c r="AA32" i="58" s="1"/>
  <c r="AB32" i="58" s="1"/>
  <c r="AL37" i="30"/>
  <c r="AK37" i="30"/>
  <c r="AA41" i="58" s="1"/>
  <c r="AB41" i="58" s="1"/>
  <c r="AL51" i="30"/>
  <c r="AK51" i="30"/>
  <c r="AA55" i="58" s="1"/>
  <c r="AB55" i="58" s="1"/>
  <c r="AL20" i="30"/>
  <c r="AL58" i="30"/>
  <c r="G41" i="36"/>
  <c r="J41" i="36" s="1"/>
  <c r="G23" i="36"/>
  <c r="J23" i="36" s="1"/>
  <c r="G15" i="36"/>
  <c r="J15" i="36" s="1"/>
  <c r="G10" i="36"/>
  <c r="J10" i="36" s="1"/>
  <c r="G35" i="36"/>
  <c r="J35" i="36" s="1"/>
  <c r="I12" i="36"/>
  <c r="J12" i="36" s="1"/>
  <c r="I31" i="36"/>
  <c r="J31" i="36" s="1"/>
  <c r="I25" i="36"/>
  <c r="J25" i="36" s="1"/>
  <c r="I49" i="36"/>
  <c r="J49" i="36" s="1"/>
  <c r="I43" i="36"/>
  <c r="J43" i="36" s="1"/>
  <c r="I20" i="36"/>
  <c r="J20" i="36" s="1"/>
  <c r="I17" i="36"/>
  <c r="J17" i="36" s="1"/>
  <c r="G18" i="36"/>
  <c r="J18" i="36" s="1"/>
  <c r="G47" i="36"/>
  <c r="J47" i="36" s="1"/>
  <c r="I37" i="36"/>
  <c r="J37" i="36" s="1"/>
  <c r="H42" i="36"/>
  <c r="J42" i="36" s="1"/>
  <c r="H16" i="36"/>
  <c r="J16" i="36" s="1"/>
  <c r="H11" i="36"/>
  <c r="J11" i="36" s="1"/>
  <c r="H30" i="36"/>
  <c r="J30" i="36" s="1"/>
  <c r="H48" i="36"/>
  <c r="J48" i="36" s="1"/>
  <c r="H36" i="36"/>
  <c r="J36" i="36" s="1"/>
  <c r="H24" i="36"/>
  <c r="J24" i="36" s="1"/>
  <c r="H19" i="36"/>
  <c r="J19" i="36" s="1"/>
  <c r="J145" i="60" l="1"/>
  <c r="K144" i="60"/>
  <c r="L144" i="60" s="1"/>
  <c r="M144" i="60" s="1"/>
  <c r="N144" i="60" s="1"/>
  <c r="E144" i="60" s="1"/>
  <c r="J155" i="20"/>
  <c r="K154" i="20"/>
  <c r="L154" i="20" s="1"/>
  <c r="M154" i="20" s="1"/>
  <c r="N154" i="20" s="1"/>
  <c r="E154" i="20" s="1"/>
  <c r="A143" i="60"/>
  <c r="D143" i="60"/>
  <c r="I143" i="60"/>
  <c r="A151" i="20"/>
  <c r="I151" i="20"/>
  <c r="D151" i="20"/>
  <c r="AE5" i="30"/>
  <c r="AF5" i="30" s="1"/>
  <c r="AD6" i="30"/>
  <c r="AG4" i="30"/>
  <c r="AH4" i="30"/>
  <c r="K145" i="60" l="1"/>
  <c r="L145" i="60" s="1"/>
  <c r="M145" i="60" s="1"/>
  <c r="N145" i="60" s="1"/>
  <c r="E145" i="60" s="1"/>
  <c r="J146" i="60"/>
  <c r="J156" i="20"/>
  <c r="K155" i="20"/>
  <c r="L155" i="20" s="1"/>
  <c r="M155" i="20" s="1"/>
  <c r="N155" i="20" s="1"/>
  <c r="E155" i="20" s="1"/>
  <c r="A144" i="60"/>
  <c r="D144" i="60"/>
  <c r="I144" i="60"/>
  <c r="A152" i="20"/>
  <c r="I152" i="20"/>
  <c r="D152" i="20"/>
  <c r="AI4" i="30"/>
  <c r="AE6" i="30"/>
  <c r="AF6" i="30" s="1"/>
  <c r="AD7" i="30"/>
  <c r="AH5" i="30"/>
  <c r="AG5" i="30"/>
  <c r="J147" i="60" l="1"/>
  <c r="K146" i="60"/>
  <c r="L146" i="60" s="1"/>
  <c r="M146" i="60" s="1"/>
  <c r="N146" i="60" s="1"/>
  <c r="E146" i="60" s="1"/>
  <c r="J157" i="20"/>
  <c r="K156" i="20"/>
  <c r="L156" i="20" s="1"/>
  <c r="M156" i="20" s="1"/>
  <c r="N156" i="20" s="1"/>
  <c r="E156" i="20" s="1"/>
  <c r="I145" i="60"/>
  <c r="D145" i="60"/>
  <c r="A145" i="60"/>
  <c r="A153" i="20"/>
  <c r="I153" i="20"/>
  <c r="D153" i="20"/>
  <c r="AE7" i="30"/>
  <c r="AF7" i="30" s="1"/>
  <c r="AD8" i="30"/>
  <c r="AH6" i="30"/>
  <c r="AG6" i="30"/>
  <c r="AI5" i="30"/>
  <c r="K147" i="60" l="1"/>
  <c r="L147" i="60" s="1"/>
  <c r="M147" i="60" s="1"/>
  <c r="N147" i="60" s="1"/>
  <c r="E147" i="60" s="1"/>
  <c r="J148" i="60"/>
  <c r="J158" i="20"/>
  <c r="K157" i="20"/>
  <c r="L157" i="20" s="1"/>
  <c r="M157" i="20" s="1"/>
  <c r="N157" i="20" s="1"/>
  <c r="E157" i="20" s="1"/>
  <c r="I146" i="60"/>
  <c r="A146" i="60"/>
  <c r="D146" i="60"/>
  <c r="A154" i="20"/>
  <c r="I154" i="20"/>
  <c r="D154" i="20"/>
  <c r="AL5" i="30"/>
  <c r="AK5" i="30"/>
  <c r="AA9" i="58" s="1"/>
  <c r="AB9" i="58" s="1"/>
  <c r="AE8" i="30"/>
  <c r="AF8" i="30" s="1"/>
  <c r="AD9" i="30"/>
  <c r="AH7" i="30"/>
  <c r="AG7" i="30"/>
  <c r="AI6" i="30"/>
  <c r="K148" i="60" l="1"/>
  <c r="L148" i="60" s="1"/>
  <c r="M148" i="60" s="1"/>
  <c r="N148" i="60" s="1"/>
  <c r="E148" i="60" s="1"/>
  <c r="J149" i="60"/>
  <c r="J159" i="20"/>
  <c r="K158" i="20"/>
  <c r="L158" i="20" s="1"/>
  <c r="M158" i="20" s="1"/>
  <c r="N158" i="20" s="1"/>
  <c r="E158" i="20" s="1"/>
  <c r="A147" i="60"/>
  <c r="D147" i="60"/>
  <c r="I147" i="60"/>
  <c r="A155" i="20"/>
  <c r="D155" i="20"/>
  <c r="I155" i="20"/>
  <c r="AL6" i="30"/>
  <c r="AK6" i="30"/>
  <c r="AA10" i="58" s="1"/>
  <c r="AB10" i="58" s="1"/>
  <c r="AI7" i="30"/>
  <c r="AE9" i="30"/>
  <c r="AF9" i="30" s="1"/>
  <c r="AD10" i="30"/>
  <c r="AH8" i="30"/>
  <c r="AG8" i="30"/>
  <c r="J150" i="60" l="1"/>
  <c r="K149" i="60"/>
  <c r="L149" i="60" s="1"/>
  <c r="M149" i="60" s="1"/>
  <c r="N149" i="60" s="1"/>
  <c r="E149" i="60" s="1"/>
  <c r="K159" i="20"/>
  <c r="L159" i="20" s="1"/>
  <c r="M159" i="20" s="1"/>
  <c r="N159" i="20" s="1"/>
  <c r="E159" i="20" s="1"/>
  <c r="J160" i="20"/>
  <c r="A148" i="60"/>
  <c r="D148" i="60"/>
  <c r="I148" i="60"/>
  <c r="A156" i="20"/>
  <c r="I156" i="20"/>
  <c r="D156" i="20"/>
  <c r="AK7" i="30"/>
  <c r="AA11" i="58" s="1"/>
  <c r="AB11" i="58" s="1"/>
  <c r="AL7" i="30"/>
  <c r="AI8" i="30"/>
  <c r="AH9" i="30"/>
  <c r="AG9" i="30"/>
  <c r="AE10" i="30"/>
  <c r="AF10" i="30" s="1"/>
  <c r="AD11" i="30"/>
  <c r="K150" i="60" l="1"/>
  <c r="L150" i="60" s="1"/>
  <c r="M150" i="60" s="1"/>
  <c r="N150" i="60" s="1"/>
  <c r="E150" i="60" s="1"/>
  <c r="J151" i="60"/>
  <c r="J161" i="20"/>
  <c r="K160" i="20"/>
  <c r="L160" i="20" s="1"/>
  <c r="M160" i="20" s="1"/>
  <c r="N160" i="20" s="1"/>
  <c r="E160" i="20" s="1"/>
  <c r="A149" i="60"/>
  <c r="I149" i="60"/>
  <c r="D149" i="60"/>
  <c r="A157" i="20"/>
  <c r="D157" i="20"/>
  <c r="I157" i="20"/>
  <c r="AK8" i="30"/>
  <c r="AA12" i="58" s="1"/>
  <c r="AB12" i="58" s="1"/>
  <c r="AL8" i="30"/>
  <c r="AI9" i="30"/>
  <c r="AE11" i="30"/>
  <c r="AF11" i="30" s="1"/>
  <c r="AD12" i="30"/>
  <c r="AH10" i="30"/>
  <c r="AG10" i="30"/>
  <c r="K151" i="60" l="1"/>
  <c r="L151" i="60" s="1"/>
  <c r="M151" i="60" s="1"/>
  <c r="N151" i="60" s="1"/>
  <c r="E151" i="60" s="1"/>
  <c r="J152" i="60"/>
  <c r="K161" i="20"/>
  <c r="L161" i="20" s="1"/>
  <c r="M161" i="20" s="1"/>
  <c r="N161" i="20" s="1"/>
  <c r="E161" i="20" s="1"/>
  <c r="J162" i="20"/>
  <c r="A150" i="60"/>
  <c r="I150" i="60"/>
  <c r="D150" i="60"/>
  <c r="A158" i="20"/>
  <c r="D158" i="20"/>
  <c r="I158" i="20"/>
  <c r="AK9" i="30"/>
  <c r="AA13" i="58" s="1"/>
  <c r="AB13" i="58" s="1"/>
  <c r="AL9" i="30"/>
  <c r="AI10" i="30"/>
  <c r="AH11" i="30"/>
  <c r="AG11" i="30"/>
  <c r="AE12" i="30"/>
  <c r="AF12" i="30" s="1"/>
  <c r="AD13" i="30"/>
  <c r="J153" i="60" l="1"/>
  <c r="K152" i="60"/>
  <c r="L152" i="60" s="1"/>
  <c r="M152" i="60" s="1"/>
  <c r="N152" i="60" s="1"/>
  <c r="E152" i="60" s="1"/>
  <c r="K162" i="20"/>
  <c r="L162" i="20" s="1"/>
  <c r="M162" i="20" s="1"/>
  <c r="N162" i="20" s="1"/>
  <c r="E162" i="20" s="1"/>
  <c r="J163" i="20"/>
  <c r="A151" i="60"/>
  <c r="D151" i="60"/>
  <c r="I151" i="60"/>
  <c r="A159" i="20"/>
  <c r="I159" i="20"/>
  <c r="D159" i="20"/>
  <c r="AL10" i="30"/>
  <c r="AK10" i="30"/>
  <c r="AA14" i="58" s="1"/>
  <c r="AB14" i="58" s="1"/>
  <c r="AI11" i="30"/>
  <c r="AE13" i="30"/>
  <c r="AF13" i="30" s="1"/>
  <c r="AD14" i="30"/>
  <c r="AE14" i="30" s="1"/>
  <c r="AF14" i="30" s="1"/>
  <c r="AH12" i="30"/>
  <c r="AG12" i="30"/>
  <c r="K153" i="60" l="1"/>
  <c r="L153" i="60" s="1"/>
  <c r="M153" i="60" s="1"/>
  <c r="N153" i="60" s="1"/>
  <c r="E153" i="60" s="1"/>
  <c r="J154" i="60"/>
  <c r="J164" i="20"/>
  <c r="K163" i="20"/>
  <c r="L163" i="20" s="1"/>
  <c r="M163" i="20" s="1"/>
  <c r="N163" i="20" s="1"/>
  <c r="E163" i="20" s="1"/>
  <c r="A152" i="60"/>
  <c r="D152" i="60"/>
  <c r="I152" i="60"/>
  <c r="A160" i="20"/>
  <c r="I160" i="20"/>
  <c r="D160" i="20"/>
  <c r="AL11" i="30"/>
  <c r="AK11" i="30"/>
  <c r="AA15" i="58" s="1"/>
  <c r="AB15" i="58" s="1"/>
  <c r="AI12" i="30"/>
  <c r="AH14" i="30"/>
  <c r="AG14" i="30"/>
  <c r="AH13" i="30"/>
  <c r="AG13" i="30"/>
  <c r="K154" i="60" l="1"/>
  <c r="L154" i="60" s="1"/>
  <c r="M154" i="60" s="1"/>
  <c r="N154" i="60" s="1"/>
  <c r="E154" i="60" s="1"/>
  <c r="J155" i="60"/>
  <c r="J165" i="20"/>
  <c r="K164" i="20"/>
  <c r="L164" i="20" s="1"/>
  <c r="M164" i="20" s="1"/>
  <c r="N164" i="20" s="1"/>
  <c r="E164" i="20" s="1"/>
  <c r="A153" i="60"/>
  <c r="D153" i="60"/>
  <c r="I153" i="60"/>
  <c r="A161" i="20"/>
  <c r="I161" i="20"/>
  <c r="D161" i="20"/>
  <c r="AL12" i="30"/>
  <c r="AK12" i="30"/>
  <c r="AA16" i="58" s="1"/>
  <c r="AB16" i="58" s="1"/>
  <c r="AI13" i="30"/>
  <c r="AL2" i="30"/>
  <c r="AK2" i="30"/>
  <c r="AA6" i="58" s="1"/>
  <c r="AB6" i="58" l="1"/>
  <c r="J156" i="60"/>
  <c r="K155" i="60"/>
  <c r="L155" i="60" s="1"/>
  <c r="M155" i="60" s="1"/>
  <c r="N155" i="60" s="1"/>
  <c r="E155" i="60" s="1"/>
  <c r="J166" i="20"/>
  <c r="K165" i="20"/>
  <c r="L165" i="20" s="1"/>
  <c r="M165" i="20" s="1"/>
  <c r="N165" i="20" s="1"/>
  <c r="E165" i="20" s="1"/>
  <c r="I154" i="60"/>
  <c r="A154" i="60"/>
  <c r="D154" i="60"/>
  <c r="A162" i="20"/>
  <c r="D162" i="20"/>
  <c r="I162" i="20"/>
  <c r="AI14" i="30"/>
  <c r="AL13" i="30"/>
  <c r="AK13" i="30"/>
  <c r="AA17" i="58" s="1"/>
  <c r="AB17" i="58" s="1"/>
  <c r="K156" i="60" l="1"/>
  <c r="L156" i="60" s="1"/>
  <c r="M156" i="60" s="1"/>
  <c r="N156" i="60" s="1"/>
  <c r="E156" i="60" s="1"/>
  <c r="J157" i="60"/>
  <c r="J167" i="20"/>
  <c r="K166" i="20"/>
  <c r="L166" i="20" s="1"/>
  <c r="M166" i="20" s="1"/>
  <c r="N166" i="20" s="1"/>
  <c r="E166" i="20" s="1"/>
  <c r="D155" i="60"/>
  <c r="I155" i="60"/>
  <c r="A155" i="60"/>
  <c r="A163" i="20"/>
  <c r="I163" i="20"/>
  <c r="D163" i="20"/>
  <c r="AL4" i="30"/>
  <c r="AL3" i="30"/>
  <c r="AK3" i="30"/>
  <c r="AA7" i="58" s="1"/>
  <c r="AK4" i="30"/>
  <c r="AA8" i="58" s="1"/>
  <c r="AB8" i="58" s="1"/>
  <c r="AL14" i="30"/>
  <c r="AK14" i="30"/>
  <c r="AA18" i="58" s="1"/>
  <c r="AB18" i="58" s="1"/>
  <c r="AB7" i="58" l="1"/>
  <c r="V42" i="58"/>
  <c r="W64" i="58" s="1"/>
  <c r="E111" i="20" s="1"/>
  <c r="K157" i="60"/>
  <c r="L157" i="60" s="1"/>
  <c r="M157" i="60" s="1"/>
  <c r="N157" i="60" s="1"/>
  <c r="E157" i="60" s="1"/>
  <c r="J158" i="60"/>
  <c r="K167" i="20"/>
  <c r="L167" i="20" s="1"/>
  <c r="M167" i="20" s="1"/>
  <c r="N167" i="20" s="1"/>
  <c r="E167" i="20" s="1"/>
  <c r="J168" i="20"/>
  <c r="D156" i="60"/>
  <c r="I156" i="60"/>
  <c r="A156" i="60"/>
  <c r="A164" i="20"/>
  <c r="I164" i="20"/>
  <c r="D164" i="20"/>
  <c r="J24" i="21" l="1"/>
  <c r="I24" i="21"/>
  <c r="H24" i="21"/>
  <c r="G24" i="21"/>
  <c r="K24" i="21"/>
  <c r="G4" i="21"/>
  <c r="J159" i="60"/>
  <c r="K158" i="60"/>
  <c r="L158" i="60" s="1"/>
  <c r="M158" i="60" s="1"/>
  <c r="N158" i="60" s="1"/>
  <c r="E158" i="60" s="1"/>
  <c r="K168" i="20"/>
  <c r="L168" i="20" s="1"/>
  <c r="M168" i="20" s="1"/>
  <c r="N168" i="20" s="1"/>
  <c r="E168" i="20" s="1"/>
  <c r="J169" i="20"/>
  <c r="A157" i="60"/>
  <c r="D157" i="60"/>
  <c r="I157" i="60"/>
  <c r="A165" i="20"/>
  <c r="D165" i="20"/>
  <c r="I165" i="20"/>
  <c r="V43" i="58" a="1"/>
  <c r="V43" i="58" s="1"/>
  <c r="G5" i="21" s="1"/>
  <c r="G6" i="21" l="1"/>
  <c r="I6" i="21" s="1"/>
  <c r="H43" i="21"/>
  <c r="I43" i="21"/>
  <c r="I42" i="21"/>
  <c r="H42" i="21"/>
  <c r="G43" i="21"/>
  <c r="G42" i="21"/>
  <c r="K159" i="60"/>
  <c r="L159" i="60" s="1"/>
  <c r="M159" i="60" s="1"/>
  <c r="N159" i="60" s="1"/>
  <c r="E159" i="60" s="1"/>
  <c r="J160" i="60"/>
  <c r="J170" i="20"/>
  <c r="K169" i="20"/>
  <c r="L169" i="20" s="1"/>
  <c r="M169" i="20" s="1"/>
  <c r="N169" i="20" s="1"/>
  <c r="E169" i="20" s="1"/>
  <c r="A158" i="60"/>
  <c r="D158" i="60"/>
  <c r="I158" i="60"/>
  <c r="A166" i="20"/>
  <c r="I166" i="20"/>
  <c r="D166" i="20"/>
  <c r="K160" i="60" l="1"/>
  <c r="L160" i="60" s="1"/>
  <c r="M160" i="60" s="1"/>
  <c r="N160" i="60" s="1"/>
  <c r="E160" i="60" s="1"/>
  <c r="J161" i="60"/>
  <c r="J171" i="20"/>
  <c r="K170" i="20"/>
  <c r="L170" i="20" s="1"/>
  <c r="M170" i="20" s="1"/>
  <c r="N170" i="20" s="1"/>
  <c r="E170" i="20" s="1"/>
  <c r="A159" i="60"/>
  <c r="I159" i="60"/>
  <c r="D159" i="60"/>
  <c r="A167" i="20"/>
  <c r="I167" i="20"/>
  <c r="D167" i="20"/>
  <c r="K161" i="60" l="1"/>
  <c r="L161" i="60" s="1"/>
  <c r="M161" i="60" s="1"/>
  <c r="N161" i="60" s="1"/>
  <c r="E161" i="60" s="1"/>
  <c r="J162" i="60"/>
  <c r="K171" i="20"/>
  <c r="L171" i="20" s="1"/>
  <c r="M171" i="20" s="1"/>
  <c r="N171" i="20" s="1"/>
  <c r="E171" i="20" s="1"/>
  <c r="J172" i="20"/>
  <c r="A160" i="60"/>
  <c r="D160" i="60"/>
  <c r="I160" i="60"/>
  <c r="A168" i="20"/>
  <c r="I168" i="20"/>
  <c r="D168" i="20"/>
  <c r="J163" i="60" l="1"/>
  <c r="K162" i="60"/>
  <c r="L162" i="60" s="1"/>
  <c r="M162" i="60" s="1"/>
  <c r="N162" i="60" s="1"/>
  <c r="E162" i="60" s="1"/>
  <c r="K172" i="20"/>
  <c r="L172" i="20" s="1"/>
  <c r="M172" i="20" s="1"/>
  <c r="N172" i="20" s="1"/>
  <c r="E172" i="20" s="1"/>
  <c r="J173" i="20"/>
  <c r="A161" i="60"/>
  <c r="D161" i="60"/>
  <c r="I161" i="60"/>
  <c r="A169" i="20"/>
  <c r="D169" i="20"/>
  <c r="I169" i="20"/>
  <c r="K163" i="60" l="1"/>
  <c r="L163" i="60" s="1"/>
  <c r="M163" i="60" s="1"/>
  <c r="N163" i="60" s="1"/>
  <c r="E163" i="60" s="1"/>
  <c r="J164" i="60"/>
  <c r="K173" i="20"/>
  <c r="L173" i="20" s="1"/>
  <c r="M173" i="20" s="1"/>
  <c r="N173" i="20" s="1"/>
  <c r="E173" i="20" s="1"/>
  <c r="J174" i="20"/>
  <c r="A162" i="60"/>
  <c r="D162" i="60"/>
  <c r="I162" i="60"/>
  <c r="A170" i="20"/>
  <c r="D170" i="20"/>
  <c r="I170" i="20"/>
  <c r="K164" i="60" l="1"/>
  <c r="L164" i="60" s="1"/>
  <c r="M164" i="60" s="1"/>
  <c r="N164" i="60" s="1"/>
  <c r="E164" i="60" s="1"/>
  <c r="J165" i="60"/>
  <c r="J175" i="20"/>
  <c r="K174" i="20"/>
  <c r="L174" i="20" s="1"/>
  <c r="M174" i="20" s="1"/>
  <c r="N174" i="20" s="1"/>
  <c r="E174" i="20" s="1"/>
  <c r="D163" i="60"/>
  <c r="I163" i="60"/>
  <c r="A163" i="60"/>
  <c r="A171" i="20"/>
  <c r="I171" i="20"/>
  <c r="D171" i="20"/>
  <c r="J166" i="60" l="1"/>
  <c r="K165" i="60"/>
  <c r="L165" i="60" s="1"/>
  <c r="M165" i="60" s="1"/>
  <c r="N165" i="60" s="1"/>
  <c r="E165" i="60" s="1"/>
  <c r="K175" i="20"/>
  <c r="L175" i="20" s="1"/>
  <c r="M175" i="20" s="1"/>
  <c r="N175" i="20" s="1"/>
  <c r="E175" i="20" s="1"/>
  <c r="J176" i="20"/>
  <c r="I164" i="60"/>
  <c r="A164" i="60"/>
  <c r="D164" i="60"/>
  <c r="A172" i="20"/>
  <c r="I172" i="20"/>
  <c r="D172" i="20"/>
  <c r="K166" i="60" l="1"/>
  <c r="L166" i="60" s="1"/>
  <c r="M166" i="60" s="1"/>
  <c r="N166" i="60" s="1"/>
  <c r="E166" i="60" s="1"/>
  <c r="J167" i="60"/>
  <c r="J177" i="20"/>
  <c r="K176" i="20"/>
  <c r="L176" i="20" s="1"/>
  <c r="M176" i="20" s="1"/>
  <c r="N176" i="20" s="1"/>
  <c r="E176" i="20" s="1"/>
  <c r="A165" i="60"/>
  <c r="D165" i="60"/>
  <c r="I165" i="60"/>
  <c r="A173" i="20"/>
  <c r="D173" i="20"/>
  <c r="I173" i="20"/>
  <c r="K167" i="60" l="1"/>
  <c r="L167" i="60" s="1"/>
  <c r="M167" i="60" s="1"/>
  <c r="N167" i="60" s="1"/>
  <c r="E167" i="60" s="1"/>
  <c r="J168" i="60"/>
  <c r="K177" i="20"/>
  <c r="L177" i="20" s="1"/>
  <c r="M177" i="20" s="1"/>
  <c r="N177" i="20" s="1"/>
  <c r="E177" i="20" s="1"/>
  <c r="J178" i="20"/>
  <c r="A166" i="60"/>
  <c r="D166" i="60"/>
  <c r="I166" i="60"/>
  <c r="A174" i="20"/>
  <c r="I174" i="20"/>
  <c r="D174" i="20"/>
  <c r="J169" i="60" l="1"/>
  <c r="K168" i="60"/>
  <c r="L168" i="60" s="1"/>
  <c r="M168" i="60" s="1"/>
  <c r="N168" i="60" s="1"/>
  <c r="E168" i="60" s="1"/>
  <c r="K178" i="20"/>
  <c r="L178" i="20" s="1"/>
  <c r="M178" i="20" s="1"/>
  <c r="N178" i="20" s="1"/>
  <c r="E178" i="20" s="1"/>
  <c r="J179" i="20"/>
  <c r="A167" i="60"/>
  <c r="D167" i="60"/>
  <c r="I167" i="60"/>
  <c r="A175" i="20"/>
  <c r="D175" i="20"/>
  <c r="I175" i="20"/>
  <c r="K169" i="60" l="1"/>
  <c r="L169" i="60" s="1"/>
  <c r="M169" i="60" s="1"/>
  <c r="N169" i="60" s="1"/>
  <c r="E169" i="60" s="1"/>
  <c r="J170" i="60"/>
  <c r="J180" i="20"/>
  <c r="K179" i="20"/>
  <c r="L179" i="20" s="1"/>
  <c r="M179" i="20" s="1"/>
  <c r="N179" i="20" s="1"/>
  <c r="E179" i="20" s="1"/>
  <c r="D168" i="60"/>
  <c r="I168" i="60"/>
  <c r="A168" i="60"/>
  <c r="A176" i="20"/>
  <c r="I176" i="20"/>
  <c r="D176" i="20"/>
  <c r="K170" i="60" l="1"/>
  <c r="L170" i="60" s="1"/>
  <c r="M170" i="60" s="1"/>
  <c r="N170" i="60" s="1"/>
  <c r="E170" i="60" s="1"/>
  <c r="J171" i="60"/>
  <c r="K180" i="20"/>
  <c r="L180" i="20" s="1"/>
  <c r="M180" i="20" s="1"/>
  <c r="N180" i="20" s="1"/>
  <c r="E180" i="20" s="1"/>
  <c r="J181" i="20"/>
  <c r="D169" i="60"/>
  <c r="A169" i="60"/>
  <c r="I169" i="60"/>
  <c r="A177" i="20"/>
  <c r="D177" i="20"/>
  <c r="I177" i="20"/>
  <c r="J172" i="60" l="1"/>
  <c r="K171" i="60"/>
  <c r="L171" i="60" s="1"/>
  <c r="M171" i="60" s="1"/>
  <c r="N171" i="60" s="1"/>
  <c r="E171" i="60" s="1"/>
  <c r="K181" i="20"/>
  <c r="L181" i="20" s="1"/>
  <c r="M181" i="20" s="1"/>
  <c r="N181" i="20" s="1"/>
  <c r="E181" i="20" s="1"/>
  <c r="J182" i="20"/>
  <c r="A170" i="60"/>
  <c r="D170" i="60"/>
  <c r="I170" i="60"/>
  <c r="A178" i="20"/>
  <c r="D178" i="20"/>
  <c r="I178" i="20"/>
  <c r="K172" i="60" l="1"/>
  <c r="L172" i="60" s="1"/>
  <c r="M172" i="60" s="1"/>
  <c r="N172" i="60" s="1"/>
  <c r="E172" i="60" s="1"/>
  <c r="J173" i="60"/>
  <c r="J183" i="20"/>
  <c r="K182" i="20"/>
  <c r="L182" i="20" s="1"/>
  <c r="M182" i="20" s="1"/>
  <c r="N182" i="20" s="1"/>
  <c r="E182" i="20" s="1"/>
  <c r="D171" i="60"/>
  <c r="I171" i="60"/>
  <c r="A171" i="60"/>
  <c r="A179" i="20"/>
  <c r="I179" i="20"/>
  <c r="D179" i="20"/>
  <c r="K173" i="60" l="1"/>
  <c r="L173" i="60" s="1"/>
  <c r="M173" i="60" s="1"/>
  <c r="N173" i="60" s="1"/>
  <c r="E173" i="60" s="1"/>
  <c r="J174" i="60"/>
  <c r="K183" i="20"/>
  <c r="L183" i="20" s="1"/>
  <c r="M183" i="20" s="1"/>
  <c r="N183" i="20" s="1"/>
  <c r="E183" i="20" s="1"/>
  <c r="J184" i="20"/>
  <c r="D172" i="60"/>
  <c r="I172" i="60"/>
  <c r="A172" i="60"/>
  <c r="A180" i="20"/>
  <c r="D180" i="20"/>
  <c r="I180" i="20"/>
  <c r="K174" i="60" l="1"/>
  <c r="L174" i="60" s="1"/>
  <c r="M174" i="60" s="1"/>
  <c r="N174" i="60" s="1"/>
  <c r="E174" i="60" s="1"/>
  <c r="J175" i="60"/>
  <c r="J185" i="20"/>
  <c r="K184" i="20"/>
  <c r="L184" i="20" s="1"/>
  <c r="M184" i="20" s="1"/>
  <c r="N184" i="20" s="1"/>
  <c r="E184" i="20" s="1"/>
  <c r="A173" i="60"/>
  <c r="D173" i="60"/>
  <c r="I173" i="60"/>
  <c r="A181" i="20"/>
  <c r="D181" i="20"/>
  <c r="I181" i="20"/>
  <c r="K175" i="60" l="1"/>
  <c r="L175" i="60" s="1"/>
  <c r="M175" i="60" s="1"/>
  <c r="N175" i="60" s="1"/>
  <c r="E175" i="60" s="1"/>
  <c r="J176" i="60"/>
  <c r="J186" i="20"/>
  <c r="K185" i="20"/>
  <c r="L185" i="20" s="1"/>
  <c r="M185" i="20" s="1"/>
  <c r="N185" i="20" s="1"/>
  <c r="E185" i="20" s="1"/>
  <c r="A174" i="60"/>
  <c r="D174" i="60"/>
  <c r="I174" i="60"/>
  <c r="A182" i="20"/>
  <c r="I182" i="20"/>
  <c r="D182" i="20"/>
  <c r="K176" i="60" l="1"/>
  <c r="L176" i="60" s="1"/>
  <c r="M176" i="60" s="1"/>
  <c r="N176" i="60" s="1"/>
  <c r="E176" i="60" s="1"/>
  <c r="J177" i="60"/>
  <c r="K186" i="20"/>
  <c r="L186" i="20" s="1"/>
  <c r="M186" i="20" s="1"/>
  <c r="N186" i="20" s="1"/>
  <c r="E186" i="20" s="1"/>
  <c r="J187" i="20"/>
  <c r="I175" i="60"/>
  <c r="D175" i="60"/>
  <c r="A175" i="60"/>
  <c r="A183" i="20"/>
  <c r="D183" i="20"/>
  <c r="I183" i="20"/>
  <c r="K177" i="60" l="1"/>
  <c r="L177" i="60" s="1"/>
  <c r="M177" i="60" s="1"/>
  <c r="N177" i="60" s="1"/>
  <c r="E177" i="60" s="1"/>
  <c r="J178" i="60"/>
  <c r="J188" i="20"/>
  <c r="K187" i="20"/>
  <c r="L187" i="20" s="1"/>
  <c r="M187" i="20" s="1"/>
  <c r="N187" i="20" s="1"/>
  <c r="E187" i="20" s="1"/>
  <c r="D176" i="60"/>
  <c r="A176" i="60"/>
  <c r="I176" i="60"/>
  <c r="A184" i="20"/>
  <c r="I184" i="20"/>
  <c r="D184" i="20"/>
  <c r="J179" i="60" l="1"/>
  <c r="K178" i="60"/>
  <c r="L178" i="60" s="1"/>
  <c r="M178" i="60" s="1"/>
  <c r="N178" i="60" s="1"/>
  <c r="E178" i="60" s="1"/>
  <c r="K188" i="20"/>
  <c r="L188" i="20" s="1"/>
  <c r="M188" i="20" s="1"/>
  <c r="N188" i="20" s="1"/>
  <c r="E188" i="20" s="1"/>
  <c r="J189" i="20"/>
  <c r="I177" i="60"/>
  <c r="A177" i="60"/>
  <c r="D177" i="60"/>
  <c r="A185" i="20"/>
  <c r="D185" i="20"/>
  <c r="I185" i="20"/>
  <c r="K179" i="60" l="1"/>
  <c r="L179" i="60" s="1"/>
  <c r="M179" i="60" s="1"/>
  <c r="N179" i="60" s="1"/>
  <c r="E179" i="60" s="1"/>
  <c r="J180" i="60"/>
  <c r="K189" i="20"/>
  <c r="L189" i="20" s="1"/>
  <c r="M189" i="20" s="1"/>
  <c r="N189" i="20" s="1"/>
  <c r="E189" i="20" s="1"/>
  <c r="J190" i="20"/>
  <c r="A178" i="60"/>
  <c r="D178" i="60"/>
  <c r="I178" i="60"/>
  <c r="A186" i="20"/>
  <c r="I186" i="20"/>
  <c r="D186" i="20"/>
  <c r="K180" i="60" l="1"/>
  <c r="L180" i="60" s="1"/>
  <c r="M180" i="60" s="1"/>
  <c r="N180" i="60" s="1"/>
  <c r="E180" i="60" s="1"/>
  <c r="J181" i="60"/>
  <c r="J191" i="20"/>
  <c r="K190" i="20"/>
  <c r="L190" i="20" s="1"/>
  <c r="M190" i="20" s="1"/>
  <c r="N190" i="20" s="1"/>
  <c r="E190" i="20" s="1"/>
  <c r="D179" i="60"/>
  <c r="I179" i="60"/>
  <c r="A179" i="60"/>
  <c r="A187" i="20"/>
  <c r="I187" i="20"/>
  <c r="D187" i="20"/>
  <c r="J182" i="60" l="1"/>
  <c r="K181" i="60"/>
  <c r="L181" i="60" s="1"/>
  <c r="M181" i="60" s="1"/>
  <c r="N181" i="60" s="1"/>
  <c r="E181" i="60" s="1"/>
  <c r="K191" i="20"/>
  <c r="L191" i="20" s="1"/>
  <c r="M191" i="20" s="1"/>
  <c r="N191" i="20" s="1"/>
  <c r="E191" i="20" s="1"/>
  <c r="J192" i="20"/>
  <c r="D180" i="60"/>
  <c r="I180" i="60"/>
  <c r="A180" i="60"/>
  <c r="A188" i="20"/>
  <c r="I188" i="20"/>
  <c r="D188" i="20"/>
  <c r="K182" i="60" l="1"/>
  <c r="L182" i="60" s="1"/>
  <c r="M182" i="60" s="1"/>
  <c r="N182" i="60" s="1"/>
  <c r="E182" i="60" s="1"/>
  <c r="J183" i="60"/>
  <c r="K192" i="20"/>
  <c r="L192" i="20" s="1"/>
  <c r="M192" i="20" s="1"/>
  <c r="N192" i="20" s="1"/>
  <c r="E192" i="20" s="1"/>
  <c r="J193" i="20"/>
  <c r="A181" i="60"/>
  <c r="D181" i="60"/>
  <c r="I181" i="60"/>
  <c r="A189" i="20"/>
  <c r="D189" i="20"/>
  <c r="I189" i="20"/>
  <c r="K183" i="60" l="1"/>
  <c r="L183" i="60" s="1"/>
  <c r="M183" i="60" s="1"/>
  <c r="N183" i="60" s="1"/>
  <c r="E183" i="60" s="1"/>
  <c r="J184" i="60"/>
  <c r="J194" i="20"/>
  <c r="K193" i="20"/>
  <c r="L193" i="20" s="1"/>
  <c r="M193" i="20" s="1"/>
  <c r="N193" i="20" s="1"/>
  <c r="E193" i="20" s="1"/>
  <c r="A182" i="60"/>
  <c r="D182" i="60"/>
  <c r="I182" i="60"/>
  <c r="A190" i="20"/>
  <c r="I190" i="20"/>
  <c r="D190" i="20"/>
  <c r="J185" i="60" l="1"/>
  <c r="K184" i="60"/>
  <c r="L184" i="60" s="1"/>
  <c r="M184" i="60" s="1"/>
  <c r="N184" i="60" s="1"/>
  <c r="E184" i="60" s="1"/>
  <c r="K194" i="20"/>
  <c r="L194" i="20" s="1"/>
  <c r="M194" i="20" s="1"/>
  <c r="N194" i="20" s="1"/>
  <c r="E194" i="20" s="1"/>
  <c r="J195" i="20"/>
  <c r="A183" i="60"/>
  <c r="D183" i="60"/>
  <c r="I183" i="60"/>
  <c r="A191" i="20"/>
  <c r="I191" i="20"/>
  <c r="D191" i="20"/>
  <c r="K185" i="60" l="1"/>
  <c r="L185" i="60" s="1"/>
  <c r="M185" i="60" s="1"/>
  <c r="N185" i="60" s="1"/>
  <c r="E185" i="60" s="1"/>
  <c r="J186" i="60"/>
  <c r="K195" i="20"/>
  <c r="L195" i="20" s="1"/>
  <c r="M195" i="20" s="1"/>
  <c r="N195" i="20" s="1"/>
  <c r="E195" i="20" s="1"/>
  <c r="J196" i="20"/>
  <c r="A184" i="60"/>
  <c r="I184" i="60"/>
  <c r="D184" i="60"/>
  <c r="A192" i="20"/>
  <c r="I192" i="20"/>
  <c r="D192" i="20"/>
  <c r="K186" i="60" l="1"/>
  <c r="L186" i="60" s="1"/>
  <c r="M186" i="60" s="1"/>
  <c r="N186" i="60" s="1"/>
  <c r="E186" i="60" s="1"/>
  <c r="J187" i="60"/>
  <c r="J197" i="20"/>
  <c r="K196" i="20"/>
  <c r="L196" i="20" s="1"/>
  <c r="M196" i="20" s="1"/>
  <c r="N196" i="20" s="1"/>
  <c r="E196" i="20" s="1"/>
  <c r="A185" i="60"/>
  <c r="D185" i="60"/>
  <c r="I185" i="60"/>
  <c r="A193" i="20"/>
  <c r="I193" i="20"/>
  <c r="D193" i="20"/>
  <c r="J188" i="60" l="1"/>
  <c r="K187" i="60"/>
  <c r="L187" i="60" s="1"/>
  <c r="M187" i="60" s="1"/>
  <c r="N187" i="60" s="1"/>
  <c r="E187" i="60" s="1"/>
  <c r="K197" i="20"/>
  <c r="L197" i="20" s="1"/>
  <c r="M197" i="20" s="1"/>
  <c r="N197" i="20" s="1"/>
  <c r="E197" i="20" s="1"/>
  <c r="J198" i="20"/>
  <c r="A186" i="60"/>
  <c r="D186" i="60"/>
  <c r="I186" i="60"/>
  <c r="A194" i="20"/>
  <c r="D194" i="20"/>
  <c r="I194" i="20"/>
  <c r="K188" i="60" l="1"/>
  <c r="L188" i="60" s="1"/>
  <c r="M188" i="60" s="1"/>
  <c r="N188" i="60" s="1"/>
  <c r="E188" i="60" s="1"/>
  <c r="J189" i="60"/>
  <c r="J199" i="20"/>
  <c r="K198" i="20"/>
  <c r="L198" i="20" s="1"/>
  <c r="M198" i="20" s="1"/>
  <c r="N198" i="20" s="1"/>
  <c r="E198" i="20" s="1"/>
  <c r="D187" i="60"/>
  <c r="I187" i="60"/>
  <c r="A187" i="60"/>
  <c r="A195" i="20"/>
  <c r="I195" i="20"/>
  <c r="D195" i="20"/>
  <c r="K189" i="60" l="1"/>
  <c r="L189" i="60" s="1"/>
  <c r="M189" i="60" s="1"/>
  <c r="N189" i="60" s="1"/>
  <c r="E189" i="60" s="1"/>
  <c r="J190" i="60"/>
  <c r="K199" i="20"/>
  <c r="L199" i="20" s="1"/>
  <c r="M199" i="20" s="1"/>
  <c r="N199" i="20" s="1"/>
  <c r="E199" i="20" s="1"/>
  <c r="J200" i="20"/>
  <c r="D188" i="60"/>
  <c r="I188" i="60"/>
  <c r="A188" i="60"/>
  <c r="A196" i="20"/>
  <c r="D196" i="20"/>
  <c r="I196" i="20"/>
  <c r="K190" i="60" l="1"/>
  <c r="L190" i="60" s="1"/>
  <c r="M190" i="60" s="1"/>
  <c r="N190" i="60" s="1"/>
  <c r="E190" i="60" s="1"/>
  <c r="J191" i="60"/>
  <c r="J201" i="20"/>
  <c r="K200" i="20"/>
  <c r="L200" i="20" s="1"/>
  <c r="M200" i="20" s="1"/>
  <c r="N200" i="20" s="1"/>
  <c r="E200" i="20" s="1"/>
  <c r="A189" i="60"/>
  <c r="D189" i="60"/>
  <c r="I189" i="60"/>
  <c r="A197" i="20"/>
  <c r="D197" i="20"/>
  <c r="I197" i="20"/>
  <c r="K191" i="60" l="1"/>
  <c r="L191" i="60" s="1"/>
  <c r="M191" i="60" s="1"/>
  <c r="N191" i="60" s="1"/>
  <c r="E191" i="60" s="1"/>
  <c r="J192" i="60"/>
  <c r="J202" i="20"/>
  <c r="K201" i="20"/>
  <c r="L201" i="20" s="1"/>
  <c r="M201" i="20" s="1"/>
  <c r="N201" i="20" s="1"/>
  <c r="E201" i="20" s="1"/>
  <c r="A190" i="60"/>
  <c r="D190" i="60"/>
  <c r="I190" i="60"/>
  <c r="A198" i="20"/>
  <c r="I198" i="20"/>
  <c r="D198" i="20"/>
  <c r="K192" i="60" l="1"/>
  <c r="L192" i="60" s="1"/>
  <c r="M192" i="60" s="1"/>
  <c r="N192" i="60" s="1"/>
  <c r="E192" i="60" s="1"/>
  <c r="J193" i="60"/>
  <c r="J203" i="20"/>
  <c r="K202" i="20"/>
  <c r="L202" i="20" s="1"/>
  <c r="M202" i="20" s="1"/>
  <c r="N202" i="20" s="1"/>
  <c r="E202" i="20" s="1"/>
  <c r="A191" i="60"/>
  <c r="D191" i="60"/>
  <c r="I191" i="60"/>
  <c r="A199" i="20"/>
  <c r="I199" i="20"/>
  <c r="D199" i="20"/>
  <c r="K193" i="60" l="1"/>
  <c r="L193" i="60" s="1"/>
  <c r="M193" i="60" s="1"/>
  <c r="N193" i="60" s="1"/>
  <c r="E193" i="60" s="1"/>
  <c r="J194" i="60"/>
  <c r="J204" i="20"/>
  <c r="K203" i="20"/>
  <c r="L203" i="20" s="1"/>
  <c r="M203" i="20" s="1"/>
  <c r="N203" i="20" s="1"/>
  <c r="E203" i="20" s="1"/>
  <c r="D192" i="60"/>
  <c r="A192" i="60"/>
  <c r="I192" i="60"/>
  <c r="A200" i="20"/>
  <c r="I200" i="20"/>
  <c r="D200" i="20"/>
  <c r="J195" i="60" l="1"/>
  <c r="K194" i="60"/>
  <c r="L194" i="60" s="1"/>
  <c r="M194" i="60" s="1"/>
  <c r="N194" i="60" s="1"/>
  <c r="E194" i="60" s="1"/>
  <c r="K204" i="20"/>
  <c r="L204" i="20" s="1"/>
  <c r="M204" i="20" s="1"/>
  <c r="N204" i="20" s="1"/>
  <c r="E204" i="20" s="1"/>
  <c r="J205" i="20"/>
  <c r="A193" i="60"/>
  <c r="D193" i="60"/>
  <c r="I193" i="60"/>
  <c r="A201" i="20"/>
  <c r="I201" i="20"/>
  <c r="D201" i="20"/>
  <c r="K195" i="60" l="1"/>
  <c r="L195" i="60" s="1"/>
  <c r="M195" i="60" s="1"/>
  <c r="N195" i="60" s="1"/>
  <c r="E195" i="60" s="1"/>
  <c r="J196" i="60"/>
  <c r="K205" i="20"/>
  <c r="L205" i="20" s="1"/>
  <c r="M205" i="20" s="1"/>
  <c r="N205" i="20" s="1"/>
  <c r="E205" i="20" s="1"/>
  <c r="J206" i="20"/>
  <c r="I194" i="60"/>
  <c r="D194" i="60"/>
  <c r="A194" i="60"/>
  <c r="A202" i="20"/>
  <c r="D202" i="20"/>
  <c r="I202" i="20"/>
  <c r="K196" i="60" l="1"/>
  <c r="L196" i="60" s="1"/>
  <c r="M196" i="60" s="1"/>
  <c r="N196" i="60" s="1"/>
  <c r="E196" i="60" s="1"/>
  <c r="J197" i="60"/>
  <c r="J207" i="20"/>
  <c r="K206" i="20"/>
  <c r="L206" i="20" s="1"/>
  <c r="M206" i="20" s="1"/>
  <c r="N206" i="20" s="1"/>
  <c r="E206" i="20" s="1"/>
  <c r="D195" i="60"/>
  <c r="A195" i="60"/>
  <c r="I195" i="60"/>
  <c r="A203" i="20"/>
  <c r="D203" i="20"/>
  <c r="I203" i="20"/>
  <c r="J198" i="60" l="1"/>
  <c r="K197" i="60"/>
  <c r="L197" i="60" s="1"/>
  <c r="M197" i="60" s="1"/>
  <c r="N197" i="60" s="1"/>
  <c r="E197" i="60" s="1"/>
  <c r="J208" i="20"/>
  <c r="K207" i="20"/>
  <c r="L207" i="20" s="1"/>
  <c r="M207" i="20" s="1"/>
  <c r="N207" i="20" s="1"/>
  <c r="E207" i="20" s="1"/>
  <c r="D196" i="60"/>
  <c r="I196" i="60"/>
  <c r="A196" i="60"/>
  <c r="A204" i="20"/>
  <c r="I204" i="20"/>
  <c r="D204" i="20"/>
  <c r="K198" i="60" l="1"/>
  <c r="L198" i="60" s="1"/>
  <c r="M198" i="60" s="1"/>
  <c r="N198" i="60" s="1"/>
  <c r="E198" i="60" s="1"/>
  <c r="J199" i="60"/>
  <c r="J209" i="20"/>
  <c r="K208" i="20"/>
  <c r="L208" i="20" s="1"/>
  <c r="M208" i="20" s="1"/>
  <c r="N208" i="20" s="1"/>
  <c r="E208" i="20" s="1"/>
  <c r="A197" i="60"/>
  <c r="D197" i="60"/>
  <c r="I197" i="60"/>
  <c r="A205" i="20"/>
  <c r="D205" i="20"/>
  <c r="I205" i="20"/>
  <c r="K199" i="60" l="1"/>
  <c r="L199" i="60" s="1"/>
  <c r="M199" i="60" s="1"/>
  <c r="N199" i="60" s="1"/>
  <c r="E199" i="60" s="1"/>
  <c r="J200" i="60"/>
  <c r="K209" i="20"/>
  <c r="L209" i="20" s="1"/>
  <c r="M209" i="20" s="1"/>
  <c r="N209" i="20" s="1"/>
  <c r="E209" i="20" s="1"/>
  <c r="J210" i="20"/>
  <c r="A198" i="60"/>
  <c r="I198" i="60"/>
  <c r="D198" i="60"/>
  <c r="A206" i="20"/>
  <c r="D206" i="20"/>
  <c r="I206" i="20"/>
  <c r="J201" i="60" l="1"/>
  <c r="K200" i="60"/>
  <c r="L200" i="60" s="1"/>
  <c r="M200" i="60" s="1"/>
  <c r="N200" i="60" s="1"/>
  <c r="E200" i="60" s="1"/>
  <c r="K210" i="20"/>
  <c r="L210" i="20" s="1"/>
  <c r="M210" i="20" s="1"/>
  <c r="N210" i="20" s="1"/>
  <c r="E210" i="20" s="1"/>
  <c r="J211" i="20"/>
  <c r="A199" i="60"/>
  <c r="I199" i="60"/>
  <c r="D199" i="60"/>
  <c r="A207" i="20"/>
  <c r="I207" i="20"/>
  <c r="D207" i="20"/>
  <c r="K201" i="60" l="1"/>
  <c r="L201" i="60" s="1"/>
  <c r="M201" i="60" s="1"/>
  <c r="N201" i="60" s="1"/>
  <c r="E201" i="60" s="1"/>
  <c r="J202" i="60"/>
  <c r="K211" i="20"/>
  <c r="L211" i="20" s="1"/>
  <c r="M211" i="20" s="1"/>
  <c r="N211" i="20" s="1"/>
  <c r="E211" i="20" s="1"/>
  <c r="J212" i="20"/>
  <c r="I200" i="60"/>
  <c r="D200" i="60"/>
  <c r="A200" i="60"/>
  <c r="A208" i="20"/>
  <c r="I208" i="20"/>
  <c r="D208" i="20"/>
  <c r="K202" i="60" l="1"/>
  <c r="L202" i="60" s="1"/>
  <c r="M202" i="60" s="1"/>
  <c r="N202" i="60" s="1"/>
  <c r="E202" i="60" s="1"/>
  <c r="J203" i="60"/>
  <c r="K212" i="20"/>
  <c r="L212" i="20" s="1"/>
  <c r="M212" i="20" s="1"/>
  <c r="N212" i="20" s="1"/>
  <c r="E212" i="20" s="1"/>
  <c r="J213" i="20"/>
  <c r="A201" i="60"/>
  <c r="D201" i="60"/>
  <c r="I201" i="60"/>
  <c r="A209" i="20"/>
  <c r="D209" i="20"/>
  <c r="I209" i="20"/>
  <c r="J204" i="60" l="1"/>
  <c r="K203" i="60"/>
  <c r="L203" i="60" s="1"/>
  <c r="M203" i="60" s="1"/>
  <c r="N203" i="60" s="1"/>
  <c r="E203" i="60" s="1"/>
  <c r="J214" i="20"/>
  <c r="K213" i="20"/>
  <c r="L213" i="20" s="1"/>
  <c r="M213" i="20" s="1"/>
  <c r="N213" i="20" s="1"/>
  <c r="E213" i="20" s="1"/>
  <c r="A202" i="60"/>
  <c r="I202" i="60"/>
  <c r="D202" i="60"/>
  <c r="A210" i="20"/>
  <c r="D210" i="20"/>
  <c r="I210" i="20"/>
  <c r="K204" i="60" l="1"/>
  <c r="L204" i="60" s="1"/>
  <c r="M204" i="60" s="1"/>
  <c r="N204" i="60" s="1"/>
  <c r="E204" i="60" s="1"/>
  <c r="J205" i="60"/>
  <c r="J215" i="20"/>
  <c r="K214" i="20"/>
  <c r="L214" i="20" s="1"/>
  <c r="M214" i="20" s="1"/>
  <c r="N214" i="20" s="1"/>
  <c r="E214" i="20" s="1"/>
  <c r="A203" i="60"/>
  <c r="D203" i="60"/>
  <c r="I203" i="60"/>
  <c r="A211" i="20"/>
  <c r="I211" i="20"/>
  <c r="D211" i="20"/>
  <c r="K205" i="60" l="1"/>
  <c r="L205" i="60" s="1"/>
  <c r="M205" i="60" s="1"/>
  <c r="N205" i="60" s="1"/>
  <c r="E205" i="60" s="1"/>
  <c r="J206" i="60"/>
  <c r="K215" i="20"/>
  <c r="L215" i="20" s="1"/>
  <c r="M215" i="20" s="1"/>
  <c r="N215" i="20" s="1"/>
  <c r="E215" i="20" s="1"/>
  <c r="J216" i="20"/>
  <c r="D204" i="60"/>
  <c r="I204" i="60"/>
  <c r="A204" i="60"/>
  <c r="A212" i="20"/>
  <c r="I212" i="20"/>
  <c r="D212" i="20"/>
  <c r="J207" i="60" l="1"/>
  <c r="K206" i="60"/>
  <c r="L206" i="60" s="1"/>
  <c r="M206" i="60" s="1"/>
  <c r="N206" i="60" s="1"/>
  <c r="E206" i="60" s="1"/>
  <c r="J217" i="20"/>
  <c r="K216" i="20"/>
  <c r="L216" i="20" s="1"/>
  <c r="M216" i="20" s="1"/>
  <c r="N216" i="20" s="1"/>
  <c r="E216" i="20" s="1"/>
  <c r="A205" i="60"/>
  <c r="D205" i="60"/>
  <c r="I205" i="60"/>
  <c r="A213" i="20"/>
  <c r="I213" i="20"/>
  <c r="D213" i="20"/>
  <c r="K207" i="60" l="1"/>
  <c r="L207" i="60" s="1"/>
  <c r="M207" i="60" s="1"/>
  <c r="N207" i="60" s="1"/>
  <c r="E207" i="60" s="1"/>
  <c r="J208" i="60"/>
  <c r="J218" i="20"/>
  <c r="K217" i="20"/>
  <c r="L217" i="20" s="1"/>
  <c r="M217" i="20" s="1"/>
  <c r="N217" i="20" s="1"/>
  <c r="E217" i="20" s="1"/>
  <c r="A206" i="60"/>
  <c r="I206" i="60"/>
  <c r="D206" i="60"/>
  <c r="A214" i="20"/>
  <c r="I214" i="20"/>
  <c r="D214" i="20"/>
  <c r="J209" i="60" l="1"/>
  <c r="K208" i="60"/>
  <c r="L208" i="60" s="1"/>
  <c r="M208" i="60" s="1"/>
  <c r="N208" i="60" s="1"/>
  <c r="E208" i="60" s="1"/>
  <c r="K218" i="20"/>
  <c r="L218" i="20" s="1"/>
  <c r="M218" i="20" s="1"/>
  <c r="N218" i="20" s="1"/>
  <c r="E218" i="20" s="1"/>
  <c r="J219" i="20"/>
  <c r="D207" i="60"/>
  <c r="A207" i="60"/>
  <c r="I207" i="60"/>
  <c r="A215" i="20"/>
  <c r="I215" i="20"/>
  <c r="D215" i="20"/>
  <c r="K209" i="60" l="1"/>
  <c r="L209" i="60" s="1"/>
  <c r="M209" i="60" s="1"/>
  <c r="N209" i="60" s="1"/>
  <c r="E209" i="60" s="1"/>
  <c r="J210" i="60"/>
  <c r="K219" i="20"/>
  <c r="L219" i="20" s="1"/>
  <c r="M219" i="20" s="1"/>
  <c r="N219" i="20" s="1"/>
  <c r="E219" i="20" s="1"/>
  <c r="J220" i="20"/>
  <c r="I208" i="60"/>
  <c r="A208" i="60"/>
  <c r="D208" i="60"/>
  <c r="A216" i="20"/>
  <c r="I216" i="20"/>
  <c r="D216" i="20"/>
  <c r="J211" i="60" l="1"/>
  <c r="K210" i="60"/>
  <c r="L210" i="60" s="1"/>
  <c r="M210" i="60" s="1"/>
  <c r="N210" i="60" s="1"/>
  <c r="E210" i="60" s="1"/>
  <c r="K220" i="20"/>
  <c r="L220" i="20" s="1"/>
  <c r="M220" i="20" s="1"/>
  <c r="N220" i="20" s="1"/>
  <c r="E220" i="20" s="1"/>
  <c r="J221" i="20"/>
  <c r="A209" i="60"/>
  <c r="D209" i="60"/>
  <c r="I209" i="60"/>
  <c r="A217" i="20"/>
  <c r="I217" i="20"/>
  <c r="D217" i="20"/>
  <c r="K211" i="60" l="1"/>
  <c r="L211" i="60" s="1"/>
  <c r="M211" i="60" s="1"/>
  <c r="N211" i="60" s="1"/>
  <c r="E211" i="60" s="1"/>
  <c r="J212" i="60"/>
  <c r="K221" i="20"/>
  <c r="L221" i="20" s="1"/>
  <c r="M221" i="20" s="1"/>
  <c r="N221" i="20" s="1"/>
  <c r="E221" i="20" s="1"/>
  <c r="J222" i="20"/>
  <c r="A210" i="60"/>
  <c r="D210" i="60"/>
  <c r="I210" i="60"/>
  <c r="A218" i="20"/>
  <c r="I218" i="20"/>
  <c r="D218" i="20"/>
  <c r="K212" i="60" l="1"/>
  <c r="L212" i="60" s="1"/>
  <c r="M212" i="60" s="1"/>
  <c r="N212" i="60" s="1"/>
  <c r="E212" i="60" s="1"/>
  <c r="J213" i="60"/>
  <c r="J223" i="20"/>
  <c r="K222" i="20"/>
  <c r="L222" i="20" s="1"/>
  <c r="M222" i="20" s="1"/>
  <c r="N222" i="20" s="1"/>
  <c r="E222" i="20" s="1"/>
  <c r="A211" i="60"/>
  <c r="D211" i="60"/>
  <c r="I211" i="60"/>
  <c r="A219" i="20"/>
  <c r="I219" i="20"/>
  <c r="D219" i="20"/>
  <c r="K213" i="60" l="1"/>
  <c r="L213" i="60" s="1"/>
  <c r="M213" i="60" s="1"/>
  <c r="N213" i="60" s="1"/>
  <c r="E213" i="60" s="1"/>
  <c r="J214" i="60"/>
  <c r="K223" i="20"/>
  <c r="L223" i="20" s="1"/>
  <c r="M223" i="20" s="1"/>
  <c r="N223" i="20" s="1"/>
  <c r="E223" i="20" s="1"/>
  <c r="J224" i="20"/>
  <c r="D212" i="60"/>
  <c r="A212" i="60"/>
  <c r="I212" i="60"/>
  <c r="A220" i="20"/>
  <c r="D220" i="20"/>
  <c r="I220" i="20"/>
  <c r="K214" i="60" l="1"/>
  <c r="L214" i="60" s="1"/>
  <c r="M214" i="60" s="1"/>
  <c r="N214" i="60" s="1"/>
  <c r="E214" i="60" s="1"/>
  <c r="J215" i="60"/>
  <c r="J225" i="20"/>
  <c r="K224" i="20"/>
  <c r="L224" i="20" s="1"/>
  <c r="M224" i="20" s="1"/>
  <c r="N224" i="20" s="1"/>
  <c r="E224" i="20" s="1"/>
  <c r="I213" i="60"/>
  <c r="D213" i="60"/>
  <c r="A213" i="60"/>
  <c r="A221" i="20"/>
  <c r="D221" i="20"/>
  <c r="I221" i="20"/>
  <c r="K215" i="60" l="1"/>
  <c r="L215" i="60" s="1"/>
  <c r="M215" i="60" s="1"/>
  <c r="N215" i="60" s="1"/>
  <c r="E215" i="60" s="1"/>
  <c r="J216" i="60"/>
  <c r="K225" i="20"/>
  <c r="L225" i="20" s="1"/>
  <c r="M225" i="20" s="1"/>
  <c r="N225" i="20" s="1"/>
  <c r="E225" i="20" s="1"/>
  <c r="J226" i="20"/>
  <c r="A214" i="60"/>
  <c r="D214" i="60"/>
  <c r="I214" i="60"/>
  <c r="A222" i="20"/>
  <c r="I222" i="20"/>
  <c r="D222" i="20"/>
  <c r="J217" i="60" l="1"/>
  <c r="K216" i="60"/>
  <c r="L216" i="60" s="1"/>
  <c r="M216" i="60" s="1"/>
  <c r="N216" i="60" s="1"/>
  <c r="E216" i="60" s="1"/>
  <c r="K226" i="20"/>
  <c r="L226" i="20" s="1"/>
  <c r="M226" i="20" s="1"/>
  <c r="N226" i="20" s="1"/>
  <c r="E226" i="20" s="1"/>
  <c r="J227" i="20"/>
  <c r="D215" i="60"/>
  <c r="A215" i="60"/>
  <c r="I215" i="60"/>
  <c r="A223" i="20"/>
  <c r="D223" i="20"/>
  <c r="I223" i="20"/>
  <c r="J218" i="60" l="1"/>
  <c r="K217" i="60"/>
  <c r="L217" i="60" s="1"/>
  <c r="M217" i="60" s="1"/>
  <c r="N217" i="60" s="1"/>
  <c r="E217" i="60" s="1"/>
  <c r="K227" i="20"/>
  <c r="L227" i="20" s="1"/>
  <c r="M227" i="20" s="1"/>
  <c r="N227" i="20" s="1"/>
  <c r="E227" i="20" s="1"/>
  <c r="J228" i="20"/>
  <c r="A216" i="60"/>
  <c r="D216" i="60"/>
  <c r="I216" i="60"/>
  <c r="A224" i="20"/>
  <c r="I224" i="20"/>
  <c r="D224" i="20"/>
  <c r="K218" i="60" l="1"/>
  <c r="L218" i="60" s="1"/>
  <c r="M218" i="60" s="1"/>
  <c r="N218" i="60" s="1"/>
  <c r="E218" i="60" s="1"/>
  <c r="J219" i="60"/>
  <c r="K228" i="20"/>
  <c r="L228" i="20" s="1"/>
  <c r="M228" i="20" s="1"/>
  <c r="N228" i="20" s="1"/>
  <c r="E228" i="20" s="1"/>
  <c r="J229" i="20"/>
  <c r="A217" i="60"/>
  <c r="D217" i="60"/>
  <c r="I217" i="60"/>
  <c r="A225" i="20"/>
  <c r="I225" i="20"/>
  <c r="D225" i="20"/>
  <c r="J220" i="60" l="1"/>
  <c r="K219" i="60"/>
  <c r="L219" i="60" s="1"/>
  <c r="M219" i="60" s="1"/>
  <c r="N219" i="60" s="1"/>
  <c r="E219" i="60" s="1"/>
  <c r="J230" i="20"/>
  <c r="K229" i="20"/>
  <c r="L229" i="20" s="1"/>
  <c r="M229" i="20" s="1"/>
  <c r="N229" i="20" s="1"/>
  <c r="E229" i="20" s="1"/>
  <c r="A218" i="60"/>
  <c r="I218" i="60"/>
  <c r="D218" i="60"/>
  <c r="A226" i="20"/>
  <c r="D226" i="20"/>
  <c r="I226" i="20"/>
  <c r="K220" i="60" l="1"/>
  <c r="L220" i="60" s="1"/>
  <c r="M220" i="60" s="1"/>
  <c r="N220" i="60" s="1"/>
  <c r="E220" i="60" s="1"/>
  <c r="J221" i="60"/>
  <c r="J231" i="20"/>
  <c r="K230" i="20"/>
  <c r="L230" i="20" s="1"/>
  <c r="M230" i="20" s="1"/>
  <c r="N230" i="20" s="1"/>
  <c r="E230" i="20" s="1"/>
  <c r="D219" i="60"/>
  <c r="I219" i="60"/>
  <c r="A219" i="60"/>
  <c r="A227" i="20"/>
  <c r="I227" i="20"/>
  <c r="D227" i="20"/>
  <c r="K221" i="60" l="1"/>
  <c r="L221" i="60" s="1"/>
  <c r="M221" i="60" s="1"/>
  <c r="N221" i="60" s="1"/>
  <c r="E221" i="60" s="1"/>
  <c r="J222" i="60"/>
  <c r="K231" i="20"/>
  <c r="L231" i="20" s="1"/>
  <c r="M231" i="20" s="1"/>
  <c r="N231" i="20" s="1"/>
  <c r="E231" i="20" s="1"/>
  <c r="J232" i="20"/>
  <c r="D220" i="60"/>
  <c r="I220" i="60"/>
  <c r="A220" i="60"/>
  <c r="A228" i="20"/>
  <c r="I228" i="20"/>
  <c r="D228" i="20"/>
  <c r="K222" i="60" l="1"/>
  <c r="L222" i="60" s="1"/>
  <c r="M222" i="60" s="1"/>
  <c r="N222" i="60" s="1"/>
  <c r="E222" i="60" s="1"/>
  <c r="J223" i="60"/>
  <c r="K232" i="20"/>
  <c r="L232" i="20" s="1"/>
  <c r="M232" i="20" s="1"/>
  <c r="N232" i="20" s="1"/>
  <c r="E232" i="20" s="1"/>
  <c r="J233" i="20"/>
  <c r="A221" i="60"/>
  <c r="D221" i="60"/>
  <c r="I221" i="60"/>
  <c r="A229" i="20"/>
  <c r="D229" i="20"/>
  <c r="I229" i="20"/>
  <c r="K223" i="60" l="1"/>
  <c r="L223" i="60" s="1"/>
  <c r="M223" i="60" s="1"/>
  <c r="N223" i="60" s="1"/>
  <c r="E223" i="60" s="1"/>
  <c r="J224" i="60"/>
  <c r="J234" i="20"/>
  <c r="K233" i="20"/>
  <c r="L233" i="20" s="1"/>
  <c r="M233" i="20" s="1"/>
  <c r="N233" i="20" s="1"/>
  <c r="E233" i="20" s="1"/>
  <c r="D222" i="60"/>
  <c r="I222" i="60"/>
  <c r="A222" i="60"/>
  <c r="A230" i="20"/>
  <c r="I230" i="20"/>
  <c r="D230" i="20"/>
  <c r="J225" i="60" l="1"/>
  <c r="K224" i="60"/>
  <c r="L224" i="60" s="1"/>
  <c r="M224" i="60" s="1"/>
  <c r="N224" i="60" s="1"/>
  <c r="E224" i="60" s="1"/>
  <c r="K234" i="20"/>
  <c r="L234" i="20" s="1"/>
  <c r="M234" i="20" s="1"/>
  <c r="N234" i="20" s="1"/>
  <c r="E234" i="20" s="1"/>
  <c r="J235" i="20"/>
  <c r="A223" i="60"/>
  <c r="D223" i="60"/>
  <c r="I223" i="60"/>
  <c r="A231" i="20"/>
  <c r="I231" i="20"/>
  <c r="D231" i="20"/>
  <c r="K225" i="60" l="1"/>
  <c r="L225" i="60" s="1"/>
  <c r="M225" i="60" s="1"/>
  <c r="N225" i="60" s="1"/>
  <c r="E225" i="60" s="1"/>
  <c r="J226" i="60"/>
  <c r="K235" i="20"/>
  <c r="L235" i="20" s="1"/>
  <c r="M235" i="20" s="1"/>
  <c r="N235" i="20" s="1"/>
  <c r="E235" i="20" s="1"/>
  <c r="J236" i="20"/>
  <c r="A224" i="60"/>
  <c r="D224" i="60"/>
  <c r="I224" i="60"/>
  <c r="A232" i="20"/>
  <c r="I232" i="20"/>
  <c r="D232" i="20"/>
  <c r="K226" i="60" l="1"/>
  <c r="L226" i="60" s="1"/>
  <c r="M226" i="60" s="1"/>
  <c r="N226" i="60" s="1"/>
  <c r="E226" i="60" s="1"/>
  <c r="J227" i="60"/>
  <c r="K236" i="20"/>
  <c r="L236" i="20" s="1"/>
  <c r="M236" i="20" s="1"/>
  <c r="N236" i="20" s="1"/>
  <c r="E236" i="20" s="1"/>
  <c r="J237" i="20"/>
  <c r="I225" i="60"/>
  <c r="A225" i="60"/>
  <c r="D225" i="60"/>
  <c r="A233" i="20"/>
  <c r="D233" i="20"/>
  <c r="I233" i="20"/>
  <c r="K227" i="60" l="1"/>
  <c r="L227" i="60" s="1"/>
  <c r="M227" i="60" s="1"/>
  <c r="N227" i="60" s="1"/>
  <c r="E227" i="60" s="1"/>
  <c r="J228" i="60"/>
  <c r="K237" i="20"/>
  <c r="L237" i="20" s="1"/>
  <c r="M237" i="20" s="1"/>
  <c r="N237" i="20" s="1"/>
  <c r="E237" i="20" s="1"/>
  <c r="J238" i="20"/>
  <c r="A226" i="60"/>
  <c r="D226" i="60"/>
  <c r="I226" i="60"/>
  <c r="A234" i="20"/>
  <c r="D234" i="20"/>
  <c r="I234" i="20"/>
  <c r="J229" i="60" l="1"/>
  <c r="K228" i="60"/>
  <c r="L228" i="60" s="1"/>
  <c r="M228" i="60" s="1"/>
  <c r="N228" i="60" s="1"/>
  <c r="E228" i="60" s="1"/>
  <c r="J239" i="20"/>
  <c r="K238" i="20"/>
  <c r="L238" i="20" s="1"/>
  <c r="M238" i="20" s="1"/>
  <c r="N238" i="20" s="1"/>
  <c r="E238" i="20" s="1"/>
  <c r="D227" i="60"/>
  <c r="I227" i="60"/>
  <c r="A227" i="60"/>
  <c r="A235" i="20"/>
  <c r="D235" i="20"/>
  <c r="I235" i="20"/>
  <c r="K229" i="60" l="1"/>
  <c r="L229" i="60" s="1"/>
  <c r="M229" i="60" s="1"/>
  <c r="N229" i="60" s="1"/>
  <c r="E229" i="60" s="1"/>
  <c r="J230" i="60"/>
  <c r="K239" i="20"/>
  <c r="L239" i="20" s="1"/>
  <c r="M239" i="20" s="1"/>
  <c r="N239" i="20" s="1"/>
  <c r="E239" i="20" s="1"/>
  <c r="J240" i="20"/>
  <c r="A228" i="60"/>
  <c r="D228" i="60"/>
  <c r="I228" i="60"/>
  <c r="A236" i="20"/>
  <c r="I236" i="20"/>
  <c r="D236" i="20"/>
  <c r="K230" i="60" l="1"/>
  <c r="L230" i="60" s="1"/>
  <c r="M230" i="60" s="1"/>
  <c r="N230" i="60" s="1"/>
  <c r="E230" i="60" s="1"/>
  <c r="J231" i="60"/>
  <c r="K240" i="20"/>
  <c r="L240" i="20" s="1"/>
  <c r="M240" i="20" s="1"/>
  <c r="N240" i="20" s="1"/>
  <c r="E240" i="20" s="1"/>
  <c r="J241" i="20"/>
  <c r="A229" i="60"/>
  <c r="D229" i="60"/>
  <c r="I229" i="60"/>
  <c r="A237" i="20"/>
  <c r="D237" i="20"/>
  <c r="I237" i="20"/>
  <c r="K231" i="60" l="1"/>
  <c r="L231" i="60" s="1"/>
  <c r="M231" i="60" s="1"/>
  <c r="N231" i="60" s="1"/>
  <c r="E231" i="60" s="1"/>
  <c r="J232" i="60"/>
  <c r="J242" i="20"/>
  <c r="K241" i="20"/>
  <c r="L241" i="20" s="1"/>
  <c r="M241" i="20" s="1"/>
  <c r="N241" i="20" s="1"/>
  <c r="E241" i="20" s="1"/>
  <c r="I230" i="60"/>
  <c r="A230" i="60"/>
  <c r="D230" i="60"/>
  <c r="A238" i="20"/>
  <c r="D238" i="20"/>
  <c r="I238" i="20"/>
  <c r="J233" i="60" l="1"/>
  <c r="K232" i="60"/>
  <c r="L232" i="60" s="1"/>
  <c r="M232" i="60" s="1"/>
  <c r="N232" i="60" s="1"/>
  <c r="E232" i="60" s="1"/>
  <c r="K242" i="20"/>
  <c r="L242" i="20" s="1"/>
  <c r="M242" i="20" s="1"/>
  <c r="N242" i="20" s="1"/>
  <c r="E242" i="20" s="1"/>
  <c r="J243" i="20"/>
  <c r="A231" i="60"/>
  <c r="D231" i="60"/>
  <c r="I231" i="60"/>
  <c r="A239" i="20"/>
  <c r="D239" i="20"/>
  <c r="I239" i="20"/>
  <c r="J234" i="60" l="1"/>
  <c r="K233" i="60"/>
  <c r="L233" i="60" s="1"/>
  <c r="M233" i="60" s="1"/>
  <c r="N233" i="60" s="1"/>
  <c r="E233" i="60" s="1"/>
  <c r="K243" i="20"/>
  <c r="L243" i="20" s="1"/>
  <c r="M243" i="20" s="1"/>
  <c r="N243" i="20" s="1"/>
  <c r="E243" i="20" s="1"/>
  <c r="J244" i="20"/>
  <c r="A232" i="60"/>
  <c r="D232" i="60"/>
  <c r="I232" i="60"/>
  <c r="A240" i="20"/>
  <c r="D240" i="20"/>
  <c r="I240" i="20"/>
  <c r="K234" i="60" l="1"/>
  <c r="L234" i="60" s="1"/>
  <c r="M234" i="60" s="1"/>
  <c r="N234" i="60" s="1"/>
  <c r="E234" i="60" s="1"/>
  <c r="J235" i="60"/>
  <c r="K244" i="20"/>
  <c r="L244" i="20" s="1"/>
  <c r="M244" i="20" s="1"/>
  <c r="N244" i="20" s="1"/>
  <c r="E244" i="20" s="1"/>
  <c r="J245" i="20"/>
  <c r="A233" i="60"/>
  <c r="I233" i="60"/>
  <c r="D233" i="60"/>
  <c r="A241" i="20"/>
  <c r="D241" i="20"/>
  <c r="I241" i="20"/>
  <c r="J236" i="60" l="1"/>
  <c r="K235" i="60"/>
  <c r="L235" i="60" s="1"/>
  <c r="M235" i="60" s="1"/>
  <c r="N235" i="60" s="1"/>
  <c r="E235" i="60" s="1"/>
  <c r="K245" i="20"/>
  <c r="L245" i="20" s="1"/>
  <c r="M245" i="20" s="1"/>
  <c r="N245" i="20" s="1"/>
  <c r="E245" i="20" s="1"/>
  <c r="J246" i="20"/>
  <c r="A234" i="60"/>
  <c r="D234" i="60"/>
  <c r="I234" i="60"/>
  <c r="A242" i="20"/>
  <c r="I242" i="20"/>
  <c r="D242" i="20"/>
  <c r="K236" i="60" l="1"/>
  <c r="L236" i="60" s="1"/>
  <c r="M236" i="60" s="1"/>
  <c r="N236" i="60" s="1"/>
  <c r="E236" i="60" s="1"/>
  <c r="J237" i="60"/>
  <c r="J247" i="20"/>
  <c r="K246" i="20"/>
  <c r="L246" i="20" s="1"/>
  <c r="M246" i="20" s="1"/>
  <c r="N246" i="20" s="1"/>
  <c r="E246" i="20" s="1"/>
  <c r="I235" i="60"/>
  <c r="A235" i="60"/>
  <c r="D235" i="60"/>
  <c r="A243" i="20"/>
  <c r="I243" i="20"/>
  <c r="D243" i="20"/>
  <c r="K237" i="60" l="1"/>
  <c r="L237" i="60" s="1"/>
  <c r="M237" i="60" s="1"/>
  <c r="N237" i="60" s="1"/>
  <c r="E237" i="60" s="1"/>
  <c r="J238" i="60"/>
  <c r="K247" i="20"/>
  <c r="L247" i="20" s="1"/>
  <c r="M247" i="20" s="1"/>
  <c r="N247" i="20" s="1"/>
  <c r="E247" i="20" s="1"/>
  <c r="J248" i="20"/>
  <c r="A236" i="60"/>
  <c r="D236" i="60"/>
  <c r="I236" i="60"/>
  <c r="A244" i="20"/>
  <c r="I244" i="20"/>
  <c r="D244" i="20"/>
  <c r="J239" i="60" l="1"/>
  <c r="K238" i="60"/>
  <c r="L238" i="60" s="1"/>
  <c r="M238" i="60" s="1"/>
  <c r="N238" i="60" s="1"/>
  <c r="E238" i="60" s="1"/>
  <c r="J249" i="20"/>
  <c r="K248" i="20"/>
  <c r="L248" i="20" s="1"/>
  <c r="M248" i="20" s="1"/>
  <c r="N248" i="20" s="1"/>
  <c r="E248" i="20" s="1"/>
  <c r="A237" i="60"/>
  <c r="I237" i="60"/>
  <c r="D237" i="60"/>
  <c r="A245" i="20"/>
  <c r="I245" i="20"/>
  <c r="D245" i="20"/>
  <c r="K239" i="60" l="1"/>
  <c r="L239" i="60" s="1"/>
  <c r="M239" i="60" s="1"/>
  <c r="N239" i="60" s="1"/>
  <c r="E239" i="60" s="1"/>
  <c r="J240" i="60"/>
  <c r="K249" i="20"/>
  <c r="L249" i="20" s="1"/>
  <c r="M249" i="20" s="1"/>
  <c r="N249" i="20" s="1"/>
  <c r="E249" i="20" s="1"/>
  <c r="J250" i="20"/>
  <c r="I238" i="60"/>
  <c r="A238" i="60"/>
  <c r="D238" i="60"/>
  <c r="A246" i="20"/>
  <c r="D246" i="20"/>
  <c r="I246" i="20"/>
  <c r="K240" i="60" l="1"/>
  <c r="L240" i="60" s="1"/>
  <c r="M240" i="60" s="1"/>
  <c r="N240" i="60" s="1"/>
  <c r="E240" i="60" s="1"/>
  <c r="J241" i="60"/>
  <c r="K250" i="20"/>
  <c r="L250" i="20" s="1"/>
  <c r="M250" i="20" s="1"/>
  <c r="N250" i="20" s="1"/>
  <c r="E250" i="20" s="1"/>
  <c r="J251" i="20"/>
  <c r="A239" i="60"/>
  <c r="D239" i="60"/>
  <c r="I239" i="60"/>
  <c r="A247" i="20"/>
  <c r="I247" i="20"/>
  <c r="D247" i="20"/>
  <c r="J242" i="60" l="1"/>
  <c r="K241" i="60"/>
  <c r="L241" i="60" s="1"/>
  <c r="M241" i="60" s="1"/>
  <c r="N241" i="60" s="1"/>
  <c r="E241" i="60" s="1"/>
  <c r="J252" i="20"/>
  <c r="K251" i="20"/>
  <c r="L251" i="20" s="1"/>
  <c r="M251" i="20" s="1"/>
  <c r="N251" i="20" s="1"/>
  <c r="E251" i="20" s="1"/>
  <c r="A240" i="60"/>
  <c r="D240" i="60"/>
  <c r="I240" i="60"/>
  <c r="A248" i="20"/>
  <c r="D248" i="20"/>
  <c r="I248" i="20"/>
  <c r="J243" i="60" l="1"/>
  <c r="K242" i="60"/>
  <c r="L242" i="60" s="1"/>
  <c r="M242" i="60" s="1"/>
  <c r="N242" i="60" s="1"/>
  <c r="E242" i="60" s="1"/>
  <c r="K252" i="20"/>
  <c r="L252" i="20" s="1"/>
  <c r="M252" i="20" s="1"/>
  <c r="N252" i="20" s="1"/>
  <c r="E252" i="20" s="1"/>
  <c r="J253" i="20"/>
  <c r="A241" i="60"/>
  <c r="D241" i="60"/>
  <c r="I241" i="60"/>
  <c r="A249" i="20"/>
  <c r="I249" i="20"/>
  <c r="D249" i="20"/>
  <c r="J244" i="60" l="1"/>
  <c r="K243" i="60"/>
  <c r="L243" i="60" s="1"/>
  <c r="M243" i="60" s="1"/>
  <c r="N243" i="60" s="1"/>
  <c r="E243" i="60" s="1"/>
  <c r="J254" i="20"/>
  <c r="K253" i="20"/>
  <c r="L253" i="20" s="1"/>
  <c r="M253" i="20" s="1"/>
  <c r="N253" i="20" s="1"/>
  <c r="E253" i="20" s="1"/>
  <c r="A242" i="60"/>
  <c r="I242" i="60"/>
  <c r="D242" i="60"/>
  <c r="A250" i="20"/>
  <c r="I250" i="20"/>
  <c r="D250" i="20"/>
  <c r="K244" i="60" l="1"/>
  <c r="L244" i="60" s="1"/>
  <c r="M244" i="60" s="1"/>
  <c r="N244" i="60" s="1"/>
  <c r="E244" i="60" s="1"/>
  <c r="J245" i="60"/>
  <c r="K254" i="20"/>
  <c r="L254" i="20" s="1"/>
  <c r="M254" i="20" s="1"/>
  <c r="N254" i="20" s="1"/>
  <c r="E254" i="20" s="1"/>
  <c r="J255" i="20"/>
  <c r="A243" i="60"/>
  <c r="D243" i="60"/>
  <c r="I243" i="60"/>
  <c r="A251" i="20"/>
  <c r="I251" i="20"/>
  <c r="D251" i="20"/>
  <c r="K245" i="60" l="1"/>
  <c r="L245" i="60" s="1"/>
  <c r="M245" i="60" s="1"/>
  <c r="N245" i="60" s="1"/>
  <c r="E245" i="60" s="1"/>
  <c r="J246" i="60"/>
  <c r="J256" i="20"/>
  <c r="K255" i="20"/>
  <c r="L255" i="20" s="1"/>
  <c r="M255" i="20" s="1"/>
  <c r="N255" i="20" s="1"/>
  <c r="E255" i="20" s="1"/>
  <c r="A244" i="60"/>
  <c r="D244" i="60"/>
  <c r="I244" i="60"/>
  <c r="A252" i="20"/>
  <c r="D252" i="20"/>
  <c r="I252" i="20"/>
  <c r="K246" i="60" l="1"/>
  <c r="L246" i="60" s="1"/>
  <c r="M246" i="60" s="1"/>
  <c r="N246" i="60" s="1"/>
  <c r="E246" i="60" s="1"/>
  <c r="J247" i="60"/>
  <c r="K256" i="20"/>
  <c r="L256" i="20" s="1"/>
  <c r="M256" i="20" s="1"/>
  <c r="N256" i="20" s="1"/>
  <c r="E256" i="20" s="1"/>
  <c r="J257" i="20"/>
  <c r="A245" i="60"/>
  <c r="D245" i="60"/>
  <c r="I245" i="60"/>
  <c r="A253" i="20"/>
  <c r="D253" i="20"/>
  <c r="I253" i="20"/>
  <c r="K247" i="60" l="1"/>
  <c r="L247" i="60" s="1"/>
  <c r="M247" i="60" s="1"/>
  <c r="N247" i="60" s="1"/>
  <c r="E247" i="60" s="1"/>
  <c r="J248" i="60"/>
  <c r="K257" i="20"/>
  <c r="L257" i="20" s="1"/>
  <c r="M257" i="20" s="1"/>
  <c r="N257" i="20" s="1"/>
  <c r="E257" i="20" s="1"/>
  <c r="J258" i="20"/>
  <c r="I246" i="60"/>
  <c r="A246" i="60"/>
  <c r="D246" i="60"/>
  <c r="A254" i="20"/>
  <c r="I254" i="20"/>
  <c r="D254" i="20"/>
  <c r="J249" i="60" l="1"/>
  <c r="K248" i="60"/>
  <c r="L248" i="60" s="1"/>
  <c r="M248" i="60" s="1"/>
  <c r="N248" i="60" s="1"/>
  <c r="E248" i="60" s="1"/>
  <c r="J259" i="20"/>
  <c r="K258" i="20"/>
  <c r="L258" i="20" s="1"/>
  <c r="M258" i="20" s="1"/>
  <c r="N258" i="20" s="1"/>
  <c r="E258" i="20" s="1"/>
  <c r="A247" i="60"/>
  <c r="D247" i="60"/>
  <c r="I247" i="60"/>
  <c r="A255" i="20"/>
  <c r="D255" i="20"/>
  <c r="I255" i="20"/>
  <c r="J250" i="60" l="1"/>
  <c r="K249" i="60"/>
  <c r="L249" i="60" s="1"/>
  <c r="M249" i="60" s="1"/>
  <c r="N249" i="60" s="1"/>
  <c r="E249" i="60" s="1"/>
  <c r="J260" i="20"/>
  <c r="K259" i="20"/>
  <c r="L259" i="20" s="1"/>
  <c r="M259" i="20" s="1"/>
  <c r="N259" i="20" s="1"/>
  <c r="E259" i="20" s="1"/>
  <c r="A248" i="60"/>
  <c r="D248" i="60"/>
  <c r="I248" i="60"/>
  <c r="A256" i="20"/>
  <c r="I256" i="20"/>
  <c r="D256" i="20"/>
  <c r="K250" i="60" l="1"/>
  <c r="L250" i="60" s="1"/>
  <c r="M250" i="60" s="1"/>
  <c r="N250" i="60" s="1"/>
  <c r="E250" i="60" s="1"/>
  <c r="J251" i="60"/>
  <c r="K260" i="20"/>
  <c r="L260" i="20" s="1"/>
  <c r="M260" i="20" s="1"/>
  <c r="N260" i="20" s="1"/>
  <c r="E260" i="20" s="1"/>
  <c r="J261" i="20"/>
  <c r="A249" i="60"/>
  <c r="D249" i="60"/>
  <c r="I249" i="60"/>
  <c r="A257" i="20"/>
  <c r="I257" i="20"/>
  <c r="D257" i="20"/>
  <c r="J252" i="60" l="1"/>
  <c r="K251" i="60"/>
  <c r="L251" i="60" s="1"/>
  <c r="M251" i="60" s="1"/>
  <c r="N251" i="60" s="1"/>
  <c r="E251" i="60" s="1"/>
  <c r="K261" i="20"/>
  <c r="L261" i="20" s="1"/>
  <c r="M261" i="20" s="1"/>
  <c r="N261" i="20" s="1"/>
  <c r="E261" i="20" s="1"/>
  <c r="J262" i="20"/>
  <c r="D250" i="60"/>
  <c r="I250" i="60"/>
  <c r="A250" i="60"/>
  <c r="A258" i="20"/>
  <c r="I258" i="20"/>
  <c r="D258" i="20"/>
  <c r="K252" i="60" l="1"/>
  <c r="L252" i="60" s="1"/>
  <c r="M252" i="60" s="1"/>
  <c r="N252" i="60" s="1"/>
  <c r="E252" i="60" s="1"/>
  <c r="J253" i="60"/>
  <c r="J263" i="20"/>
  <c r="K262" i="20"/>
  <c r="L262" i="20" s="1"/>
  <c r="M262" i="20" s="1"/>
  <c r="N262" i="20" s="1"/>
  <c r="E262" i="20" s="1"/>
  <c r="I251" i="60"/>
  <c r="A251" i="60"/>
  <c r="D251" i="60"/>
  <c r="A259" i="20"/>
  <c r="I259" i="20"/>
  <c r="D259" i="20"/>
  <c r="K253" i="60" l="1"/>
  <c r="L253" i="60" s="1"/>
  <c r="M253" i="60" s="1"/>
  <c r="N253" i="60" s="1"/>
  <c r="E253" i="60" s="1"/>
  <c r="J254" i="60"/>
  <c r="K263" i="20"/>
  <c r="L263" i="20" s="1"/>
  <c r="M263" i="20" s="1"/>
  <c r="N263" i="20" s="1"/>
  <c r="E263" i="20" s="1"/>
  <c r="J264" i="20"/>
  <c r="A252" i="60"/>
  <c r="D252" i="60"/>
  <c r="I252" i="60"/>
  <c r="A260" i="20"/>
  <c r="D260" i="20"/>
  <c r="I260" i="20"/>
  <c r="K254" i="60" l="1"/>
  <c r="L254" i="60" s="1"/>
  <c r="M254" i="60" s="1"/>
  <c r="N254" i="60" s="1"/>
  <c r="E254" i="60" s="1"/>
  <c r="J255" i="60"/>
  <c r="K264" i="20"/>
  <c r="L264" i="20" s="1"/>
  <c r="M264" i="20" s="1"/>
  <c r="N264" i="20" s="1"/>
  <c r="E264" i="20" s="1"/>
  <c r="J265" i="20"/>
  <c r="A253" i="60"/>
  <c r="D253" i="60"/>
  <c r="I253" i="60"/>
  <c r="A261" i="20"/>
  <c r="I261" i="20"/>
  <c r="D261" i="20"/>
  <c r="K255" i="60" l="1"/>
  <c r="L255" i="60" s="1"/>
  <c r="M255" i="60" s="1"/>
  <c r="N255" i="60" s="1"/>
  <c r="E255" i="60" s="1"/>
  <c r="J256" i="60"/>
  <c r="K265" i="20"/>
  <c r="L265" i="20" s="1"/>
  <c r="M265" i="20" s="1"/>
  <c r="N265" i="20" s="1"/>
  <c r="E265" i="20" s="1"/>
  <c r="J266" i="20"/>
  <c r="I254" i="60"/>
  <c r="A254" i="60"/>
  <c r="D254" i="60"/>
  <c r="A262" i="20"/>
  <c r="D262" i="20"/>
  <c r="I262" i="20"/>
  <c r="J257" i="60" l="1"/>
  <c r="K256" i="60"/>
  <c r="L256" i="60" s="1"/>
  <c r="M256" i="60" s="1"/>
  <c r="N256" i="60" s="1"/>
  <c r="E256" i="60" s="1"/>
  <c r="K266" i="20"/>
  <c r="L266" i="20" s="1"/>
  <c r="M266" i="20" s="1"/>
  <c r="N266" i="20" s="1"/>
  <c r="E266" i="20" s="1"/>
  <c r="J267" i="20"/>
  <c r="A255" i="60"/>
  <c r="D255" i="60"/>
  <c r="I255" i="60"/>
  <c r="A263" i="20"/>
  <c r="I263" i="20"/>
  <c r="D263" i="20"/>
  <c r="J258" i="60" l="1"/>
  <c r="K257" i="60"/>
  <c r="L257" i="60" s="1"/>
  <c r="M257" i="60" s="1"/>
  <c r="N257" i="60" s="1"/>
  <c r="E257" i="60" s="1"/>
  <c r="K267" i="20"/>
  <c r="L267" i="20" s="1"/>
  <c r="M267" i="20" s="1"/>
  <c r="N267" i="20" s="1"/>
  <c r="E267" i="20" s="1"/>
  <c r="J268" i="20"/>
  <c r="A256" i="60"/>
  <c r="D256" i="60"/>
  <c r="I256" i="60"/>
  <c r="A264" i="20"/>
  <c r="I264" i="20"/>
  <c r="D264" i="20"/>
  <c r="J259" i="60" l="1"/>
  <c r="K258" i="60"/>
  <c r="L258" i="60" s="1"/>
  <c r="M258" i="60" s="1"/>
  <c r="N258" i="60" s="1"/>
  <c r="E258" i="60" s="1"/>
  <c r="K268" i="20"/>
  <c r="L268" i="20" s="1"/>
  <c r="M268" i="20" s="1"/>
  <c r="N268" i="20" s="1"/>
  <c r="E268" i="20" s="1"/>
  <c r="J269" i="20"/>
  <c r="A257" i="60"/>
  <c r="D257" i="60"/>
  <c r="I257" i="60"/>
  <c r="A265" i="20"/>
  <c r="D265" i="20"/>
  <c r="I265" i="20"/>
  <c r="J260" i="60" l="1"/>
  <c r="K259" i="60"/>
  <c r="L259" i="60" s="1"/>
  <c r="M259" i="60" s="1"/>
  <c r="N259" i="60" s="1"/>
  <c r="E259" i="60" s="1"/>
  <c r="K269" i="20"/>
  <c r="L269" i="20" s="1"/>
  <c r="M269" i="20" s="1"/>
  <c r="N269" i="20" s="1"/>
  <c r="E269" i="20" s="1"/>
  <c r="J270" i="20"/>
  <c r="A258" i="60"/>
  <c r="D258" i="60"/>
  <c r="I258" i="60"/>
  <c r="A266" i="20"/>
  <c r="I266" i="20"/>
  <c r="D266" i="20"/>
  <c r="K260" i="60" l="1"/>
  <c r="L260" i="60" s="1"/>
  <c r="M260" i="60" s="1"/>
  <c r="N260" i="60" s="1"/>
  <c r="E260" i="60" s="1"/>
  <c r="J261" i="60"/>
  <c r="J271" i="20"/>
  <c r="K270" i="20"/>
  <c r="L270" i="20" s="1"/>
  <c r="M270" i="20" s="1"/>
  <c r="N270" i="20" s="1"/>
  <c r="E270" i="20" s="1"/>
  <c r="I259" i="60"/>
  <c r="D259" i="60"/>
  <c r="A259" i="60"/>
  <c r="A267" i="20"/>
  <c r="D267" i="20"/>
  <c r="I267" i="20"/>
  <c r="K261" i="60" l="1"/>
  <c r="L261" i="60" s="1"/>
  <c r="M261" i="60" s="1"/>
  <c r="N261" i="60" s="1"/>
  <c r="E261" i="60" s="1"/>
  <c r="J262" i="60"/>
  <c r="K271" i="20"/>
  <c r="L271" i="20" s="1"/>
  <c r="M271" i="20" s="1"/>
  <c r="N271" i="20" s="1"/>
  <c r="E271" i="20" s="1"/>
  <c r="J272" i="20"/>
  <c r="A260" i="60"/>
  <c r="D260" i="60"/>
  <c r="I260" i="60"/>
  <c r="A268" i="20"/>
  <c r="D268" i="20"/>
  <c r="I268" i="20"/>
  <c r="K262" i="60" l="1"/>
  <c r="L262" i="60" s="1"/>
  <c r="M262" i="60" s="1"/>
  <c r="N262" i="60" s="1"/>
  <c r="E262" i="60" s="1"/>
  <c r="J263" i="60"/>
  <c r="K272" i="20"/>
  <c r="L272" i="20" s="1"/>
  <c r="M272" i="20" s="1"/>
  <c r="N272" i="20" s="1"/>
  <c r="E272" i="20" s="1"/>
  <c r="J273" i="20"/>
  <c r="A261" i="60"/>
  <c r="D261" i="60"/>
  <c r="I261" i="60"/>
  <c r="A269" i="20"/>
  <c r="I269" i="20"/>
  <c r="D269" i="20"/>
  <c r="K263" i="60" l="1"/>
  <c r="L263" i="60" s="1"/>
  <c r="M263" i="60" s="1"/>
  <c r="N263" i="60" s="1"/>
  <c r="E263" i="60" s="1"/>
  <c r="J264" i="60"/>
  <c r="J274" i="20"/>
  <c r="K273" i="20"/>
  <c r="L273" i="20" s="1"/>
  <c r="M273" i="20" s="1"/>
  <c r="N273" i="20" s="1"/>
  <c r="E273" i="20" s="1"/>
  <c r="D262" i="60"/>
  <c r="I262" i="60"/>
  <c r="A262" i="60"/>
  <c r="A270" i="20"/>
  <c r="I270" i="20"/>
  <c r="D270" i="20"/>
  <c r="K264" i="60" l="1"/>
  <c r="L264" i="60" s="1"/>
  <c r="M264" i="60" s="1"/>
  <c r="N264" i="60" s="1"/>
  <c r="E264" i="60" s="1"/>
  <c r="J265" i="60"/>
  <c r="K274" i="20"/>
  <c r="L274" i="20" s="1"/>
  <c r="M274" i="20" s="1"/>
  <c r="N274" i="20" s="1"/>
  <c r="E274" i="20" s="1"/>
  <c r="J275" i="20"/>
  <c r="A263" i="60"/>
  <c r="D263" i="60"/>
  <c r="I263" i="60"/>
  <c r="A271" i="20"/>
  <c r="I271" i="20"/>
  <c r="D271" i="20"/>
  <c r="J266" i="60" l="1"/>
  <c r="K265" i="60"/>
  <c r="L265" i="60" s="1"/>
  <c r="M265" i="60" s="1"/>
  <c r="N265" i="60" s="1"/>
  <c r="E265" i="60" s="1"/>
  <c r="K275" i="20"/>
  <c r="L275" i="20" s="1"/>
  <c r="M275" i="20" s="1"/>
  <c r="N275" i="20" s="1"/>
  <c r="E275" i="20" s="1"/>
  <c r="J276" i="20"/>
  <c r="A264" i="60"/>
  <c r="D264" i="60"/>
  <c r="I264" i="60"/>
  <c r="A272" i="20"/>
  <c r="I272" i="20"/>
  <c r="D272" i="20"/>
  <c r="K266" i="60" l="1"/>
  <c r="L266" i="60" s="1"/>
  <c r="M266" i="60" s="1"/>
  <c r="N266" i="60" s="1"/>
  <c r="E266" i="60" s="1"/>
  <c r="J267" i="60"/>
  <c r="K276" i="20"/>
  <c r="L276" i="20" s="1"/>
  <c r="M276" i="20" s="1"/>
  <c r="N276" i="20" s="1"/>
  <c r="E276" i="20" s="1"/>
  <c r="J277" i="20"/>
  <c r="D265" i="60"/>
  <c r="A265" i="60"/>
  <c r="I265" i="60"/>
  <c r="A273" i="20"/>
  <c r="I273" i="20"/>
  <c r="D273" i="20"/>
  <c r="J268" i="60" l="1"/>
  <c r="K267" i="60"/>
  <c r="L267" i="60" s="1"/>
  <c r="M267" i="60" s="1"/>
  <c r="N267" i="60" s="1"/>
  <c r="E267" i="60" s="1"/>
  <c r="J278" i="20"/>
  <c r="K277" i="20"/>
  <c r="L277" i="20" s="1"/>
  <c r="M277" i="20" s="1"/>
  <c r="N277" i="20" s="1"/>
  <c r="E277" i="20" s="1"/>
  <c r="A266" i="60"/>
  <c r="D266" i="60"/>
  <c r="I266" i="60"/>
  <c r="A274" i="20"/>
  <c r="I274" i="20"/>
  <c r="D274" i="20"/>
  <c r="J269" i="60" l="1"/>
  <c r="K268" i="60"/>
  <c r="L268" i="60" s="1"/>
  <c r="M268" i="60" s="1"/>
  <c r="N268" i="60" s="1"/>
  <c r="E268" i="60" s="1"/>
  <c r="J279" i="20"/>
  <c r="K278" i="20"/>
  <c r="L278" i="20" s="1"/>
  <c r="M278" i="20" s="1"/>
  <c r="N278" i="20" s="1"/>
  <c r="E278" i="20" s="1"/>
  <c r="D267" i="60"/>
  <c r="I267" i="60"/>
  <c r="A267" i="60"/>
  <c r="A275" i="20"/>
  <c r="I275" i="20"/>
  <c r="D275" i="20"/>
  <c r="K269" i="60" l="1"/>
  <c r="L269" i="60" s="1"/>
  <c r="M269" i="60" s="1"/>
  <c r="N269" i="60" s="1"/>
  <c r="E269" i="60" s="1"/>
  <c r="J270" i="60"/>
  <c r="K279" i="20"/>
  <c r="L279" i="20" s="1"/>
  <c r="M279" i="20" s="1"/>
  <c r="N279" i="20" s="1"/>
  <c r="E279" i="20" s="1"/>
  <c r="J280" i="20"/>
  <c r="A268" i="60"/>
  <c r="D268" i="60"/>
  <c r="I268" i="60"/>
  <c r="A276" i="20"/>
  <c r="D276" i="20"/>
  <c r="I276" i="20"/>
  <c r="K270" i="60" l="1"/>
  <c r="L270" i="60" s="1"/>
  <c r="M270" i="60" s="1"/>
  <c r="N270" i="60" s="1"/>
  <c r="E270" i="60" s="1"/>
  <c r="J271" i="60"/>
  <c r="K280" i="20"/>
  <c r="L280" i="20" s="1"/>
  <c r="M280" i="20" s="1"/>
  <c r="N280" i="20" s="1"/>
  <c r="E280" i="20" s="1"/>
  <c r="J281" i="20"/>
  <c r="A269" i="60"/>
  <c r="I269" i="60"/>
  <c r="D269" i="60"/>
  <c r="A277" i="20"/>
  <c r="I277" i="20"/>
  <c r="D277" i="20"/>
  <c r="K271" i="60" l="1"/>
  <c r="L271" i="60" s="1"/>
  <c r="M271" i="60" s="1"/>
  <c r="N271" i="60" s="1"/>
  <c r="E271" i="60" s="1"/>
  <c r="J272" i="60"/>
  <c r="J282" i="20"/>
  <c r="K281" i="20"/>
  <c r="L281" i="20" s="1"/>
  <c r="M281" i="20" s="1"/>
  <c r="N281" i="20" s="1"/>
  <c r="E281" i="20" s="1"/>
  <c r="A270" i="60"/>
  <c r="D270" i="60"/>
  <c r="I270" i="60"/>
  <c r="A278" i="20"/>
  <c r="I278" i="20"/>
  <c r="D278" i="20"/>
  <c r="K272" i="60" l="1"/>
  <c r="L272" i="60" s="1"/>
  <c r="M272" i="60" s="1"/>
  <c r="N272" i="60" s="1"/>
  <c r="E272" i="60" s="1"/>
  <c r="J273" i="60"/>
  <c r="J283" i="20"/>
  <c r="K282" i="20"/>
  <c r="L282" i="20" s="1"/>
  <c r="M282" i="20" s="1"/>
  <c r="N282" i="20" s="1"/>
  <c r="E282" i="20" s="1"/>
  <c r="A271" i="60"/>
  <c r="D271" i="60"/>
  <c r="I271" i="60"/>
  <c r="A279" i="20"/>
  <c r="I279" i="20"/>
  <c r="D279" i="20"/>
  <c r="K273" i="60" l="1"/>
  <c r="L273" i="60" s="1"/>
  <c r="M273" i="60" s="1"/>
  <c r="N273" i="60" s="1"/>
  <c r="E273" i="60" s="1"/>
  <c r="J274" i="60"/>
  <c r="K283" i="20"/>
  <c r="L283" i="20" s="1"/>
  <c r="M283" i="20" s="1"/>
  <c r="N283" i="20" s="1"/>
  <c r="E283" i="20" s="1"/>
  <c r="J284" i="20"/>
  <c r="I272" i="60"/>
  <c r="D272" i="60"/>
  <c r="A272" i="60"/>
  <c r="A280" i="20"/>
  <c r="I280" i="20"/>
  <c r="D280" i="20"/>
  <c r="J275" i="60" l="1"/>
  <c r="K274" i="60"/>
  <c r="L274" i="60" s="1"/>
  <c r="M274" i="60" s="1"/>
  <c r="N274" i="60" s="1"/>
  <c r="E274" i="60" s="1"/>
  <c r="J285" i="20"/>
  <c r="K284" i="20"/>
  <c r="L284" i="20" s="1"/>
  <c r="M284" i="20" s="1"/>
  <c r="N284" i="20" s="1"/>
  <c r="E284" i="20" s="1"/>
  <c r="A273" i="60"/>
  <c r="I273" i="60"/>
  <c r="D273" i="60"/>
  <c r="A281" i="20"/>
  <c r="I281" i="20"/>
  <c r="D281" i="20"/>
  <c r="K275" i="60" l="1"/>
  <c r="L275" i="60" s="1"/>
  <c r="M275" i="60" s="1"/>
  <c r="N275" i="60" s="1"/>
  <c r="E275" i="60" s="1"/>
  <c r="J276" i="60"/>
  <c r="K285" i="20"/>
  <c r="L285" i="20" s="1"/>
  <c r="M285" i="20" s="1"/>
  <c r="N285" i="20" s="1"/>
  <c r="E285" i="20" s="1"/>
  <c r="J286" i="20"/>
  <c r="A274" i="60"/>
  <c r="I274" i="60"/>
  <c r="D274" i="60"/>
  <c r="A282" i="20"/>
  <c r="I282" i="20"/>
  <c r="D282" i="20"/>
  <c r="K276" i="60" l="1"/>
  <c r="L276" i="60" s="1"/>
  <c r="M276" i="60" s="1"/>
  <c r="N276" i="60" s="1"/>
  <c r="E276" i="60" s="1"/>
  <c r="J277" i="60"/>
  <c r="J287" i="20"/>
  <c r="K286" i="20"/>
  <c r="L286" i="20" s="1"/>
  <c r="M286" i="20" s="1"/>
  <c r="N286" i="20" s="1"/>
  <c r="E286" i="20" s="1"/>
  <c r="I275" i="60"/>
  <c r="A275" i="60"/>
  <c r="D275" i="60"/>
  <c r="A283" i="20"/>
  <c r="I283" i="20"/>
  <c r="D283" i="20"/>
  <c r="K277" i="60" l="1"/>
  <c r="L277" i="60" s="1"/>
  <c r="M277" i="60" s="1"/>
  <c r="N277" i="60" s="1"/>
  <c r="E277" i="60" s="1"/>
  <c r="J278" i="60"/>
  <c r="K287" i="20"/>
  <c r="L287" i="20" s="1"/>
  <c r="M287" i="20" s="1"/>
  <c r="N287" i="20" s="1"/>
  <c r="E287" i="20" s="1"/>
  <c r="J288" i="20"/>
  <c r="A276" i="60"/>
  <c r="D276" i="60"/>
  <c r="I276" i="60"/>
  <c r="A284" i="20"/>
  <c r="D284" i="20"/>
  <c r="I284" i="20"/>
  <c r="J279" i="60" l="1"/>
  <c r="K278" i="60"/>
  <c r="L278" i="60" s="1"/>
  <c r="M278" i="60" s="1"/>
  <c r="N278" i="60" s="1"/>
  <c r="E278" i="60" s="1"/>
  <c r="J289" i="20"/>
  <c r="K288" i="20"/>
  <c r="L288" i="20" s="1"/>
  <c r="M288" i="20" s="1"/>
  <c r="N288" i="20" s="1"/>
  <c r="E288" i="20" s="1"/>
  <c r="A277" i="60"/>
  <c r="D277" i="60"/>
  <c r="I277" i="60"/>
  <c r="A285" i="20"/>
  <c r="I285" i="20"/>
  <c r="D285" i="20"/>
  <c r="K279" i="60" l="1"/>
  <c r="L279" i="60" s="1"/>
  <c r="M279" i="60" s="1"/>
  <c r="N279" i="60" s="1"/>
  <c r="E279" i="60" s="1"/>
  <c r="J280" i="60"/>
  <c r="K289" i="20"/>
  <c r="L289" i="20" s="1"/>
  <c r="M289" i="20" s="1"/>
  <c r="N289" i="20" s="1"/>
  <c r="E289" i="20" s="1"/>
  <c r="J290" i="20"/>
  <c r="D278" i="60"/>
  <c r="A278" i="60"/>
  <c r="I278" i="60"/>
  <c r="A286" i="20"/>
  <c r="I286" i="20"/>
  <c r="D286" i="20"/>
  <c r="K280" i="60" l="1"/>
  <c r="L280" i="60" s="1"/>
  <c r="M280" i="60" s="1"/>
  <c r="N280" i="60" s="1"/>
  <c r="E280" i="60" s="1"/>
  <c r="J281" i="60"/>
  <c r="K290" i="20"/>
  <c r="L290" i="20" s="1"/>
  <c r="M290" i="20" s="1"/>
  <c r="N290" i="20" s="1"/>
  <c r="E290" i="20" s="1"/>
  <c r="J291" i="20"/>
  <c r="A279" i="60"/>
  <c r="D279" i="60"/>
  <c r="I279" i="60"/>
  <c r="A287" i="20"/>
  <c r="I287" i="20"/>
  <c r="D287" i="20"/>
  <c r="K281" i="60" l="1"/>
  <c r="L281" i="60" s="1"/>
  <c r="M281" i="60" s="1"/>
  <c r="N281" i="60" s="1"/>
  <c r="E281" i="60" s="1"/>
  <c r="J282" i="60"/>
  <c r="J292" i="20"/>
  <c r="K291" i="20"/>
  <c r="L291" i="20" s="1"/>
  <c r="M291" i="20" s="1"/>
  <c r="N291" i="20" s="1"/>
  <c r="E291" i="20" s="1"/>
  <c r="I280" i="60"/>
  <c r="A280" i="60"/>
  <c r="D280" i="60"/>
  <c r="A288" i="20"/>
  <c r="I288" i="20"/>
  <c r="D288" i="20"/>
  <c r="K282" i="60" l="1"/>
  <c r="L282" i="60" s="1"/>
  <c r="M282" i="60" s="1"/>
  <c r="N282" i="60" s="1"/>
  <c r="E282" i="60" s="1"/>
  <c r="J283" i="60"/>
  <c r="K292" i="20"/>
  <c r="L292" i="20" s="1"/>
  <c r="M292" i="20" s="1"/>
  <c r="N292" i="20" s="1"/>
  <c r="E292" i="20" s="1"/>
  <c r="J293" i="20"/>
  <c r="A281" i="60"/>
  <c r="I281" i="60"/>
  <c r="D281" i="60"/>
  <c r="A289" i="20"/>
  <c r="I289" i="20"/>
  <c r="D289" i="20"/>
  <c r="J284" i="60" l="1"/>
  <c r="K283" i="60"/>
  <c r="L283" i="60" s="1"/>
  <c r="M283" i="60" s="1"/>
  <c r="N283" i="60" s="1"/>
  <c r="E283" i="60" s="1"/>
  <c r="J294" i="20"/>
  <c r="K293" i="20"/>
  <c r="L293" i="20" s="1"/>
  <c r="M293" i="20" s="1"/>
  <c r="N293" i="20" s="1"/>
  <c r="E293" i="20" s="1"/>
  <c r="A282" i="60"/>
  <c r="D282" i="60"/>
  <c r="I282" i="60"/>
  <c r="A290" i="20"/>
  <c r="I290" i="20"/>
  <c r="D290" i="20"/>
  <c r="K284" i="60" l="1"/>
  <c r="L284" i="60" s="1"/>
  <c r="M284" i="60" s="1"/>
  <c r="N284" i="60" s="1"/>
  <c r="E284" i="60" s="1"/>
  <c r="J285" i="60"/>
  <c r="J295" i="20"/>
  <c r="K294" i="20"/>
  <c r="L294" i="20" s="1"/>
  <c r="M294" i="20" s="1"/>
  <c r="N294" i="20" s="1"/>
  <c r="E294" i="20" s="1"/>
  <c r="A283" i="60"/>
  <c r="D283" i="60"/>
  <c r="I283" i="60"/>
  <c r="A291" i="20"/>
  <c r="I291" i="20"/>
  <c r="D291" i="20"/>
  <c r="K285" i="60" l="1"/>
  <c r="L285" i="60" s="1"/>
  <c r="M285" i="60" s="1"/>
  <c r="N285" i="60" s="1"/>
  <c r="E285" i="60" s="1"/>
  <c r="J286" i="60"/>
  <c r="J296" i="20"/>
  <c r="K295" i="20"/>
  <c r="L295" i="20" s="1"/>
  <c r="M295" i="20" s="1"/>
  <c r="N295" i="20" s="1"/>
  <c r="E295" i="20" s="1"/>
  <c r="A284" i="60"/>
  <c r="I284" i="60"/>
  <c r="D284" i="60"/>
  <c r="A292" i="20"/>
  <c r="I292" i="20"/>
  <c r="D292" i="20"/>
  <c r="K286" i="60" l="1"/>
  <c r="L286" i="60" s="1"/>
  <c r="M286" i="60" s="1"/>
  <c r="N286" i="60" s="1"/>
  <c r="E286" i="60" s="1"/>
  <c r="J287" i="60"/>
  <c r="J297" i="20"/>
  <c r="K296" i="20"/>
  <c r="L296" i="20" s="1"/>
  <c r="M296" i="20" s="1"/>
  <c r="N296" i="20" s="1"/>
  <c r="E296" i="20" s="1"/>
  <c r="A285" i="60"/>
  <c r="D285" i="60"/>
  <c r="I285" i="60"/>
  <c r="A293" i="20"/>
  <c r="D293" i="20"/>
  <c r="I293" i="20"/>
  <c r="K287" i="60" l="1"/>
  <c r="L287" i="60" s="1"/>
  <c r="M287" i="60" s="1"/>
  <c r="N287" i="60" s="1"/>
  <c r="E287" i="60" s="1"/>
  <c r="J288" i="60"/>
  <c r="K297" i="20"/>
  <c r="L297" i="20" s="1"/>
  <c r="M297" i="20" s="1"/>
  <c r="N297" i="20" s="1"/>
  <c r="E297" i="20" s="1"/>
  <c r="J298" i="20"/>
  <c r="A286" i="60"/>
  <c r="D286" i="60"/>
  <c r="I286" i="60"/>
  <c r="A294" i="20"/>
  <c r="I294" i="20"/>
  <c r="D294" i="20"/>
  <c r="K288" i="60" l="1"/>
  <c r="L288" i="60" s="1"/>
  <c r="M288" i="60" s="1"/>
  <c r="N288" i="60" s="1"/>
  <c r="E288" i="60" s="1"/>
  <c r="J289" i="60"/>
  <c r="J299" i="20"/>
  <c r="K298" i="20"/>
  <c r="L298" i="20" s="1"/>
  <c r="M298" i="20" s="1"/>
  <c r="N298" i="20" s="1"/>
  <c r="E298" i="20" s="1"/>
  <c r="A287" i="60"/>
  <c r="D287" i="60"/>
  <c r="I287" i="60"/>
  <c r="A295" i="20"/>
  <c r="D295" i="20"/>
  <c r="I295" i="20"/>
  <c r="J290" i="60" l="1"/>
  <c r="K289" i="60"/>
  <c r="L289" i="60" s="1"/>
  <c r="M289" i="60" s="1"/>
  <c r="N289" i="60" s="1"/>
  <c r="E289" i="60" s="1"/>
  <c r="J300" i="20"/>
  <c r="K299" i="20"/>
  <c r="L299" i="20" s="1"/>
  <c r="M299" i="20" s="1"/>
  <c r="N299" i="20" s="1"/>
  <c r="E299" i="20" s="1"/>
  <c r="I288" i="60"/>
  <c r="A288" i="60"/>
  <c r="D288" i="60"/>
  <c r="A296" i="20"/>
  <c r="I296" i="20"/>
  <c r="D296" i="20"/>
  <c r="K290" i="60" l="1"/>
  <c r="L290" i="60" s="1"/>
  <c r="M290" i="60" s="1"/>
  <c r="N290" i="60" s="1"/>
  <c r="E290" i="60" s="1"/>
  <c r="J291" i="60"/>
  <c r="K300" i="20"/>
  <c r="L300" i="20" s="1"/>
  <c r="M300" i="20" s="1"/>
  <c r="N300" i="20" s="1"/>
  <c r="E300" i="20" s="1"/>
  <c r="J301" i="20"/>
  <c r="A289" i="60"/>
  <c r="D289" i="60"/>
  <c r="I289" i="60"/>
  <c r="A297" i="20"/>
  <c r="D297" i="20"/>
  <c r="I297" i="20"/>
  <c r="J292" i="60" l="1"/>
  <c r="K291" i="60"/>
  <c r="L291" i="60" s="1"/>
  <c r="M291" i="60" s="1"/>
  <c r="N291" i="60" s="1"/>
  <c r="E291" i="60" s="1"/>
  <c r="J302" i="20"/>
  <c r="K301" i="20"/>
  <c r="L301" i="20" s="1"/>
  <c r="M301" i="20" s="1"/>
  <c r="N301" i="20" s="1"/>
  <c r="E301" i="20" s="1"/>
  <c r="A290" i="60"/>
  <c r="D290" i="60"/>
  <c r="I290" i="60"/>
  <c r="A298" i="20"/>
  <c r="I298" i="20"/>
  <c r="D298" i="20"/>
  <c r="J293" i="60" l="1"/>
  <c r="K292" i="60"/>
  <c r="L292" i="60" s="1"/>
  <c r="M292" i="60" s="1"/>
  <c r="N292" i="60" s="1"/>
  <c r="E292" i="60" s="1"/>
  <c r="K302" i="20"/>
  <c r="L302" i="20" s="1"/>
  <c r="M302" i="20" s="1"/>
  <c r="N302" i="20" s="1"/>
  <c r="E302" i="20" s="1"/>
  <c r="J303" i="20"/>
  <c r="I291" i="60"/>
  <c r="A291" i="60"/>
  <c r="D291" i="60"/>
  <c r="A299" i="20"/>
  <c r="I299" i="20"/>
  <c r="D299" i="20"/>
  <c r="K293" i="60" l="1"/>
  <c r="L293" i="60" s="1"/>
  <c r="M293" i="60" s="1"/>
  <c r="N293" i="60" s="1"/>
  <c r="E293" i="60" s="1"/>
  <c r="J294" i="60"/>
  <c r="K303" i="20"/>
  <c r="L303" i="20" s="1"/>
  <c r="M303" i="20" s="1"/>
  <c r="N303" i="20" s="1"/>
  <c r="E303" i="20" s="1"/>
  <c r="J304" i="20"/>
  <c r="A292" i="60"/>
  <c r="D292" i="60"/>
  <c r="I292" i="60"/>
  <c r="A300" i="20"/>
  <c r="D300" i="20"/>
  <c r="I300" i="20"/>
  <c r="J295" i="60" l="1"/>
  <c r="K294" i="60"/>
  <c r="L294" i="60" s="1"/>
  <c r="M294" i="60" s="1"/>
  <c r="N294" i="60" s="1"/>
  <c r="E294" i="60" s="1"/>
  <c r="J305" i="20"/>
  <c r="K304" i="20"/>
  <c r="L304" i="20" s="1"/>
  <c r="M304" i="20" s="1"/>
  <c r="N304" i="20" s="1"/>
  <c r="E304" i="20" s="1"/>
  <c r="D293" i="60"/>
  <c r="I293" i="60"/>
  <c r="A293" i="60"/>
  <c r="A301" i="20"/>
  <c r="I301" i="20"/>
  <c r="D301" i="20"/>
  <c r="K295" i="60" l="1"/>
  <c r="L295" i="60" s="1"/>
  <c r="M295" i="60" s="1"/>
  <c r="N295" i="60" s="1"/>
  <c r="E295" i="60" s="1"/>
  <c r="J296" i="60"/>
  <c r="J306" i="20"/>
  <c r="K305" i="20"/>
  <c r="L305" i="20" s="1"/>
  <c r="M305" i="20" s="1"/>
  <c r="N305" i="20" s="1"/>
  <c r="E305" i="20" s="1"/>
  <c r="A294" i="60"/>
  <c r="D294" i="60"/>
  <c r="I294" i="60"/>
  <c r="A302" i="20"/>
  <c r="I302" i="20"/>
  <c r="D302" i="20"/>
  <c r="J297" i="60" l="1"/>
  <c r="K296" i="60"/>
  <c r="L296" i="60" s="1"/>
  <c r="M296" i="60" s="1"/>
  <c r="N296" i="60" s="1"/>
  <c r="E296" i="60" s="1"/>
  <c r="K306" i="20"/>
  <c r="L306" i="20" s="1"/>
  <c r="M306" i="20" s="1"/>
  <c r="N306" i="20" s="1"/>
  <c r="E306" i="20" s="1"/>
  <c r="J307" i="20"/>
  <c r="A295" i="60"/>
  <c r="D295" i="60"/>
  <c r="I295" i="60"/>
  <c r="A303" i="20"/>
  <c r="I303" i="20"/>
  <c r="D303" i="20"/>
  <c r="J298" i="60" l="1"/>
  <c r="K297" i="60"/>
  <c r="L297" i="60" s="1"/>
  <c r="M297" i="60" s="1"/>
  <c r="N297" i="60" s="1"/>
  <c r="E297" i="60" s="1"/>
  <c r="J308" i="20"/>
  <c r="K307" i="20"/>
  <c r="L307" i="20" s="1"/>
  <c r="M307" i="20" s="1"/>
  <c r="N307" i="20" s="1"/>
  <c r="E307" i="20" s="1"/>
  <c r="I296" i="60"/>
  <c r="A296" i="60"/>
  <c r="D296" i="60"/>
  <c r="A304" i="20"/>
  <c r="I304" i="20"/>
  <c r="D304" i="20"/>
  <c r="K298" i="60" l="1"/>
  <c r="L298" i="60" s="1"/>
  <c r="M298" i="60" s="1"/>
  <c r="N298" i="60" s="1"/>
  <c r="E298" i="60" s="1"/>
  <c r="J299" i="60"/>
  <c r="J309" i="20"/>
  <c r="K308" i="20"/>
  <c r="L308" i="20" s="1"/>
  <c r="M308" i="20" s="1"/>
  <c r="N308" i="20" s="1"/>
  <c r="E308" i="20" s="1"/>
  <c r="A297" i="60"/>
  <c r="D297" i="60"/>
  <c r="I297" i="60"/>
  <c r="A305" i="20"/>
  <c r="I305" i="20"/>
  <c r="D305" i="20"/>
  <c r="J300" i="60" l="1"/>
  <c r="K299" i="60"/>
  <c r="L299" i="60" s="1"/>
  <c r="M299" i="60" s="1"/>
  <c r="N299" i="60" s="1"/>
  <c r="E299" i="60" s="1"/>
  <c r="K309" i="20"/>
  <c r="L309" i="20" s="1"/>
  <c r="M309" i="20" s="1"/>
  <c r="N309" i="20" s="1"/>
  <c r="E309" i="20" s="1"/>
  <c r="J310" i="20"/>
  <c r="A298" i="60"/>
  <c r="D298" i="60"/>
  <c r="I298" i="60"/>
  <c r="A306" i="20"/>
  <c r="I306" i="20"/>
  <c r="D306" i="20"/>
  <c r="J301" i="60" l="1"/>
  <c r="K300" i="60"/>
  <c r="L300" i="60" s="1"/>
  <c r="M300" i="60" s="1"/>
  <c r="N300" i="60" s="1"/>
  <c r="E300" i="60" s="1"/>
  <c r="K310" i="20"/>
  <c r="L310" i="20" s="1"/>
  <c r="M310" i="20" s="1"/>
  <c r="N310" i="20" s="1"/>
  <c r="E310" i="20" s="1"/>
  <c r="J311" i="20"/>
  <c r="I299" i="60"/>
  <c r="A299" i="60"/>
  <c r="D299" i="60"/>
  <c r="A307" i="20"/>
  <c r="I307" i="20"/>
  <c r="D307" i="20"/>
  <c r="K301" i="60" l="1"/>
  <c r="L301" i="60" s="1"/>
  <c r="M301" i="60" s="1"/>
  <c r="N301" i="60" s="1"/>
  <c r="E301" i="60" s="1"/>
  <c r="J302" i="60"/>
  <c r="J312" i="20"/>
  <c r="K311" i="20"/>
  <c r="L311" i="20" s="1"/>
  <c r="M311" i="20" s="1"/>
  <c r="N311" i="20" s="1"/>
  <c r="E311" i="20" s="1"/>
  <c r="A300" i="60"/>
  <c r="D300" i="60"/>
  <c r="I300" i="60"/>
  <c r="A308" i="20"/>
  <c r="I308" i="20"/>
  <c r="D308" i="20"/>
  <c r="K302" i="60" l="1"/>
  <c r="L302" i="60" s="1"/>
  <c r="M302" i="60" s="1"/>
  <c r="N302" i="60" s="1"/>
  <c r="E302" i="60" s="1"/>
  <c r="J303" i="60"/>
  <c r="J313" i="20"/>
  <c r="K312" i="20"/>
  <c r="L312" i="20" s="1"/>
  <c r="M312" i="20" s="1"/>
  <c r="N312" i="20" s="1"/>
  <c r="E312" i="20" s="1"/>
  <c r="A301" i="60"/>
  <c r="D301" i="60"/>
  <c r="I301" i="60"/>
  <c r="A309" i="20"/>
  <c r="D309" i="20"/>
  <c r="I309" i="20"/>
  <c r="K303" i="60" l="1"/>
  <c r="L303" i="60" s="1"/>
  <c r="M303" i="60" s="1"/>
  <c r="N303" i="60" s="1"/>
  <c r="E303" i="60" s="1"/>
  <c r="J304" i="60"/>
  <c r="K313" i="20"/>
  <c r="L313" i="20" s="1"/>
  <c r="M313" i="20" s="1"/>
  <c r="N313" i="20" s="1"/>
  <c r="E313" i="20" s="1"/>
  <c r="J314" i="20"/>
  <c r="A302" i="60"/>
  <c r="D302" i="60"/>
  <c r="I302" i="60"/>
  <c r="A310" i="20"/>
  <c r="D310" i="20"/>
  <c r="I310" i="20"/>
  <c r="K304" i="60" l="1"/>
  <c r="L304" i="60" s="1"/>
  <c r="M304" i="60" s="1"/>
  <c r="N304" i="60" s="1"/>
  <c r="E304" i="60" s="1"/>
  <c r="J305" i="60"/>
  <c r="J315" i="20"/>
  <c r="K314" i="20"/>
  <c r="L314" i="20" s="1"/>
  <c r="M314" i="20" s="1"/>
  <c r="N314" i="20" s="1"/>
  <c r="E314" i="20" s="1"/>
  <c r="A303" i="60"/>
  <c r="D303" i="60"/>
  <c r="I303" i="60"/>
  <c r="A311" i="20"/>
  <c r="I311" i="20"/>
  <c r="D311" i="20"/>
  <c r="J306" i="60" l="1"/>
  <c r="K305" i="60"/>
  <c r="L305" i="60" s="1"/>
  <c r="M305" i="60" s="1"/>
  <c r="N305" i="60" s="1"/>
  <c r="E305" i="60" s="1"/>
  <c r="K315" i="20"/>
  <c r="L315" i="20" s="1"/>
  <c r="M315" i="20" s="1"/>
  <c r="N315" i="20" s="1"/>
  <c r="E315" i="20" s="1"/>
  <c r="J316" i="20"/>
  <c r="I304" i="60"/>
  <c r="A304" i="60"/>
  <c r="D304" i="60"/>
  <c r="A312" i="20"/>
  <c r="I312" i="20"/>
  <c r="D312" i="20"/>
  <c r="J307" i="60" l="1"/>
  <c r="K306" i="60"/>
  <c r="L306" i="60" s="1"/>
  <c r="M306" i="60" s="1"/>
  <c r="N306" i="60" s="1"/>
  <c r="E306" i="60" s="1"/>
  <c r="K316" i="20"/>
  <c r="L316" i="20" s="1"/>
  <c r="M316" i="20" s="1"/>
  <c r="N316" i="20" s="1"/>
  <c r="E316" i="20" s="1"/>
  <c r="J317" i="20"/>
  <c r="A305" i="60"/>
  <c r="D305" i="60"/>
  <c r="I305" i="60"/>
  <c r="A313" i="20"/>
  <c r="I313" i="20"/>
  <c r="D313" i="20"/>
  <c r="K307" i="60" l="1"/>
  <c r="L307" i="60" s="1"/>
  <c r="M307" i="60" s="1"/>
  <c r="N307" i="60" s="1"/>
  <c r="E307" i="60" s="1"/>
  <c r="J308" i="60"/>
  <c r="J318" i="20"/>
  <c r="K317" i="20"/>
  <c r="L317" i="20" s="1"/>
  <c r="M317" i="20" s="1"/>
  <c r="N317" i="20" s="1"/>
  <c r="E317" i="20" s="1"/>
  <c r="A306" i="60"/>
  <c r="D306" i="60"/>
  <c r="I306" i="60"/>
  <c r="A314" i="20"/>
  <c r="I314" i="20"/>
  <c r="D314" i="20"/>
  <c r="K308" i="60" l="1"/>
  <c r="L308" i="60" s="1"/>
  <c r="M308" i="60" s="1"/>
  <c r="N308" i="60" s="1"/>
  <c r="E308" i="60" s="1"/>
  <c r="J309" i="60"/>
  <c r="J319" i="20"/>
  <c r="K318" i="20"/>
  <c r="L318" i="20" s="1"/>
  <c r="M318" i="20" s="1"/>
  <c r="N318" i="20" s="1"/>
  <c r="E318" i="20" s="1"/>
  <c r="I307" i="60"/>
  <c r="A307" i="60"/>
  <c r="D307" i="60"/>
  <c r="A315" i="20"/>
  <c r="I315" i="20"/>
  <c r="D315" i="20"/>
  <c r="K309" i="60" l="1"/>
  <c r="L309" i="60" s="1"/>
  <c r="M309" i="60" s="1"/>
  <c r="N309" i="60" s="1"/>
  <c r="E309" i="60" s="1"/>
  <c r="J310" i="60"/>
  <c r="K319" i="20"/>
  <c r="L319" i="20" s="1"/>
  <c r="M319" i="20" s="1"/>
  <c r="N319" i="20" s="1"/>
  <c r="E319" i="20" s="1"/>
  <c r="J320" i="20"/>
  <c r="A308" i="60"/>
  <c r="D308" i="60"/>
  <c r="I308" i="60"/>
  <c r="A316" i="20"/>
  <c r="D316" i="20"/>
  <c r="I316" i="20"/>
  <c r="K310" i="60" l="1"/>
  <c r="L310" i="60" s="1"/>
  <c r="M310" i="60" s="1"/>
  <c r="N310" i="60" s="1"/>
  <c r="E310" i="60" s="1"/>
  <c r="J311" i="60"/>
  <c r="J321" i="20"/>
  <c r="K320" i="20"/>
  <c r="L320" i="20" s="1"/>
  <c r="M320" i="20" s="1"/>
  <c r="N320" i="20" s="1"/>
  <c r="E320" i="20" s="1"/>
  <c r="A309" i="60"/>
  <c r="D309" i="60"/>
  <c r="I309" i="60"/>
  <c r="A317" i="20"/>
  <c r="I317" i="20"/>
  <c r="D317" i="20"/>
  <c r="K311" i="60" l="1"/>
  <c r="L311" i="60" s="1"/>
  <c r="M311" i="60" s="1"/>
  <c r="N311" i="60" s="1"/>
  <c r="E311" i="60" s="1"/>
  <c r="J312" i="60"/>
  <c r="J322" i="20"/>
  <c r="K321" i="20"/>
  <c r="L321" i="20" s="1"/>
  <c r="M321" i="20" s="1"/>
  <c r="N321" i="20" s="1"/>
  <c r="E321" i="20" s="1"/>
  <c r="A310" i="60"/>
  <c r="D310" i="60"/>
  <c r="I310" i="60"/>
  <c r="A318" i="20"/>
  <c r="D318" i="20"/>
  <c r="I318" i="20"/>
  <c r="K312" i="60" l="1"/>
  <c r="L312" i="60" s="1"/>
  <c r="M312" i="60" s="1"/>
  <c r="N312" i="60" s="1"/>
  <c r="E312" i="60" s="1"/>
  <c r="J313" i="60"/>
  <c r="K322" i="20"/>
  <c r="L322" i="20" s="1"/>
  <c r="M322" i="20" s="1"/>
  <c r="N322" i="20" s="1"/>
  <c r="E322" i="20" s="1"/>
  <c r="J323" i="20"/>
  <c r="A311" i="60"/>
  <c r="D311" i="60"/>
  <c r="I311" i="60"/>
  <c r="A319" i="20"/>
  <c r="D319" i="20"/>
  <c r="I319" i="20"/>
  <c r="J314" i="60" l="1"/>
  <c r="K313" i="60"/>
  <c r="L313" i="60" s="1"/>
  <c r="M313" i="60" s="1"/>
  <c r="N313" i="60" s="1"/>
  <c r="E313" i="60" s="1"/>
  <c r="K323" i="20"/>
  <c r="L323" i="20" s="1"/>
  <c r="M323" i="20" s="1"/>
  <c r="N323" i="20" s="1"/>
  <c r="E323" i="20" s="1"/>
  <c r="J324" i="20"/>
  <c r="I312" i="60"/>
  <c r="A312" i="60"/>
  <c r="D312" i="60"/>
  <c r="A320" i="20"/>
  <c r="I320" i="20"/>
  <c r="D320" i="20"/>
  <c r="J315" i="60" l="1"/>
  <c r="K314" i="60"/>
  <c r="L314" i="60" s="1"/>
  <c r="M314" i="60" s="1"/>
  <c r="N314" i="60" s="1"/>
  <c r="E314" i="60" s="1"/>
  <c r="J325" i="20"/>
  <c r="K324" i="20"/>
  <c r="L324" i="20" s="1"/>
  <c r="M324" i="20" s="1"/>
  <c r="N324" i="20" s="1"/>
  <c r="E324" i="20" s="1"/>
  <c r="A313" i="60"/>
  <c r="D313" i="60"/>
  <c r="I313" i="60"/>
  <c r="A321" i="20"/>
  <c r="I321" i="20"/>
  <c r="D321" i="20"/>
  <c r="J316" i="60" l="1"/>
  <c r="K315" i="60"/>
  <c r="L315" i="60" s="1"/>
  <c r="M315" i="60" s="1"/>
  <c r="N315" i="60" s="1"/>
  <c r="E315" i="60" s="1"/>
  <c r="J326" i="20"/>
  <c r="K325" i="20"/>
  <c r="L325" i="20" s="1"/>
  <c r="M325" i="20" s="1"/>
  <c r="N325" i="20" s="1"/>
  <c r="E325" i="20" s="1"/>
  <c r="A314" i="60"/>
  <c r="D314" i="60"/>
  <c r="I314" i="60"/>
  <c r="A322" i="20"/>
  <c r="I322" i="20"/>
  <c r="D322" i="20"/>
  <c r="K316" i="60" l="1"/>
  <c r="L316" i="60" s="1"/>
  <c r="M316" i="60" s="1"/>
  <c r="N316" i="60" s="1"/>
  <c r="E316" i="60" s="1"/>
  <c r="J317" i="60"/>
  <c r="J327" i="20"/>
  <c r="K326" i="20"/>
  <c r="L326" i="20" s="1"/>
  <c r="M326" i="20" s="1"/>
  <c r="N326" i="20" s="1"/>
  <c r="E326" i="20" s="1"/>
  <c r="I315" i="60"/>
  <c r="A315" i="60"/>
  <c r="D315" i="60"/>
  <c r="A323" i="20"/>
  <c r="I323" i="20"/>
  <c r="D323" i="20"/>
  <c r="J318" i="60" l="1"/>
  <c r="K317" i="60"/>
  <c r="L317" i="60" s="1"/>
  <c r="M317" i="60" s="1"/>
  <c r="N317" i="60" s="1"/>
  <c r="E317" i="60" s="1"/>
  <c r="K327" i="20"/>
  <c r="L327" i="20" s="1"/>
  <c r="M327" i="20" s="1"/>
  <c r="N327" i="20" s="1"/>
  <c r="E327" i="20" s="1"/>
  <c r="J328" i="20"/>
  <c r="A316" i="60"/>
  <c r="D316" i="60"/>
  <c r="I316" i="60"/>
  <c r="A324" i="20"/>
  <c r="D324" i="20"/>
  <c r="I324" i="20"/>
  <c r="K318" i="60" l="1"/>
  <c r="L318" i="60" s="1"/>
  <c r="M318" i="60" s="1"/>
  <c r="N318" i="60" s="1"/>
  <c r="E318" i="60" s="1"/>
  <c r="J319" i="60"/>
  <c r="K328" i="20"/>
  <c r="L328" i="20" s="1"/>
  <c r="M328" i="20" s="1"/>
  <c r="N328" i="20" s="1"/>
  <c r="E328" i="20" s="1"/>
  <c r="J329" i="20"/>
  <c r="I317" i="60"/>
  <c r="A317" i="60"/>
  <c r="D317" i="60"/>
  <c r="A325" i="20"/>
  <c r="I325" i="20"/>
  <c r="D325" i="20"/>
  <c r="J320" i="60" l="1"/>
  <c r="K320" i="60" s="1"/>
  <c r="L320" i="60" s="1"/>
  <c r="M320" i="60" s="1"/>
  <c r="N320" i="60" s="1"/>
  <c r="E320" i="60" s="1"/>
  <c r="K319" i="60"/>
  <c r="L319" i="60" s="1"/>
  <c r="M319" i="60" s="1"/>
  <c r="N319" i="60" s="1"/>
  <c r="E319" i="60" s="1"/>
  <c r="K329" i="20"/>
  <c r="L329" i="20" s="1"/>
  <c r="M329" i="20" s="1"/>
  <c r="N329" i="20" s="1"/>
  <c r="E329" i="20" s="1"/>
  <c r="J330" i="20"/>
  <c r="I318" i="60"/>
  <c r="A318" i="60"/>
  <c r="D318" i="60"/>
  <c r="A326" i="20"/>
  <c r="I326" i="20"/>
  <c r="D326" i="20"/>
  <c r="K330" i="20" l="1"/>
  <c r="L330" i="20" s="1"/>
  <c r="M330" i="20" s="1"/>
  <c r="N330" i="20" s="1"/>
  <c r="E330" i="20" s="1"/>
  <c r="J331" i="20"/>
  <c r="A319" i="60"/>
  <c r="D319" i="60"/>
  <c r="I319" i="60"/>
  <c r="I320" i="60"/>
  <c r="A320" i="60"/>
  <c r="D320" i="60"/>
  <c r="A327" i="20"/>
  <c r="I327" i="20"/>
  <c r="D327" i="20"/>
  <c r="K331" i="20" l="1"/>
  <c r="L331" i="20" s="1"/>
  <c r="M331" i="20" s="1"/>
  <c r="N331" i="20" s="1"/>
  <c r="E331" i="20" s="1"/>
  <c r="J332" i="20"/>
  <c r="A328" i="20"/>
  <c r="I328" i="20"/>
  <c r="D328" i="20"/>
  <c r="J333" i="20" l="1"/>
  <c r="K332" i="20"/>
  <c r="L332" i="20" s="1"/>
  <c r="M332" i="20" s="1"/>
  <c r="N332" i="20" s="1"/>
  <c r="E332" i="20" s="1"/>
  <c r="A329" i="20"/>
  <c r="I329" i="20"/>
  <c r="D329" i="20"/>
  <c r="K333" i="20" l="1"/>
  <c r="L333" i="20" s="1"/>
  <c r="M333" i="20" s="1"/>
  <c r="N333" i="20" s="1"/>
  <c r="E333" i="20" s="1"/>
  <c r="J334" i="20"/>
  <c r="A330" i="20"/>
  <c r="D330" i="20"/>
  <c r="I330" i="20"/>
  <c r="K334" i="20" l="1"/>
  <c r="L334" i="20" s="1"/>
  <c r="M334" i="20" s="1"/>
  <c r="N334" i="20" s="1"/>
  <c r="E334" i="20" s="1"/>
  <c r="J335" i="20"/>
  <c r="A331" i="20"/>
  <c r="I331" i="20"/>
  <c r="D331" i="20"/>
  <c r="K335" i="20" l="1"/>
  <c r="L335" i="20" s="1"/>
  <c r="M335" i="20" s="1"/>
  <c r="N335" i="20" s="1"/>
  <c r="E335" i="20" s="1"/>
  <c r="J336" i="20"/>
  <c r="A332" i="20"/>
  <c r="D332" i="20"/>
  <c r="I332" i="20"/>
  <c r="K336" i="20" l="1"/>
  <c r="L336" i="20" s="1"/>
  <c r="M336" i="20" s="1"/>
  <c r="N336" i="20" s="1"/>
  <c r="E336" i="20" s="1"/>
  <c r="J337" i="20"/>
  <c r="A333" i="20"/>
  <c r="D333" i="20"/>
  <c r="I333" i="20"/>
  <c r="J338" i="20" l="1"/>
  <c r="K337" i="20"/>
  <c r="L337" i="20" s="1"/>
  <c r="M337" i="20" s="1"/>
  <c r="N337" i="20" s="1"/>
  <c r="E337" i="20" s="1"/>
  <c r="A334" i="20"/>
  <c r="D334" i="20"/>
  <c r="I334" i="20"/>
  <c r="K338" i="20" l="1"/>
  <c r="L338" i="20" s="1"/>
  <c r="M338" i="20" s="1"/>
  <c r="N338" i="20" s="1"/>
  <c r="E338" i="20" s="1"/>
  <c r="J339" i="20"/>
  <c r="A335" i="20"/>
  <c r="I335" i="20"/>
  <c r="D335" i="20"/>
  <c r="J340" i="20" l="1"/>
  <c r="K339" i="20"/>
  <c r="L339" i="20" s="1"/>
  <c r="M339" i="20" s="1"/>
  <c r="N339" i="20" s="1"/>
  <c r="E339" i="20" s="1"/>
  <c r="A336" i="20"/>
  <c r="I336" i="20"/>
  <c r="D336" i="20"/>
  <c r="J341" i="20" l="1"/>
  <c r="K340" i="20"/>
  <c r="L340" i="20" s="1"/>
  <c r="M340" i="20" s="1"/>
  <c r="N340" i="20" s="1"/>
  <c r="E340" i="20" s="1"/>
  <c r="A337" i="20"/>
  <c r="I337" i="20"/>
  <c r="D337" i="20"/>
  <c r="K341" i="20" l="1"/>
  <c r="L341" i="20" s="1"/>
  <c r="M341" i="20" s="1"/>
  <c r="N341" i="20" s="1"/>
  <c r="E341" i="20" s="1"/>
  <c r="J342" i="20"/>
  <c r="A338" i="20"/>
  <c r="D338" i="20"/>
  <c r="I338" i="20"/>
  <c r="J343" i="20" l="1"/>
  <c r="K342" i="20"/>
  <c r="L342" i="20" s="1"/>
  <c r="M342" i="20" s="1"/>
  <c r="N342" i="20" s="1"/>
  <c r="E342" i="20" s="1"/>
  <c r="A339" i="20"/>
  <c r="I339" i="20"/>
  <c r="D339" i="20"/>
  <c r="K343" i="20" l="1"/>
  <c r="L343" i="20" s="1"/>
  <c r="M343" i="20" s="1"/>
  <c r="N343" i="20" s="1"/>
  <c r="E343" i="20" s="1"/>
  <c r="J344" i="20"/>
  <c r="A340" i="20"/>
  <c r="D340" i="20"/>
  <c r="I340" i="20"/>
  <c r="K344" i="20" l="1"/>
  <c r="L344" i="20" s="1"/>
  <c r="M344" i="20" s="1"/>
  <c r="N344" i="20" s="1"/>
  <c r="E344" i="20" s="1"/>
  <c r="J345" i="20"/>
  <c r="A341" i="20"/>
  <c r="D341" i="20"/>
  <c r="I341" i="20"/>
  <c r="J346" i="20" l="1"/>
  <c r="K345" i="20"/>
  <c r="L345" i="20" s="1"/>
  <c r="M345" i="20" s="1"/>
  <c r="N345" i="20" s="1"/>
  <c r="E345" i="20" s="1"/>
  <c r="A342" i="20"/>
  <c r="D342" i="20"/>
  <c r="I342" i="20"/>
  <c r="K346" i="20" l="1"/>
  <c r="L346" i="20" s="1"/>
  <c r="M346" i="20" s="1"/>
  <c r="N346" i="20" s="1"/>
  <c r="E346" i="20" s="1"/>
  <c r="J347" i="20"/>
  <c r="A343" i="20"/>
  <c r="I343" i="20"/>
  <c r="D343" i="20"/>
  <c r="K347" i="20" l="1"/>
  <c r="L347" i="20" s="1"/>
  <c r="M347" i="20" s="1"/>
  <c r="N347" i="20" s="1"/>
  <c r="E347" i="20" s="1"/>
  <c r="J348" i="20"/>
  <c r="A344" i="20"/>
  <c r="I344" i="20"/>
  <c r="D344" i="20"/>
  <c r="K348" i="20" l="1"/>
  <c r="L348" i="20" s="1"/>
  <c r="M348" i="20" s="1"/>
  <c r="N348" i="20" s="1"/>
  <c r="E348" i="20" s="1"/>
  <c r="J349" i="20"/>
  <c r="A345" i="20"/>
  <c r="I345" i="20"/>
  <c r="D345" i="20"/>
  <c r="K349" i="20" l="1"/>
  <c r="L349" i="20" s="1"/>
  <c r="M349" i="20" s="1"/>
  <c r="N349" i="20" s="1"/>
  <c r="E349" i="20" s="1"/>
  <c r="J350" i="20"/>
  <c r="A346" i="20"/>
  <c r="D346" i="20"/>
  <c r="I346" i="20"/>
  <c r="J351" i="20" l="1"/>
  <c r="K350" i="20"/>
  <c r="L350" i="20" s="1"/>
  <c r="M350" i="20" s="1"/>
  <c r="N350" i="20" s="1"/>
  <c r="E350" i="20" s="1"/>
  <c r="A347" i="20"/>
  <c r="I347" i="20"/>
  <c r="D347" i="20"/>
  <c r="K351" i="20" l="1"/>
  <c r="L351" i="20" s="1"/>
  <c r="M351" i="20" s="1"/>
  <c r="N351" i="20" s="1"/>
  <c r="E351" i="20" s="1"/>
  <c r="J352" i="20"/>
  <c r="A348" i="20"/>
  <c r="I348" i="20"/>
  <c r="D348" i="20"/>
  <c r="K352" i="20" l="1"/>
  <c r="L352" i="20" s="1"/>
  <c r="M352" i="20" s="1"/>
  <c r="N352" i="20" s="1"/>
  <c r="E352" i="20" s="1"/>
  <c r="J353" i="20"/>
  <c r="A349" i="20"/>
  <c r="D349" i="20"/>
  <c r="I349" i="20"/>
  <c r="J354" i="20" l="1"/>
  <c r="K353" i="20"/>
  <c r="L353" i="20" s="1"/>
  <c r="M353" i="20" s="1"/>
  <c r="N353" i="20" s="1"/>
  <c r="E353" i="20" s="1"/>
  <c r="A350" i="20"/>
  <c r="D350" i="20"/>
  <c r="I350" i="20"/>
  <c r="K354" i="20" l="1"/>
  <c r="L354" i="20" s="1"/>
  <c r="M354" i="20" s="1"/>
  <c r="N354" i="20" s="1"/>
  <c r="E354" i="20" s="1"/>
  <c r="J355" i="20"/>
  <c r="A351" i="20"/>
  <c r="I351" i="20"/>
  <c r="D351" i="20"/>
  <c r="K355" i="20" l="1"/>
  <c r="L355" i="20" s="1"/>
  <c r="M355" i="20" s="1"/>
  <c r="N355" i="20" s="1"/>
  <c r="E355" i="20" s="1"/>
  <c r="J356" i="20"/>
  <c r="A352" i="20"/>
  <c r="D352" i="20"/>
  <c r="I352" i="20"/>
  <c r="J357" i="20" l="1"/>
  <c r="K356" i="20"/>
  <c r="L356" i="20" s="1"/>
  <c r="M356" i="20" s="1"/>
  <c r="N356" i="20" s="1"/>
  <c r="E356" i="20" s="1"/>
  <c r="A353" i="20"/>
  <c r="I353" i="20"/>
  <c r="D353" i="20"/>
  <c r="J358" i="20" l="1"/>
  <c r="K357" i="20"/>
  <c r="L357" i="20" s="1"/>
  <c r="M357" i="20" s="1"/>
  <c r="N357" i="20" s="1"/>
  <c r="E357" i="20" s="1"/>
  <c r="A354" i="20"/>
  <c r="D354" i="20"/>
  <c r="I354" i="20"/>
  <c r="K358" i="20" l="1"/>
  <c r="L358" i="20" s="1"/>
  <c r="M358" i="20" s="1"/>
  <c r="N358" i="20" s="1"/>
  <c r="E358" i="20" s="1"/>
  <c r="J359" i="20"/>
  <c r="A355" i="20"/>
  <c r="I355" i="20"/>
  <c r="D355" i="20"/>
  <c r="K359" i="20" l="1"/>
  <c r="L359" i="20" s="1"/>
  <c r="M359" i="20" s="1"/>
  <c r="N359" i="20" s="1"/>
  <c r="E359" i="20" s="1"/>
  <c r="J360" i="20"/>
  <c r="A356" i="20"/>
  <c r="D356" i="20"/>
  <c r="I356" i="20"/>
  <c r="J361" i="20" l="1"/>
  <c r="K360" i="20"/>
  <c r="L360" i="20" s="1"/>
  <c r="M360" i="20" s="1"/>
  <c r="N360" i="20" s="1"/>
  <c r="E360" i="20" s="1"/>
  <c r="A357" i="20"/>
  <c r="I357" i="20"/>
  <c r="D357" i="20"/>
  <c r="J362" i="20" l="1"/>
  <c r="K361" i="20"/>
  <c r="L361" i="20" s="1"/>
  <c r="M361" i="20" s="1"/>
  <c r="N361" i="20" s="1"/>
  <c r="E361" i="20" s="1"/>
  <c r="A358" i="20"/>
  <c r="I358" i="20"/>
  <c r="D358" i="20"/>
  <c r="K362" i="20" l="1"/>
  <c r="L362" i="20" s="1"/>
  <c r="M362" i="20" s="1"/>
  <c r="N362" i="20" s="1"/>
  <c r="E362" i="20" s="1"/>
  <c r="J363" i="20"/>
  <c r="A359" i="20"/>
  <c r="D359" i="20"/>
  <c r="I359" i="20"/>
  <c r="J364" i="20" l="1"/>
  <c r="K363" i="20"/>
  <c r="L363" i="20" s="1"/>
  <c r="M363" i="20" s="1"/>
  <c r="N363" i="20" s="1"/>
  <c r="E363" i="20" s="1"/>
  <c r="A360" i="20"/>
  <c r="I360" i="20"/>
  <c r="D360" i="20"/>
  <c r="J365" i="20" l="1"/>
  <c r="K364" i="20"/>
  <c r="L364" i="20" s="1"/>
  <c r="M364" i="20" s="1"/>
  <c r="N364" i="20" s="1"/>
  <c r="E364" i="20" s="1"/>
  <c r="A361" i="20"/>
  <c r="I361" i="20"/>
  <c r="D361" i="20"/>
  <c r="J366" i="20" l="1"/>
  <c r="K365" i="20"/>
  <c r="L365" i="20" s="1"/>
  <c r="M365" i="20" s="1"/>
  <c r="N365" i="20" s="1"/>
  <c r="E365" i="20" s="1"/>
  <c r="A362" i="20"/>
  <c r="I362" i="20"/>
  <c r="D362" i="20"/>
  <c r="K366" i="20" l="1"/>
  <c r="L366" i="20" s="1"/>
  <c r="M366" i="20" s="1"/>
  <c r="N366" i="20" s="1"/>
  <c r="E366" i="20" s="1"/>
  <c r="J367" i="20"/>
  <c r="A363" i="20"/>
  <c r="D363" i="20"/>
  <c r="I363" i="20"/>
  <c r="K367" i="20" l="1"/>
  <c r="L367" i="20" s="1"/>
  <c r="M367" i="20" s="1"/>
  <c r="N367" i="20" s="1"/>
  <c r="E367" i="20" s="1"/>
  <c r="J368" i="20"/>
  <c r="A364" i="20"/>
  <c r="D364" i="20"/>
  <c r="I364" i="20"/>
  <c r="J369" i="20" l="1"/>
  <c r="K368" i="20"/>
  <c r="L368" i="20" s="1"/>
  <c r="M368" i="20" s="1"/>
  <c r="N368" i="20" s="1"/>
  <c r="E368" i="20" s="1"/>
  <c r="A365" i="20"/>
  <c r="I365" i="20"/>
  <c r="D365" i="20"/>
  <c r="K369" i="20" l="1"/>
  <c r="L369" i="20" s="1"/>
  <c r="M369" i="20" s="1"/>
  <c r="N369" i="20" s="1"/>
  <c r="E369" i="20" s="1"/>
  <c r="J370" i="20"/>
  <c r="K370" i="20" s="1"/>
  <c r="L370" i="20" s="1"/>
  <c r="M370" i="20" s="1"/>
  <c r="N370" i="20" s="1"/>
  <c r="E370" i="20" s="1"/>
  <c r="A366" i="20"/>
  <c r="I366" i="20"/>
  <c r="D366" i="20"/>
  <c r="K7" i="30"/>
  <c r="L7" i="30" s="1"/>
  <c r="C55" i="60"/>
  <c r="A369" i="20" l="1"/>
  <c r="I369" i="20"/>
  <c r="D369" i="20"/>
  <c r="A367" i="20"/>
  <c r="D367" i="20"/>
  <c r="I367" i="20"/>
  <c r="K13" i="30"/>
  <c r="K9" i="30"/>
  <c r="D370" i="20" l="1"/>
  <c r="I370" i="20"/>
  <c r="A370" i="20"/>
  <c r="I368" i="20"/>
  <c r="D368" i="20"/>
  <c r="A368" i="20"/>
  <c r="D6" i="58"/>
  <c r="G8" i="21" s="1"/>
  <c r="I8" i="21" s="1"/>
  <c r="I6" i="30"/>
  <c r="K6" i="30" s="1"/>
  <c r="L6" i="30" s="1"/>
  <c r="C86" i="20"/>
  <c r="K8" i="30"/>
  <c r="C9" i="58" l="1"/>
  <c r="C16" i="58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Marcelle Lins Carvalho</author>
    <author>Yasmin Goes-External</author>
    <author>YAN NASCIMENTO</author>
    <author>Renata Bezerra</author>
  </authors>
  <commentList>
    <comment ref="C21" authorId="0" shapeId="0" xr:uid="{D47CF661-06E3-4B54-8285-BF891669602F}">
      <text>
        <r>
          <rPr>
            <b/>
            <sz val="9"/>
            <color indexed="81"/>
            <rFont val="Tahoma"/>
            <family val="2"/>
          </rPr>
          <t xml:space="preserve">Nathalia Silva:
</t>
        </r>
        <r>
          <rPr>
            <sz val="9"/>
            <color indexed="81"/>
            <rFont val="Tahoma"/>
            <family val="2"/>
          </rPr>
          <t>Caso o datasheet da estrutura não forneça os dados de rigidez torsional, utilizar as seguintes recomendações:
Duto 2,5" = 300 kNm²
Duto 4" = 500 kNm²
Duto 6" (sem isolamento) = 1000 kNm²
Duto 6" (com isolamento) = 1500 kNm²
Duto 8" = 2000 kNm²
Duto 9,13" = 2300 kNm²
Para linhas que possuem "Limp direction" e "Stiff direction", utilizar o maior valor de rigidez torcional.</t>
        </r>
      </text>
    </comment>
    <comment ref="C22" authorId="1" shapeId="0" xr:uid="{062CBA33-4011-420A-A2A2-9F0FEE910F80}">
      <text>
        <r>
          <rPr>
            <b/>
            <sz val="9"/>
            <color indexed="81"/>
            <rFont val="Tahoma"/>
            <family val="2"/>
          </rPr>
          <t>Esta célula só deve ser preenchida caso o Datasheet não forneça o Axial Stiffness</t>
        </r>
      </text>
    </comment>
    <comment ref="C23" authorId="1" shapeId="0" xr:uid="{7DAC0F9D-0368-4C2C-AC8E-F10E68CE4FF0}">
      <text>
        <r>
          <rPr>
            <b/>
            <sz val="9"/>
            <color indexed="81"/>
            <rFont val="Tahoma"/>
            <family val="2"/>
          </rPr>
          <t>Fórmula válida para força 100kN</t>
        </r>
      </text>
    </comment>
    <comment ref="C37" authorId="2" shapeId="0" xr:uid="{E5243D75-2352-4468-9CB3-9195A8005863}">
      <text>
        <r>
          <rPr>
            <sz val="10"/>
            <color indexed="81"/>
            <rFont val="Tahoma"/>
            <family val="2"/>
          </rPr>
          <t>Para vértebras de PU, caso NÃO seja fornecido o Módulo de elasticidade, esta planilha utiliza um valor ESTIMADO.
Para vértebras de aço, é utilizado o valor fornecido pela ET.</t>
        </r>
      </text>
    </comment>
    <comment ref="B61" authorId="3" shapeId="0" xr:uid="{726C62B1-7868-43CC-8775-7EBE5E873CFA}">
      <text>
        <r>
          <rPr>
            <b/>
            <sz val="9"/>
            <color indexed="81"/>
            <rFont val="Tahoma"/>
            <family val="2"/>
          </rPr>
          <t>Renata Bezerra:</t>
        </r>
        <r>
          <rPr>
            <sz val="9"/>
            <color indexed="81"/>
            <rFont val="Tahoma"/>
            <family val="2"/>
          </rPr>
          <t xml:space="preserve">
Atualização: 
Discritivo corrigido para " t/m " (estava "kg/m")</t>
        </r>
      </text>
    </comment>
    <comment ref="B62" authorId="3" shapeId="0" xr:uid="{550358AA-B301-42CD-B7D8-99F9C024A4E0}">
      <text>
        <r>
          <rPr>
            <b/>
            <sz val="9"/>
            <color indexed="81"/>
            <rFont val="Tahoma"/>
            <family val="2"/>
          </rPr>
          <t>Renata Bezerra:</t>
        </r>
        <r>
          <rPr>
            <sz val="9"/>
            <color indexed="81"/>
            <rFont val="Tahoma"/>
            <family val="2"/>
          </rPr>
          <t xml:space="preserve">
Atualização: 
Discritivo corrigido para " t/m " (estava "kg/m")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Rafael Encarnacao</author>
    <author>rfinacio</author>
  </authors>
  <commentList>
    <comment ref="B20" authorId="0" shapeId="0" xr:uid="{A9046DE1-A431-447F-8BD3-E1A13D8E5A56}">
      <text>
        <r>
          <rPr>
            <b/>
            <sz val="9"/>
            <color indexed="81"/>
            <rFont val="Tahoma"/>
            <family val="2"/>
          </rPr>
          <t>Rafael Encarnacao:</t>
        </r>
        <r>
          <rPr>
            <sz val="9"/>
            <color indexed="81"/>
            <rFont val="Tahoma"/>
            <family val="2"/>
          </rPr>
          <t xml:space="preserve">
Baixo para desprezar os efeitos hidrodinamicos
Pair = Pw</t>
        </r>
      </text>
    </comment>
    <comment ref="B29" authorId="1" shapeId="0" xr:uid="{12931A96-7FB9-4D1A-98D0-A07A26C176D0}">
      <text>
        <r>
          <rPr>
            <b/>
            <sz val="12"/>
            <color indexed="81"/>
            <rFont val="Tahoma"/>
            <family val="2"/>
          </rPr>
          <t>rfinacio:</t>
        </r>
        <r>
          <rPr>
            <sz val="12"/>
            <color indexed="81"/>
            <rFont val="Tahoma"/>
            <family val="2"/>
          </rPr>
          <t xml:space="preserve">
Ângulo do Eixo da Flange com o eixo da Boca do MCV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YAN NASCIMENTO</author>
  </authors>
  <commentList>
    <comment ref="F17" authorId="0" shapeId="0" xr:uid="{6C2FD8C6-4C54-488E-8E97-8584CF95C997}">
      <text>
        <r>
          <rPr>
            <b/>
            <sz val="9"/>
            <color indexed="81"/>
            <rFont val="Tahoma"/>
            <family val="2"/>
          </rPr>
          <t>Curvature [1/m]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17" authorId="0" shapeId="0" xr:uid="{282B31E3-2030-4546-89FC-CBF683BB6157}">
      <text>
        <r>
          <rPr>
            <b/>
            <sz val="9"/>
            <color indexed="81"/>
            <rFont val="Tahoma"/>
            <family val="2"/>
          </rPr>
          <t>BM [kN.m]</t>
        </r>
      </text>
    </comment>
    <comment ref="M17" authorId="0" shapeId="0" xr:uid="{98473F33-3472-426D-8695-C3243EB54BC8}">
      <text>
        <r>
          <rPr>
            <b/>
            <sz val="9"/>
            <color indexed="81"/>
            <rFont val="Tahoma"/>
            <family val="2"/>
          </rPr>
          <t>Curvature [1/m]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N17" authorId="0" shapeId="0" xr:uid="{BA8F3627-243C-4584-9F5F-ED8C810A05AB}">
      <text>
        <r>
          <rPr>
            <b/>
            <sz val="9"/>
            <color indexed="81"/>
            <rFont val="Tahoma"/>
            <family val="2"/>
          </rPr>
          <t>BM [kN.m]</t>
        </r>
      </text>
    </comment>
    <comment ref="T17" authorId="0" shapeId="0" xr:uid="{C2136438-1E0F-402A-AD23-5785661CB328}">
      <text>
        <r>
          <rPr>
            <b/>
            <sz val="9"/>
            <color indexed="81"/>
            <rFont val="Tahoma"/>
            <family val="2"/>
          </rPr>
          <t>Curvature [1/m]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U17" authorId="0" shapeId="0" xr:uid="{00DEAA2E-4F7E-4351-977F-73473AAE6640}">
      <text>
        <r>
          <rPr>
            <b/>
            <sz val="9"/>
            <color indexed="81"/>
            <rFont val="Tahoma"/>
            <family val="2"/>
          </rPr>
          <t>BM [kN.m]</t>
        </r>
      </text>
    </comment>
    <comment ref="W17" authorId="0" shapeId="0" xr:uid="{E995A0C0-F2EC-45F9-B3F4-D6752B4F0D64}">
      <text>
        <r>
          <rPr>
            <b/>
            <sz val="9"/>
            <color indexed="81"/>
            <rFont val="Tahoma"/>
            <family val="2"/>
          </rPr>
          <t>Curvature [1/m]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X17" authorId="0" shapeId="0" xr:uid="{8E5A1A2D-6898-4FE8-9820-235A082DCD42}">
      <text>
        <r>
          <rPr>
            <b/>
            <sz val="9"/>
            <color indexed="81"/>
            <rFont val="Tahoma"/>
            <family val="2"/>
          </rPr>
          <t>BM [kN.m]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YAN NASCIMENTO</author>
    <author>Administrador</author>
  </authors>
  <commentList>
    <comment ref="G7" authorId="0" shapeId="0" xr:uid="{A417E541-D770-49ED-9F9E-0A0BA9E19C23}">
      <text>
        <r>
          <rPr>
            <b/>
            <sz val="9"/>
            <color indexed="81"/>
            <rFont val="Tahoma"/>
            <family val="2"/>
          </rPr>
          <t>YAN NASCIMENTO:</t>
        </r>
        <r>
          <rPr>
            <sz val="9"/>
            <color indexed="81"/>
            <rFont val="Tahoma"/>
            <family val="2"/>
          </rPr>
          <t xml:space="preserve">
Aviso para mantenedores da planilha: ao inserir uma nova linha na tabela do script, alterar o valor da fórmula desta célula - INDEX.</t>
        </r>
      </text>
    </comment>
    <comment ref="G10" authorId="0" shapeId="0" xr:uid="{6F95711B-82B5-4DDC-92C8-C2E9E7F5F53B}">
      <text>
        <r>
          <rPr>
            <b/>
            <sz val="9"/>
            <color indexed="81"/>
            <rFont val="Tahoma"/>
            <family val="2"/>
          </rPr>
          <t>YAN NASCIMENTO:</t>
        </r>
        <r>
          <rPr>
            <sz val="9"/>
            <color indexed="81"/>
            <rFont val="Tahoma"/>
            <family val="2"/>
          </rPr>
          <t xml:space="preserve">
Aviso para mantenedores da planilha: ao inserir uma nova linha na tabela do script, alterar o valor da fórmula desta célula - INDEX.</t>
        </r>
      </text>
    </comment>
    <comment ref="G13" authorId="0" shapeId="0" xr:uid="{BAFE8622-55DA-444D-8DE5-A871B62EF7FE}">
      <text>
        <r>
          <rPr>
            <b/>
            <sz val="9"/>
            <color indexed="81"/>
            <rFont val="Tahoma"/>
            <family val="2"/>
          </rPr>
          <t>YAN NASCIMENTO:</t>
        </r>
        <r>
          <rPr>
            <sz val="9"/>
            <color indexed="81"/>
            <rFont val="Tahoma"/>
            <family val="2"/>
          </rPr>
          <t xml:space="preserve">
Aviso para mantenedores da planilha: ao inserir uma nova linha na tabela do script, alterar o valor da fórmula desta célula - INDEX.</t>
        </r>
      </text>
    </comment>
    <comment ref="E63" authorId="1" shapeId="0" xr:uid="{7ACC1BDA-DA31-4504-B576-D62B28405A18}">
      <text>
        <r>
          <rPr>
            <b/>
            <sz val="9"/>
            <color indexed="81"/>
            <rFont val="Segoe UI"/>
            <family val="2"/>
          </rPr>
          <t>Administrador:</t>
        </r>
        <r>
          <rPr>
            <sz val="9"/>
            <color indexed="81"/>
            <rFont val="Segoe UI"/>
            <family val="2"/>
          </rPr>
          <t xml:space="preserve"> a linha está dividida em 5 partes no modelo devido a discretização. Os valores 160, 100, 40 e 10 são pré-definidos no modelo.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YAN NASCIMENTO</author>
  </authors>
  <commentList>
    <comment ref="J90" authorId="0" shapeId="0" xr:uid="{B3A27F92-D18C-4B3F-A378-3894998A9CA9}">
      <text>
        <r>
          <rPr>
            <b/>
            <sz val="9"/>
            <color indexed="81"/>
            <rFont val="Tahoma"/>
            <family val="2"/>
          </rPr>
          <t>Coluna da Cont2</t>
        </r>
      </text>
    </comment>
    <comment ref="K90" authorId="0" shapeId="0" xr:uid="{940AE2C2-46E9-4951-BA9F-AE81C9C3005C}">
      <text>
        <r>
          <rPr>
            <b/>
            <sz val="9"/>
            <color indexed="81"/>
            <rFont val="Tahoma"/>
            <family val="2"/>
          </rPr>
          <t>Coluna da Cont1</t>
        </r>
      </text>
    </comment>
    <comment ref="L90" authorId="0" shapeId="0" xr:uid="{38013ECB-7DB5-4FFF-8B25-1B86B8EE7C75}">
      <text>
        <r>
          <rPr>
            <b/>
            <sz val="9"/>
            <color indexed="81"/>
            <rFont val="Tahoma"/>
            <family val="2"/>
          </rPr>
          <t>Coluna do Dinâmico</t>
        </r>
      </text>
    </comment>
    <comment ref="M90" authorId="0" shapeId="0" xr:uid="{16FE7652-028E-4E49-BF93-F3642FA8BB00}">
      <text>
        <r>
          <rPr>
            <b/>
            <sz val="9"/>
            <color indexed="81"/>
            <rFont val="Tahoma"/>
            <family val="2"/>
          </rPr>
          <t>Distância das boias até o flange do dinâmico</t>
        </r>
      </text>
    </comment>
    <comment ref="N90" authorId="0" shapeId="0" xr:uid="{64D9CC07-1589-4D52-840C-70C92B38B7B6}">
      <text>
        <r>
          <rPr>
            <b/>
            <sz val="9"/>
            <color indexed="81"/>
            <rFont val="Tahoma"/>
            <family val="2"/>
          </rPr>
          <t>Output pro =Concat()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YAN NASCIMENTO</author>
  </authors>
  <commentList>
    <comment ref="J140" authorId="0" shapeId="0" xr:uid="{7746C111-76CE-4BD1-BABB-434874577F5E}">
      <text>
        <r>
          <rPr>
            <b/>
            <sz val="9"/>
            <color indexed="81"/>
            <rFont val="Tahoma"/>
            <family val="2"/>
          </rPr>
          <t>Coluna da Cont2</t>
        </r>
      </text>
    </comment>
    <comment ref="K140" authorId="0" shapeId="0" xr:uid="{47E5BA2D-A200-443F-A261-2BC3638B9117}">
      <text>
        <r>
          <rPr>
            <b/>
            <sz val="9"/>
            <color indexed="81"/>
            <rFont val="Tahoma"/>
            <family val="2"/>
          </rPr>
          <t>Coluna da Cont1</t>
        </r>
      </text>
    </comment>
    <comment ref="L140" authorId="0" shapeId="0" xr:uid="{770CB534-CB03-44B3-BB6C-AF391231D1E2}">
      <text>
        <r>
          <rPr>
            <b/>
            <sz val="9"/>
            <color indexed="81"/>
            <rFont val="Tahoma"/>
            <family val="2"/>
          </rPr>
          <t>Coluna do Dinâmico</t>
        </r>
      </text>
    </comment>
    <comment ref="M140" authorId="0" shapeId="0" xr:uid="{1E29C706-699A-4099-B0BD-E890B5F5A7EF}">
      <text>
        <r>
          <rPr>
            <b/>
            <sz val="9"/>
            <color indexed="81"/>
            <rFont val="Tahoma"/>
            <family val="2"/>
          </rPr>
          <t>Distância das boias até o flange do dinâmico</t>
        </r>
      </text>
    </comment>
    <comment ref="N140" authorId="0" shapeId="0" xr:uid="{F5D10B0F-0F6D-4478-A3FB-7B40D48263C5}">
      <text>
        <r>
          <rPr>
            <b/>
            <sz val="9"/>
            <color indexed="81"/>
            <rFont val="Tahoma"/>
            <family val="2"/>
          </rPr>
          <t>Output pro =Concat()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Matheus Couto-External</author>
  </authors>
  <commentList>
    <comment ref="K8" authorId="0" shapeId="0" xr:uid="{00000000-0006-0000-0800-000002000000}">
      <text>
        <r>
          <rPr>
            <b/>
            <sz val="9"/>
            <color indexed="81"/>
            <rFont val="Tahoma"/>
            <family val="2"/>
          </rPr>
          <t>Maior Sbed Clearance entre cabrestantes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YAN NASCIMENTO</author>
    <author>Matheus Couto</author>
    <author>Matheus Couto-External</author>
  </authors>
  <commentList>
    <comment ref="X5" authorId="0" shapeId="0" xr:uid="{7461AC84-7018-463D-A34B-612D46DD5D3A}">
      <text>
        <r>
          <rPr>
            <b/>
            <sz val="9"/>
            <color indexed="81"/>
            <rFont val="Tahoma"/>
            <family val="2"/>
          </rPr>
          <t>*(-1) porque o sentido do eixo do Momento Y da RL é inverso ao eixo do nosso modelo.</t>
        </r>
      </text>
    </comment>
    <comment ref="D6" authorId="1" shapeId="0" xr:uid="{888CE88D-C260-46FD-9E61-5EB4B02DF82D}">
      <text>
        <r>
          <rPr>
            <b/>
            <sz val="9"/>
            <color indexed="81"/>
            <rFont val="Tahoma"/>
            <family val="2"/>
          </rPr>
          <t>O menor seabed clearance entre linha e vértebra.</t>
        </r>
      </text>
    </comment>
    <comment ref="P17" authorId="0" shapeId="0" xr:uid="{47EE3EDE-EC02-4B6C-9139-ADF4E579A9F9}">
      <text>
        <r>
          <rPr>
            <b/>
            <sz val="9"/>
            <color indexed="81"/>
            <rFont val="Tahoma"/>
            <family val="2"/>
          </rPr>
          <t>*(-1) porque o sentido do eixo do Momento Y da RL é inverso ao eixo do nosso modelo.</t>
        </r>
      </text>
    </comment>
    <comment ref="J18" authorId="0" shapeId="0" xr:uid="{41254C06-3B62-4B83-AECE-83D8D7139A49}">
      <text>
        <r>
          <rPr>
            <b/>
            <sz val="9"/>
            <color indexed="81"/>
            <rFont val="Tahoma"/>
            <family val="2"/>
          </rPr>
          <t>*(-1) porque o sentido do eixo do Momento Y da RL é inverso ao eixo do nosso modelo.</t>
        </r>
      </text>
    </comment>
    <comment ref="J24" authorId="0" shapeId="0" xr:uid="{786F919C-9794-42CB-8E05-1F540A378513}">
      <text>
        <r>
          <rPr>
            <b/>
            <sz val="9"/>
            <color indexed="81"/>
            <rFont val="Tahoma"/>
            <family val="2"/>
          </rPr>
          <t>*(-1) porque o sentido do eixo do Momento Y da RL é inverso ao eixo do nosso modelo.</t>
        </r>
      </text>
    </comment>
    <comment ref="J25" authorId="0" shapeId="0" xr:uid="{4F1B9012-C0AC-4460-A891-1385688CA6F6}">
      <text>
        <r>
          <rPr>
            <b/>
            <sz val="9"/>
            <color indexed="81"/>
            <rFont val="Tahoma"/>
            <family val="2"/>
          </rPr>
          <t>*(-1) porque o sentido do eixo do Momento Y da RL é inverso ao eixo do nosso modelo.</t>
        </r>
      </text>
    </comment>
    <comment ref="P29" authorId="2" shapeId="0" xr:uid="{2A8B829A-46FB-48AF-B457-85C265F19D31}">
      <text>
        <r>
          <rPr>
            <b/>
            <sz val="9"/>
            <color indexed="81"/>
            <rFont val="Tahoma"/>
            <family val="2"/>
          </rPr>
          <t>Comprimento suspenso
 do flange até o TDP</t>
        </r>
      </text>
    </comment>
    <comment ref="P31" authorId="2" shapeId="0" xr:uid="{E30F73C6-4FA9-4214-9641-62E3A06F1FFB}">
      <text>
        <r>
          <rPr>
            <b/>
            <sz val="9"/>
            <color indexed="81"/>
            <rFont val="Tahoma"/>
            <family val="2"/>
          </rPr>
          <t>Distância horizontal do flange até o TDP</t>
        </r>
      </text>
    </comment>
    <comment ref="D34" authorId="0" shapeId="0" xr:uid="{97D61135-F571-4ADA-A3DA-1BE8C53363CA}">
      <text>
        <r>
          <rPr>
            <b/>
            <sz val="9"/>
            <color indexed="81"/>
            <rFont val="Tahoma"/>
            <family val="2"/>
          </rPr>
          <t>*(-1) porque o sentido do eixo do Momento Y da RL é inverso ao eixo do nosso modelo.</t>
        </r>
      </text>
    </comment>
    <comment ref="P45" authorId="2" shapeId="0" xr:uid="{C8A80257-1EE0-4BF2-AD5F-DB4EE36EF3A3}">
      <text>
        <r>
          <rPr>
            <b/>
            <sz val="9"/>
            <color indexed="81"/>
            <rFont val="Tahoma"/>
            <family val="2"/>
          </rPr>
          <t>Altura da corcova</t>
        </r>
      </text>
    </comment>
    <comment ref="D49" authorId="1" shapeId="0" xr:uid="{9839D0B5-53B1-49DE-A3AA-0468324CEC99}">
      <text>
        <r>
          <rPr>
            <b/>
            <sz val="9"/>
            <color indexed="81"/>
            <rFont val="Tahoma"/>
            <family val="2"/>
          </rPr>
          <t>Conversão para toneladas</t>
        </r>
      </text>
    </comment>
    <comment ref="D50" authorId="0" shapeId="0" xr:uid="{C03D1C9A-8F63-4078-A23F-46DD2A1DB5C0}">
      <text>
        <r>
          <rPr>
            <b/>
            <sz val="9"/>
            <color indexed="81"/>
            <rFont val="Tahoma"/>
            <family val="2"/>
          </rPr>
          <t>Conversão para toneladas</t>
        </r>
      </text>
    </comment>
    <comment ref="P51" authorId="0" shapeId="0" xr:uid="{C3054503-3E5E-4B64-91E8-58D5226E3894}">
      <text>
        <r>
          <rPr>
            <b/>
            <sz val="9"/>
            <color indexed="81"/>
            <rFont val="Tahoma"/>
            <family val="2"/>
          </rPr>
          <t>*(-1) porque o sentido do eixo do Momento Y da RL é inverso ao eixo do nosso modelo.</t>
        </r>
      </text>
    </comment>
    <comment ref="J53" authorId="0" shapeId="0" xr:uid="{C5DCD34C-9D66-4923-9D40-D0E7E6D873EB}">
      <text>
        <r>
          <rPr>
            <b/>
            <sz val="9"/>
            <color indexed="81"/>
            <rFont val="Tahoma"/>
            <family val="2"/>
          </rPr>
          <t>*(-1) porque o sentido do eixo do Momento Y da RL é inverso ao eixo do nosso modelo.</t>
        </r>
      </text>
    </comment>
    <comment ref="P57" authorId="1" shapeId="0" xr:uid="{97C8E17F-F497-4084-8E08-EB8D1F7C7859}">
      <text>
        <r>
          <rPr>
            <b/>
            <sz val="9"/>
            <color indexed="81"/>
            <rFont val="Tahoma"/>
            <family val="2"/>
          </rPr>
          <t>Conversão para toneladas</t>
        </r>
      </text>
    </comment>
    <comment ref="P62" authorId="2" shapeId="0" xr:uid="{18EB3706-AF70-44FB-A11F-4DFFDEE5604D}">
      <text>
        <r>
          <rPr>
            <b/>
            <sz val="9"/>
            <color indexed="81"/>
            <rFont val="Tahoma"/>
            <family val="2"/>
          </rPr>
          <t>Comprimento suspenso
 do flange até o TDP</t>
        </r>
      </text>
    </comment>
    <comment ref="P64" authorId="2" shapeId="0" xr:uid="{DBD5641F-96E7-40AF-8D0B-552E49FAB85D}">
      <text>
        <r>
          <rPr>
            <b/>
            <sz val="9"/>
            <color indexed="81"/>
            <rFont val="Tahoma"/>
            <family val="2"/>
          </rPr>
          <t>Distância horizontal do flange até o TDP</t>
        </r>
      </text>
    </comment>
    <comment ref="P78" authorId="2" shapeId="0" xr:uid="{93E96DF6-8B4D-4367-B6CF-CBCA1D28236D}">
      <text>
        <r>
          <rPr>
            <b/>
            <sz val="9"/>
            <color indexed="81"/>
            <rFont val="Tahoma"/>
            <family val="2"/>
          </rPr>
          <t>Altura da corcova</t>
        </r>
      </text>
    </comment>
    <comment ref="J81" authorId="0" shapeId="0" xr:uid="{E73DB214-2523-451F-AAD1-DDAE091866D7}">
      <text>
        <r>
          <rPr>
            <b/>
            <sz val="9"/>
            <color indexed="81"/>
            <rFont val="Tahoma"/>
            <family val="2"/>
          </rPr>
          <t>*(-1) porque o sentido do eixo do Momento Y da RL é inverso ao eixo do nosso modelo.</t>
        </r>
      </text>
    </comment>
    <comment ref="P84" authorId="0" shapeId="0" xr:uid="{E3E72F44-56D1-495D-AA61-589B87C28A6E}">
      <text>
        <r>
          <rPr>
            <b/>
            <sz val="9"/>
            <color indexed="81"/>
            <rFont val="Tahoma"/>
            <family val="2"/>
          </rPr>
          <t>*(-1) porque o sentido do eixo do Momento Y da RL é inverso ao eixo do nosso modelo.</t>
        </r>
      </text>
    </comment>
    <comment ref="P90" authorId="1" shapeId="0" xr:uid="{8CC51BCC-971D-4CF1-80AE-CCE85EE11966}">
      <text>
        <r>
          <rPr>
            <b/>
            <sz val="9"/>
            <color indexed="81"/>
            <rFont val="Tahoma"/>
            <family val="2"/>
          </rPr>
          <t>Conversão para toneladas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YAN NASCIMENTO</author>
  </authors>
  <commentList>
    <comment ref="A13" authorId="0" shapeId="0" xr:uid="{986DA626-171D-446D-AF9E-DC967846EFCC}">
      <text>
        <r>
          <rPr>
            <sz val="10"/>
            <color indexed="81"/>
            <rFont val="Arial"/>
            <family val="2"/>
          </rPr>
          <t xml:space="preserve">Formato do código do relatório:
</t>
        </r>
        <r>
          <rPr>
            <b/>
            <sz val="10"/>
            <color indexed="81"/>
            <rFont val="Arial"/>
            <family val="2"/>
          </rPr>
          <t>S518XX-RT-5801-IAS-XXX</t>
        </r>
        <r>
          <rPr>
            <sz val="10"/>
            <color indexed="81"/>
            <rFont val="Arial"/>
            <family val="2"/>
          </rPr>
          <t xml:space="preserve">
Pegar no App de RT</t>
        </r>
      </text>
    </comment>
    <comment ref="A19" authorId="0" shapeId="0" xr:uid="{5F431149-2106-498B-A049-D343AF07E6BA}">
      <text>
        <r>
          <rPr>
            <sz val="10"/>
            <color indexed="81"/>
            <rFont val="Arial"/>
            <family val="2"/>
          </rPr>
          <t>Colocar "PENDENTE" se o 
MD ou o RL não forem enviados.</t>
        </r>
      </text>
    </comment>
    <comment ref="A20" authorId="0" shapeId="0" xr:uid="{B3497018-21D1-4804-9593-EA33C3781E86}">
      <text>
        <r>
          <rPr>
            <sz val="10"/>
            <color indexed="81"/>
            <rFont val="Arial"/>
            <family val="2"/>
          </rPr>
          <t>Colocar "PENDENTE" se o 
MD ou o RL não forem enviados.</t>
        </r>
      </text>
    </comment>
    <comment ref="A21" authorId="0" shapeId="0" xr:uid="{D4A2E892-DFBB-4881-A7F6-21A62162D1B3}">
      <text>
        <r>
          <rPr>
            <sz val="10"/>
            <color indexed="81"/>
            <rFont val="Arial"/>
            <family val="2"/>
          </rPr>
          <t>Colocar "PENDENTE" se o 
MD ou o RL não forem enviados.</t>
        </r>
      </text>
    </comment>
    <comment ref="D25" authorId="0" shapeId="0" xr:uid="{9C724D87-DBDB-4674-8652-4318226D1D45}">
      <text>
        <r>
          <rPr>
            <b/>
            <sz val="10"/>
            <color indexed="81"/>
            <rFont val="Arial"/>
            <family val="2"/>
          </rPr>
          <t>Pós-Processamento</t>
        </r>
        <r>
          <rPr>
            <sz val="10"/>
            <color indexed="81"/>
            <rFont val="Arial"/>
            <family val="2"/>
          </rPr>
          <t xml:space="preserve">
Concluído o pré-processamento e o processamento, siga os passos a seguir.
Passo 1: Finalize o preenchimento da Tabela 1;
Passo 2: Clique mo botão "Pós-Processamento";
Passo 3: Para evitar qualquer tipo de problema, verifique o indicador de versão do OrcaFlex;
Passo 4: Se a versão do OrcaFlex for compatível, clique no botão "Gerar Ralatório";
Passo 5: O documento em word será aberto e salvo na pasta anterior ao local onde esta planilha está salva.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python.xml><?xml version="1.0" encoding="utf-8"?>
<python xmlns="http://schemas.microsoft.com/office/spreadsheetml/2023/python">
  <environmentDefinition id="{882DD1B0-6546-4DFA-8A08-902A380B44EA}">
    <initialization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</python>
</file>

<file path=xl/sharedStrings.xml><?xml version="1.0" encoding="utf-8"?>
<sst xmlns="http://schemas.openxmlformats.org/spreadsheetml/2006/main" count="3520" uniqueCount="1328">
  <si>
    <t>Historico de Revisões</t>
  </si>
  <si>
    <t>Versão</t>
  </si>
  <si>
    <t>Data</t>
  </si>
  <si>
    <t>Alterado por</t>
  </si>
  <si>
    <t>Verificado por</t>
  </si>
  <si>
    <t>Aprovado por</t>
  </si>
  <si>
    <t>Descrição</t>
  </si>
  <si>
    <t>MCA</t>
  </si>
  <si>
    <t>Original</t>
  </si>
  <si>
    <t>MCC/YWG</t>
  </si>
  <si>
    <t>HMRO</t>
  </si>
  <si>
    <t>Descrito abaixo</t>
  </si>
  <si>
    <t>RNE</t>
  </si>
  <si>
    <t>MCC</t>
  </si>
  <si>
    <t>MGT</t>
  </si>
  <si>
    <t>?</t>
  </si>
  <si>
    <t>GANT</t>
  </si>
  <si>
    <t>YBN/PGS/MFS</t>
  </si>
  <si>
    <t>12.0.1</t>
  </si>
  <si>
    <t>YBN</t>
  </si>
  <si>
    <t>12.0.2</t>
  </si>
  <si>
    <t>MFS</t>
  </si>
  <si>
    <t>12.0.3</t>
  </si>
  <si>
    <t>YBN/MFS</t>
  </si>
  <si>
    <t>12.0.5</t>
  </si>
  <si>
    <t>13.0.0</t>
  </si>
  <si>
    <t>13.0.2</t>
  </si>
  <si>
    <t>13.0.3</t>
  </si>
  <si>
    <t>13.0.4</t>
  </si>
  <si>
    <t>13.0.5</t>
  </si>
  <si>
    <t>13.1.0</t>
  </si>
  <si>
    <t>13.1.1</t>
  </si>
  <si>
    <t>13.1.2</t>
  </si>
  <si>
    <t>13.1.3</t>
  </si>
  <si>
    <t>13.1.4</t>
  </si>
  <si>
    <t>13.1.5</t>
  </si>
  <si>
    <t>13.1.6</t>
  </si>
  <si>
    <t>13.1.7</t>
  </si>
  <si>
    <t>13.1.8</t>
  </si>
  <si>
    <t>13.1.9</t>
  </si>
  <si>
    <t>13.1.10</t>
  </si>
  <si>
    <t>13.2.0</t>
  </si>
  <si>
    <t>13.3.0</t>
  </si>
  <si>
    <t>14.0</t>
  </si>
  <si>
    <t>Versão 14</t>
  </si>
  <si>
    <t>Aba Values - Correção fórmula OD equivalente do adaptador e inclusão da seção "Linha"</t>
  </si>
  <si>
    <t>Aba Bending Stiffnes - Remoção das linha relativas a "Condição da linha" e "Densidade do Fluido" das tabelas 1.1, 2.1 e 3.1</t>
  </si>
  <si>
    <t>Unificação das abas 1st_Script_Table e 2nd_Script_Table na aba CVD_Script_Table</t>
  </si>
  <si>
    <t>CVD_Script_Table - Centralização das nomenclatuas dos linetypes</t>
  </si>
  <si>
    <t>Remoção das aba Py, as figuras serão geradas externamente, assim como script de geração dos casos 4 e 5</t>
  </si>
  <si>
    <t>2nd_Post_Processing - Inclusão do pós-processamento das análises de Hmax para a nova metodologia</t>
  </si>
  <si>
    <t>Aba Results - Remoção da tabela "Nomes bases dos arquivos" e "fontes das imagens"</t>
  </si>
  <si>
    <t>Aba Results - Inclusão de uma relativa aos dados de esforços na vértebra</t>
  </si>
  <si>
    <t>Aba Results - Inclusão de novos dados na tabela "Dados Gerais" e "Esforços no flange do MCV" para facilitar o checklist</t>
  </si>
  <si>
    <t>Aba Esforços - Preparação da tabela de esforços para preparar a tabela para os caos +-0,52</t>
  </si>
  <si>
    <t>Aba TQF - Inclusão de legenda para descrever as colunas e uma linha para deixar explícito o documento de esforços de referências</t>
  </si>
  <si>
    <t>VBA - Reorganização do código para facilitar manutenção e preparação do código para análises sem vértebra (versão futura)</t>
  </si>
  <si>
    <t>Script proc_dvc - Atualização para input automático dos dados de pressão da linha</t>
  </si>
  <si>
    <t>Novo script para gerar figuras - dvc_images.py e a pasta libs</t>
  </si>
  <si>
    <t>Atualização das figuras de CVD para contemplar as cotas solicitadas via FAPE e atividade de melhorias</t>
  </si>
  <si>
    <t>Revisão do modelo base - Atualização do Line ContentsPressureRefZ de "~" para 0</t>
  </si>
  <si>
    <t>Revisão do template de relatório para incluir a nova metodologia de Hmax, inclusão dos dados de contingência em tabelas e outras melhorias para evitar dúvidas de textuais</t>
  </si>
  <si>
    <t>Ajuste do módulo de elasticidade da vértebra de PU - É importante ressaltar que esse valor pode ser alterado em futuras versões, pois há testes e alinhamentos em andamento</t>
  </si>
  <si>
    <t>Versão 13.3</t>
  </si>
  <si>
    <t>Aba consulta - Atualização do caso de operação da curva da TechnipFMC</t>
  </si>
  <si>
    <t>Abas Esforços e TQF - Simplificação das tabelas dessas abas</t>
  </si>
  <si>
    <t>Remoção das abas e códigos relativos ao relatório A3 e A4</t>
  </si>
  <si>
    <t>VBA - Remoção das instruções que criavam o arquivo txt de database</t>
  </si>
  <si>
    <t>Atualização do template de relatório para inclusão do perfil de dragagem</t>
  </si>
  <si>
    <t>Correção do modelo base de CVD - Boias de contingência e pesos mortos</t>
  </si>
  <si>
    <t>Atualização do modelo base de CVD - A lista de flutuadores do SKA foi atualizada</t>
  </si>
  <si>
    <t>Aba Main e Values - Adição dos Ranged names "_rt_number", "_last_update" e "_rt_rev"</t>
  </si>
  <si>
    <t>Versão 13.2</t>
  </si>
  <si>
    <t>Template do relatório - Inclusão da ET e da metodologia nas referências</t>
  </si>
  <si>
    <t>Modelo base - Atualização das propriedades dos flutuadores, coeficiente de Poisson da linha e propriedades do solo</t>
  </si>
  <si>
    <t>Versão 13.1.10</t>
  </si>
  <si>
    <t>VBA - Remoção da instrução que atualizava o código do projeto</t>
  </si>
  <si>
    <t>Versão 13.1.9</t>
  </si>
  <si>
    <t>Correção da aba data - As fórmulas da tabela de empuxo foi atualizada para extração dos correta de modelos com anodos</t>
  </si>
  <si>
    <t>Versão 13.18</t>
  </si>
  <si>
    <t>Correção VBA - a variável que removia o trecho de redução do heave up foi corrigida</t>
  </si>
  <si>
    <t>Correção das abas de pós-processamento - os erros para extrair dados de contigência, linha sem toque no solo e estágio foram corrigidos.</t>
  </si>
  <si>
    <t>Versão 13.1.7</t>
  </si>
  <si>
    <t>Aba 2nd_Script_Table - Correção da modelagem da zona rígida da vértebra</t>
  </si>
  <si>
    <t>Versão 13.1.6</t>
  </si>
  <si>
    <t>Modelo base - os coeficientes hidrodinâmicos das boias foram atualizados.</t>
  </si>
  <si>
    <t>Script python proc_dvc - atualizado para atribuir as boias 3d os coeficientes hidrodinâmicos dos clump types.</t>
  </si>
  <si>
    <t>Script de geração de imagens - o script foi atualizado para não exibir os anodos nas figuras.</t>
  </si>
  <si>
    <t>Versão 13.1.5</t>
  </si>
  <si>
    <t>Modelos base - Foi inserido como padrão o damping nos flexíveis.</t>
  </si>
  <si>
    <t>Relatórios e Modelos - Padronização dos nomes dos templates.</t>
  </si>
  <si>
    <t>Versão 13.1.4</t>
  </si>
  <si>
    <t>Correção das abas Script Table - o nome da ZR_Vértebra estava diferente em relação ao modelo.</t>
  </si>
  <si>
    <t>Versão 13.1.3</t>
  </si>
  <si>
    <t>A aba Consulta foi adicionada</t>
  </si>
  <si>
    <t>Versão 13.1.2</t>
  </si>
  <si>
    <t>Modelos base - Contents line foi atualizado de "Free Floading" para "Uniform" com densidade da água igual  a 1,025 te/m³</t>
  </si>
  <si>
    <t>VBA - Correção da nota de dragagem que estava sendo exibida nos relatórios.</t>
  </si>
  <si>
    <t>VBA - Remoção do tópico sobre puxada para o caso de CVD de 2ª com flutuador.</t>
  </si>
  <si>
    <t>Versão 13.1.1</t>
  </si>
  <si>
    <t>Modelos base - Atualização das boias do SKB</t>
  </si>
  <si>
    <t>Versão 13.1.0</t>
  </si>
  <si>
    <t>Abas Post-Processing -  Extração dos esforços do flange a partir do arquivo "Caso3ii_lançamento.sim" (Layaway)</t>
  </si>
  <si>
    <t>Aba Auxiliar1 - Adição de novas tabelas para inclusão dos esforços do arquivo dinâmico (heave up e toque no solo).</t>
  </si>
  <si>
    <t>Aba Data (Tabela de Esforços) - Adição de novas linhas para os outputs do arquivo dinâmico.</t>
  </si>
  <si>
    <t>Abas Results e Esforços - Adição dos dados preliminares (esforços no flange do arquivo dinâmico) na tabela de esforços</t>
  </si>
  <si>
    <t>Abas Script_Tables - Correção dos campos de inserção dos dados de rigidezes para UEH</t>
  </si>
  <si>
    <t>VBA - Atualização do script remover as curvas de rigidezes automaticamente após clicar no botão "Rigidez" da aba Script Table</t>
  </si>
  <si>
    <t>Aba Values - Inserção dos campos com a identificação da estrutura e dos acessórios no modelo. A partir de agora, cada acessório possuirá uma prefixo de identificação conforme a planilha de acessórrios.</t>
  </si>
  <si>
    <t>Script - Para análises com tramos de estruturas diferentes, identificação do tramo conectado ao MCV</t>
  </si>
  <si>
    <t>Script - Liberação de um conjunto de boia por estágio</t>
  </si>
  <si>
    <t>Aba Post-Processing - Identificação dos estágios com todas as boias e sem boias para pós-processamento dos casos 4 e 5</t>
  </si>
  <si>
    <t>Aba Results - Inserção da tabela de cotas da dragagem</t>
  </si>
  <si>
    <t>Aba Values - Atualização da nota sobre rigidez torsional</t>
  </si>
  <si>
    <t>Modelo base - O prefixo das boias do CDA foi atualizado de TOP para CDA</t>
  </si>
  <si>
    <t>Modelo base - Os volumes dos clump types que representam peso mortos foi atualizado para zero e a massa corrigida</t>
  </si>
  <si>
    <t>Versão 13.0.5</t>
  </si>
  <si>
    <t>Modelo base - atualização dos dados de coeficiente de Poisson, rigidez  do solo e damping (conforme a ET da Petrobras)</t>
  </si>
  <si>
    <t>Script proc_dvc.py - Atualização dos valores de volume, utilização dos valores dos clump types na modelagem das boias 3d.</t>
  </si>
  <si>
    <t>Versão 13.0.4</t>
  </si>
  <si>
    <t>Abas Post-Processing - Correção das linhas de extração das boias.</t>
  </si>
  <si>
    <t>Aba MCV e Guindaste - Inserção de um aviso sobre a cota H.</t>
  </si>
  <si>
    <t>Versão 13.0.3</t>
  </si>
  <si>
    <t>Aba TQF - Correção da linha sobre força cortante, na coluna RL do campo toque no solo.</t>
  </si>
  <si>
    <t>Versão 13.0.2</t>
  </si>
  <si>
    <t>Aba 1st_Post_Processing - Correção dos estágios de extração do arquivo layaway.</t>
  </si>
  <si>
    <t>Versão 13.0.1</t>
  </si>
  <si>
    <t>Correção da aba TQF</t>
  </si>
  <si>
    <t>Abas Post-Processing - Foram modificadas para extrair as coordenadas X do MCV e o X da origem do ambiente.</t>
  </si>
  <si>
    <t>Aba Results - O dado da distância horizontal entre o MCV e a origem (posição do flange) foi adicionado na tabela de dragagem.</t>
  </si>
  <si>
    <t>Versão 13.0.0</t>
  </si>
  <si>
    <t>Unificação das planilhas de CVD de 1ª e 2ª extremidade - Padronização das abas e range names</t>
  </si>
  <si>
    <t>Prefixo 2nd e 1st nos nomes das abas - Foi inserido para diferenciar as abas</t>
  </si>
  <si>
    <t>Unificação dos códigos VBA das planilhas de 1ª e 2ª extremidade</t>
  </si>
  <si>
    <t>Aba Data - Essa aba foi criada para remover as colunas ocultas da aba Results</t>
  </si>
  <si>
    <t>Adição das análises dos casos 4 e 5</t>
  </si>
  <si>
    <t>Aba Bending Stiffness - Modificada para inserção das curvas de rigidez de teste hidroestático e de operação</t>
  </si>
  <si>
    <t>Abas Script_Table - Modificada para inserção no modelo das 3 curvas da linha</t>
  </si>
  <si>
    <t>Abas Post-Processing - Modificada para extração dos dados dos casos 4 e 5</t>
  </si>
  <si>
    <t>Aba Results - Modificada para apresentar os dados de pós-processamento dos casos 4 e 5</t>
  </si>
  <si>
    <t>Named Range - Os named ranges foram atualizados e padronizados para serem os mesmos nas planilhas de CVD de 1ª e 2ª</t>
  </si>
  <si>
    <t>VBA - Os códigos foram organizados em módulos para facilitar a manutenção</t>
  </si>
  <si>
    <t>Aba MCV e Guindaste - Inserção da cota H do MCV</t>
  </si>
  <si>
    <t>Aba Values - Inserção dos dados de conector, adaptador e MCV para extração da planilha de RT</t>
  </si>
  <si>
    <t>Remoção de dados de pós-processamento para gerar as cotas das imagens - Funcionalidade realizada pelo Python</t>
  </si>
  <si>
    <t>Versão 12.0.5</t>
  </si>
  <si>
    <t>Script Table - Foi adicionado uma célula para indicar se a curva de rigidez foi inserida ou não.</t>
  </si>
  <si>
    <t>Versão 12.0.4</t>
  </si>
  <si>
    <t>VBA - Foram incluídas novas células para serem limpas ao apertar o botão de "pós-processamento" - Evitar qualquer problema de dados sobrescritos.</t>
  </si>
  <si>
    <t>Campo de verificação da versão do OrcaFlex.</t>
  </si>
  <si>
    <t>Versão 12.0.3</t>
  </si>
  <si>
    <t>Adição da nota sobre o MBR de instalação de linhas sem vértebra;</t>
  </si>
  <si>
    <t>Correção do script de geração de imagens (estatico.py) - evitar erro de sistema decimal;</t>
  </si>
  <si>
    <t>Correção do script de geração de imagens (Abas Py2 e P3) - remoção de 3 variáveis não utilizadas que estavam causando erro;</t>
  </si>
  <si>
    <t>Correção do script de geração de imagens (Aba Py6) - O nome do MCV não estava sendo atualizado na variável vcm1_static;</t>
  </si>
  <si>
    <t>VBA - Foi adicionado o campo overlength na tabela de dados estáticos do relatório, logo a automação teve que ser atualizada;</t>
  </si>
  <si>
    <t>Aba Bending Stiffness - Agora também é possíel aumentar o valor de rigidez da curva da vértebra.</t>
  </si>
  <si>
    <t>Versão 12.0.2</t>
  </si>
  <si>
    <t>VBA - Correção no erro da função de redução de rigidez na aba Bending Stiffness.</t>
  </si>
  <si>
    <t>Versão 12.0.1</t>
  </si>
  <si>
    <t>VBA - Foi adicionada um bloco condicional para evitar que a geração do relatório falhasse em análises que não possuem attachments.</t>
  </si>
  <si>
    <t>Aba Results - A célula "Dist. da 1ª Boia ao Flange" foi atualizada para evitar que o campo fique vazio  em análises que não possuem attachments.</t>
  </si>
  <si>
    <t>Versão 12</t>
  </si>
  <si>
    <t>Planilha e Relatório - A formatação da planilha foi atualizada;</t>
  </si>
  <si>
    <t>Aba "Revisão" - Foi ocultada;</t>
  </si>
  <si>
    <t>Aba "Values" - Foram inseridas verificações para reduzir erros devido a unidade de MBR e Comprimento;</t>
  </si>
  <si>
    <t>Aba "Values" e Modelo Base - Foi inserido o linetype "Zona Rígida da Vértebra" para viabilizar a modelagem desse acessório para vértebras de PU;</t>
  </si>
  <si>
    <t>Aba "Values" - No campo "Bend Restrictor" foi inserida uma célula para seleção do material da vértebra - PU ou Aço;</t>
  </si>
  <si>
    <t>Aba "Values" - Adição de novas linhas para exibir o módulo de Young dos materiais de cada acessório;</t>
  </si>
  <si>
    <t>Aba "Values" - A tabela utilizada pelo botão "Importar Dados da RT" foi atualizada;</t>
  </si>
  <si>
    <t>Aba "Bend Stiffness" - Foram inseridades duas novas funcionalidades, o fator de redução da rigidez e o ajuste do número de pontos da curva de rigidez;</t>
  </si>
  <si>
    <t>Aba "Script Table" - Foi atualizada para viabilizar a inserção da Zona Rígida da vértebra no modelo;</t>
  </si>
  <si>
    <t>Abas de Post-Processing e Auxiliares - Erros de referências da Rev11 foram consertados;</t>
  </si>
  <si>
    <t>Abas "Post-Processing" e "Results" - Extração dos dados comprimentos das lingadas.</t>
  </si>
  <si>
    <t>Abas Python - Os códigos Python foram atualizados para viabilizar a geração de figuras de análises com tramos menores que a LDA;</t>
  </si>
  <si>
    <t>Abas Python - Os códigos Python foram atualizados para diferenciar anodos de pesos mortos;</t>
  </si>
  <si>
    <t>Aba "Results" - Os dados de tração e força cortante foram corrigidos na tabela RESUMO -  a ordem estava invertida;</t>
  </si>
  <si>
    <t>Aba "Results" e VBA - Os nomes das embarcações EDM e CDA foram atualizados, o "Top" foi removido.</t>
  </si>
  <si>
    <t>Aba "Results" - Foram inseridos os campos "Iniciais do Aprovador" e "Versão do Relatório" - Assim é preenchido automaticamente no relatório;</t>
  </si>
  <si>
    <t>Aba "Results" - Foi inserida uma tabela de orientação para nomeação de "Clump Types";</t>
  </si>
  <si>
    <t>VBA e Relatório - Foi removida cabeçalho a logo "TFMC e Ocyan" e o bloco do VBA que fazia essa troca de logos;</t>
  </si>
  <si>
    <t>VBA - Foi inserido uma verificação para não permitir a geração do relatório sem que os dados da RT não estejam preenchidos;</t>
  </si>
  <si>
    <t>VBA - Foi inserido um bloco condicional para trocar os nomes dos barcos gêmeos "Skandi Olinda" e "Skandi Recife" para "Skandi 300t";</t>
  </si>
  <si>
    <t>VBA - Os trechos de código que continham "noatt4" foram removidos porque não existe no Relatório e estava provocando erro;</t>
  </si>
  <si>
    <t>VBA - O relatório Word é gerado já com o nome final - código do projeto + versão;</t>
  </si>
  <si>
    <t>VBA e Excel - Os "Defined Names" foram atualizados e padronizados entre as planilhas de CVD de 1ª e 2ª;</t>
  </si>
  <si>
    <t>Relatório - A revisão da ET foi atualizada de D para F;</t>
  </si>
  <si>
    <t>Relatório - Os comprimentos das lingadas foram inseridos nas tabelas 3.3 e 6.1;</t>
  </si>
  <si>
    <t>FORAM CRIADOS TESTES UNITÁRIOS PARA TESTAR ESTA PLANILHA - ESTÃO SALVOS NO AZURE.</t>
  </si>
  <si>
    <t>Versão 11</t>
  </si>
  <si>
    <t>Introdução dos relatórios simplificados em A4 (Aba "Relatório") e A3 (Aba "Relatório A3");</t>
  </si>
  <si>
    <t>Extração do momento fletor e esforço cortante na vértebra na análise estática e contingências;</t>
  </si>
  <si>
    <t>Alteração no script para gerar imagens, de forma a não dar erro quando se introduz o anodo;</t>
  </si>
  <si>
    <t>Versão 10</t>
  </si>
  <si>
    <t>Modificações não registradas</t>
  </si>
  <si>
    <t>Versão 9</t>
  </si>
  <si>
    <t>Implementação de Adaptador no modelo</t>
  </si>
  <si>
    <t>Suporte a diferentes versões do Orcaflex</t>
  </si>
  <si>
    <t>Adição de flutuadores dos navios</t>
  </si>
  <si>
    <t>Correção de bugs e ajuste de fórmulas antigas</t>
  </si>
  <si>
    <t>Versão 8</t>
  </si>
  <si>
    <t>Tabela de esforços para TQF</t>
  </si>
  <si>
    <t>Nota sobre aprovação de esforços via TQF na conclusão do relatório</t>
  </si>
  <si>
    <t>Correção de bugs</t>
  </si>
  <si>
    <t>Força cortante na vértebra na automação do relatório</t>
  </si>
  <si>
    <t>Casos extras nos relatório para os PLSVs TOP</t>
  </si>
  <si>
    <t>Scripts geradores de imagens para os casos extras dos PLSVs TOP</t>
  </si>
  <si>
    <t>Altura da corcova medida no ponto mais alto da mesma</t>
  </si>
  <si>
    <t>Versão 7</t>
  </si>
  <si>
    <t>Inclusão do nome de referência dos objetos no modelo</t>
  </si>
  <si>
    <t>Inclusão da tabela com o nome de referência no relatório</t>
  </si>
  <si>
    <t>Automação do relatório preparada para lidar com travamento de vértebra</t>
  </si>
  <si>
    <t>Inclusão da aba de comparação de esforços</t>
  </si>
  <si>
    <t>Inclusão do compilado de resultados</t>
  </si>
  <si>
    <t>Unificação da aba de PO, IA, IG, GL e Gas com a aba de UEH</t>
  </si>
  <si>
    <t>Alteração das unidades dos dados de input</t>
  </si>
  <si>
    <t>Inclusão da rotina de importação de dados da RT</t>
  </si>
  <si>
    <t>Automação do relatório preparada para lidar com peso morto ou ausência de flutuadores</t>
  </si>
  <si>
    <t>Incorporação do script gerador de imagens</t>
  </si>
  <si>
    <t>Inclusão dos flutuadores do Skandi Açu e Skandi Búzios</t>
  </si>
  <si>
    <t>Automação do relatório preparada para lidar com dragagem</t>
  </si>
  <si>
    <t>Versão 6</t>
  </si>
  <si>
    <t>Inclusão inputs para o DB de CVD</t>
  </si>
  <si>
    <t>Versão 5</t>
  </si>
  <si>
    <t>Inclusão da troca automática dos separadores do sistema</t>
  </si>
  <si>
    <t>Ajustes nos arredondamentos dos valores no relatório</t>
  </si>
  <si>
    <t>Redução na quantidade de inputs manuais no relatório</t>
  </si>
  <si>
    <t>Inclusão da logomarca TechnipFMC no cabeçalho do relatório</t>
  </si>
  <si>
    <t>Versão 4</t>
  </si>
  <si>
    <t>Esforços no momento em que a linha toca o solo, no caso 3ii</t>
  </si>
  <si>
    <t>Alterações no relatório para adequação à Rev. D da ET</t>
  </si>
  <si>
    <t>Inclusão do Resumo no relatório</t>
  </si>
  <si>
    <t>Remoção da aba Batimetria</t>
  </si>
  <si>
    <t>Inclusão do momento fletor na contigência</t>
  </si>
  <si>
    <t>Versão 3</t>
  </si>
  <si>
    <t>Alteração da fórmula de cálculo do OD do Conector</t>
  </si>
  <si>
    <t>Inclusão do Drag Diameter da linha na aba Script Table</t>
  </si>
  <si>
    <t>Correções no cálculo das cotas dos desenhos</t>
  </si>
  <si>
    <t>Alteração da busca do heave up na macro, para o relatorio</t>
  </si>
  <si>
    <t>Inclusão da quarta cota de batimetria na planilha e no Script Table</t>
  </si>
  <si>
    <t>Inclusão dos esforços max e min dos Casos 3i e 3ii segundo a Revisao D da ET</t>
  </si>
  <si>
    <t>Inclusão do diâmetro nominal nos inputs</t>
  </si>
  <si>
    <t>Inclusão da macro que gera o TXT para alimentar o DB</t>
  </si>
  <si>
    <t>Inclusão da correção de batimetria</t>
  </si>
  <si>
    <t>Atualização das imagens de referências</t>
  </si>
  <si>
    <t>Alteração do nome do arquivo Relatorio gerado e da pasta</t>
  </si>
  <si>
    <t>Versão 2</t>
  </si>
  <si>
    <t>Atualização das macros para criar o relatório</t>
  </si>
  <si>
    <t>Insira o número da RT no campo a seguir:</t>
  </si>
  <si>
    <t>Revisão</t>
  </si>
  <si>
    <t>Lançamento</t>
  </si>
  <si>
    <t>Teste Hidroestático</t>
  </si>
  <si>
    <t>Operação</t>
  </si>
  <si>
    <t>Fabricante</t>
  </si>
  <si>
    <t>Anular Seco</t>
  </si>
  <si>
    <t>Anular Alagado</t>
  </si>
  <si>
    <t>TechnipFMC</t>
  </si>
  <si>
    <t>Case 2
Normal</t>
  </si>
  <si>
    <t>Case 2
Flooded</t>
  </si>
  <si>
    <t>Case 4
Normal</t>
  </si>
  <si>
    <t>Case 4
Flooded</t>
  </si>
  <si>
    <t>Case 6
Normal</t>
  </si>
  <si>
    <t>Case 6
Flooded</t>
  </si>
  <si>
    <t>BHGE</t>
  </si>
  <si>
    <t>Load2</t>
  </si>
  <si>
    <t>Load6</t>
  </si>
  <si>
    <t>Load4</t>
  </si>
  <si>
    <t>Load8</t>
  </si>
  <si>
    <t>Load3</t>
  </si>
  <si>
    <t>Load7</t>
  </si>
  <si>
    <t>NOV</t>
  </si>
  <si>
    <t>Load13</t>
  </si>
  <si>
    <t>Load15</t>
  </si>
  <si>
    <t>Load5</t>
  </si>
  <si>
    <t>Load14</t>
  </si>
  <si>
    <t>Temperatura (Interna / Externa)</t>
  </si>
  <si>
    <t>Maximum specified water depth</t>
  </si>
  <si>
    <t>Pressão Interna</t>
  </si>
  <si>
    <t>110% of maximum design pressure (top side)</t>
  </si>
  <si>
    <t>Maximum operating pressure</t>
  </si>
  <si>
    <t>Pressão Externa</t>
  </si>
  <si>
    <t>Dados</t>
  </si>
  <si>
    <t>Check</t>
  </si>
  <si>
    <t>Observações</t>
  </si>
  <si>
    <t>Elaborador</t>
  </si>
  <si>
    <t>Verificador</t>
  </si>
  <si>
    <t>Comentário</t>
  </si>
  <si>
    <t>LEGENDA</t>
  </si>
  <si>
    <t>Linha</t>
  </si>
  <si>
    <t>LDA [m]</t>
  </si>
  <si>
    <t>O comprimento da linha é ajustado conforme a LDA</t>
  </si>
  <si>
    <t>Branco</t>
  </si>
  <si>
    <t>NÃO MODIFICAR</t>
  </si>
  <si>
    <t>Aplicação da linha</t>
  </si>
  <si>
    <t>Amarelo</t>
  </si>
  <si>
    <t>PREENCHIMENTO MANUAL</t>
  </si>
  <si>
    <t>Comprimento insulation clamp [mm]</t>
  </si>
  <si>
    <t>Alterar apenas SE houver insulation clamp</t>
  </si>
  <si>
    <t>Laranja</t>
  </si>
  <si>
    <t>LISTA SUSPENSA</t>
  </si>
  <si>
    <r>
      <t xml:space="preserve">Densidade do fluido de </t>
    </r>
    <r>
      <rPr>
        <b/>
        <sz val="10"/>
        <color theme="1"/>
        <rFont val="Arial"/>
        <family val="2"/>
      </rPr>
      <t>operação</t>
    </r>
    <r>
      <rPr>
        <sz val="10"/>
        <color theme="1"/>
        <rFont val="Arial"/>
        <family val="2"/>
      </rPr>
      <t xml:space="preserve"> [t/m³]</t>
    </r>
  </si>
  <si>
    <t>Densidade do fluido de operação (Caso 5), por padrão é a densidade da água</t>
  </si>
  <si>
    <t>Válido para toda planilha</t>
  </si>
  <si>
    <t>Pressão do Caso4 [MPa]</t>
  </si>
  <si>
    <t>Formulário de RT, por padrão a pressão é igual a 0</t>
  </si>
  <si>
    <t>Pressão do Caso5 [MPa]</t>
  </si>
  <si>
    <t>Estrutura</t>
  </si>
  <si>
    <t>Peso vazio no ar [kg/m]</t>
  </si>
  <si>
    <t>Formulário de RT e Data Sheet</t>
  </si>
  <si>
    <t>Identificação da estrutura</t>
  </si>
  <si>
    <t>Peso cheio no ar [kg/m]</t>
  </si>
  <si>
    <t>Peso vazio na água [kg/m]</t>
  </si>
  <si>
    <t>Revisão do datasheet</t>
  </si>
  <si>
    <t>Peso cheio na água [kg/m]</t>
  </si>
  <si>
    <t>OD [m]</t>
  </si>
  <si>
    <r>
      <rPr>
        <sz val="10"/>
        <color rgb="FFFF0000"/>
        <rFont val="Arial"/>
        <family val="2"/>
      </rPr>
      <t>Aba Consulta</t>
    </r>
    <r>
      <rPr>
        <sz val="10"/>
        <color theme="1"/>
        <rFont val="Arial"/>
        <family val="2"/>
      </rPr>
      <t xml:space="preserve"> - Calculado pela equação 1 (Conforme a ET)</t>
    </r>
  </si>
  <si>
    <t>ID [m]</t>
  </si>
  <si>
    <r>
      <rPr>
        <sz val="10"/>
        <color rgb="FFFF0000"/>
        <rFont val="Arial"/>
        <family val="2"/>
      </rPr>
      <t>Aba Consulta</t>
    </r>
    <r>
      <rPr>
        <sz val="10"/>
        <color theme="1"/>
        <rFont val="Arial"/>
        <family val="2"/>
      </rPr>
      <t xml:space="preserve"> - Calculado pela equação 2 (Conforme a ET)</t>
    </r>
  </si>
  <si>
    <t>Contact diameter [mm]</t>
  </si>
  <si>
    <t>Diâmetro nominal [polegada]</t>
  </si>
  <si>
    <t>MBR storage [m]</t>
  </si>
  <si>
    <t>MBR de armazenamento</t>
  </si>
  <si>
    <t>MBRi instalação (OrcaFlex) [m]</t>
  </si>
  <si>
    <t>Raio mínimo considerado na análise</t>
  </si>
  <si>
    <t>Bending Stiffness [kN.m2]</t>
  </si>
  <si>
    <t>Usar curva de rigidez para estruturas conectadas ao MCV</t>
  </si>
  <si>
    <t>Torsional Stiffness [kN.m2]</t>
  </si>
  <si>
    <t>Leia a nota</t>
  </si>
  <si>
    <t>Rel. Elongation (%) for 100kN</t>
  </si>
  <si>
    <r>
      <rPr>
        <sz val="10"/>
        <color rgb="FFFF0000"/>
        <rFont val="Arial"/>
        <family val="2"/>
      </rPr>
      <t>Aba Consulta</t>
    </r>
    <r>
      <rPr>
        <sz val="10"/>
        <color theme="1"/>
        <rFont val="Arial"/>
        <family val="2"/>
      </rPr>
      <t xml:space="preserve"> - Calculado pela equação 3 (Ԑ = 100 * F / EA)</t>
    </r>
  </si>
  <si>
    <t>Axial Stiffness [kN]</t>
  </si>
  <si>
    <t>Se indicado valor no data sheet, sobrescrever a célula.</t>
  </si>
  <si>
    <t>Vértebra/Bend Restrictor</t>
  </si>
  <si>
    <t>Comprimento SEM adaptador [mm]</t>
  </si>
  <si>
    <t>Atentar para o número de anéis a serem montados</t>
  </si>
  <si>
    <t>Identificação da vértebra</t>
  </si>
  <si>
    <t>Número de gomos da vértebra</t>
  </si>
  <si>
    <r>
      <t xml:space="preserve">Desenho - </t>
    </r>
    <r>
      <rPr>
        <sz val="10"/>
        <color rgb="FFFF0000"/>
        <rFont val="Arial"/>
        <family val="2"/>
      </rPr>
      <t>Sem impacto no modelo base para esta versão</t>
    </r>
  </si>
  <si>
    <t>Peso vazio no ar [kg]</t>
  </si>
  <si>
    <t>Desenho</t>
  </si>
  <si>
    <t>Revisão do desenho</t>
  </si>
  <si>
    <t>Peso vazio na água [kg]</t>
  </si>
  <si>
    <t>Se não tiver no desenho usar Par*0,87, EXCETO para Vértebras de PU!</t>
  </si>
  <si>
    <t>Peso no ar/comp [t/m]</t>
  </si>
  <si>
    <t>Calculado</t>
  </si>
  <si>
    <t>Selecione o material</t>
  </si>
  <si>
    <t>Peso na água/comp [t/m]</t>
  </si>
  <si>
    <t>PU</t>
  </si>
  <si>
    <r>
      <rPr>
        <sz val="10"/>
        <color rgb="FFFF0000"/>
        <rFont val="Arial"/>
        <family val="2"/>
      </rPr>
      <t>Aba Consulta</t>
    </r>
    <r>
      <rPr>
        <sz val="10"/>
        <color theme="1"/>
        <rFont val="Arial"/>
        <family val="2"/>
      </rPr>
      <t xml:space="preserve"> - Calculado pela equação 4 (Conforme a ET)</t>
    </r>
  </si>
  <si>
    <t>OD [mm]</t>
  </si>
  <si>
    <r>
      <rPr>
        <sz val="10"/>
        <color rgb="FFFF0000"/>
        <rFont val="Arial"/>
        <family val="2"/>
      </rPr>
      <t>Aba Consulta</t>
    </r>
    <r>
      <rPr>
        <sz val="10"/>
        <color theme="1"/>
        <rFont val="Arial"/>
        <family val="2"/>
      </rPr>
      <t xml:space="preserve"> - OD da menor seção da vértebra (Desenho1)</t>
    </r>
  </si>
  <si>
    <t>ID [mm]</t>
  </si>
  <si>
    <r>
      <rPr>
        <sz val="10"/>
        <color rgb="FFFF0000"/>
        <rFont val="Arial"/>
        <family val="2"/>
      </rPr>
      <t>Aba Consulta</t>
    </r>
    <r>
      <rPr>
        <sz val="10"/>
        <color theme="1"/>
        <rFont val="Arial"/>
        <family val="2"/>
      </rPr>
      <t xml:space="preserve"> - ID da menor seção da vértebra (Desenho1)</t>
    </r>
  </si>
  <si>
    <t>Desenho - Maior diâmetro do acessório (colocar em contact e drag)</t>
  </si>
  <si>
    <t>MBR travamento [m]</t>
  </si>
  <si>
    <t>Valor do Relatório de Esforços</t>
  </si>
  <si>
    <t>Momento Fletor Admissível [kN.m]</t>
  </si>
  <si>
    <t>Força Cortante Admissível [kN]</t>
  </si>
  <si>
    <t>Módulo de Young [kN/m2]</t>
  </si>
  <si>
    <r>
      <rPr>
        <sz val="10"/>
        <color rgb="FFFF0000"/>
        <rFont val="Arial"/>
        <family val="2"/>
      </rPr>
      <t>Aba Consulta</t>
    </r>
    <r>
      <rPr>
        <sz val="10"/>
        <color theme="1"/>
        <rFont val="Arial"/>
        <family val="2"/>
      </rPr>
      <t xml:space="preserve"> - Calculado pela equação 5 (Conforme a ET)</t>
    </r>
  </si>
  <si>
    <r>
      <t xml:space="preserve">Constante - </t>
    </r>
    <r>
      <rPr>
        <sz val="10"/>
        <color rgb="FFFF0000"/>
        <rFont val="Arial"/>
        <family val="2"/>
      </rPr>
      <t>Conforme a ET para aço, avaliar para PU (testes em andamento)</t>
    </r>
  </si>
  <si>
    <t>Constante - Conforme a ET para aço, avaliar para PU</t>
  </si>
  <si>
    <t>Curvatura [1/m]</t>
  </si>
  <si>
    <t>Ver aba Bending Stiffness</t>
  </si>
  <si>
    <t>Bend moment [kN.m]</t>
  </si>
  <si>
    <t>Curvatura limit [1/m]</t>
  </si>
  <si>
    <t>Bend Moment limit [kN.m]</t>
  </si>
  <si>
    <t xml:space="preserve">Conector/End Fitting </t>
  </si>
  <si>
    <t>Comprimento [mm]</t>
  </si>
  <si>
    <t>Identificação do conector</t>
  </si>
  <si>
    <t xml:space="preserve">Se não tiver no desenho usar Par*0,87. </t>
  </si>
  <si>
    <t xml:space="preserve">OD do pescoço presente no desenho </t>
  </si>
  <si>
    <t>ID presente no desenho ou ID do duto no data sheet</t>
  </si>
  <si>
    <t>Maior diâmetro do acessório (colocar em contact e drag)</t>
  </si>
  <si>
    <t>Módulo de Young do aço (Conforme a ET)</t>
  </si>
  <si>
    <r>
      <t xml:space="preserve">Aba Consulta - </t>
    </r>
    <r>
      <rPr>
        <sz val="10"/>
        <rFont val="Arial"/>
        <family val="2"/>
      </rPr>
      <t>Calculado pela equação 6 (Conforme a ET)</t>
    </r>
  </si>
  <si>
    <r>
      <t xml:space="preserve">Aba Consulta - </t>
    </r>
    <r>
      <rPr>
        <sz val="10"/>
        <rFont val="Arial"/>
        <family val="2"/>
      </rPr>
      <t>Calculado pela equação 7 (Conforme a ET)</t>
    </r>
  </si>
  <si>
    <r>
      <t xml:space="preserve">Aba Consulta - </t>
    </r>
    <r>
      <rPr>
        <sz val="10"/>
        <rFont val="Arial"/>
        <family val="2"/>
      </rPr>
      <t>Calculado pela equação 8 (Conforme a ET)</t>
    </r>
  </si>
  <si>
    <t>Adaptador de Flanges</t>
  </si>
  <si>
    <t>Identificação do adaptador</t>
  </si>
  <si>
    <t>Zona Rígida da Vértebra</t>
  </si>
  <si>
    <r>
      <rPr>
        <sz val="10"/>
        <color rgb="FFFF0000"/>
        <rFont val="Arial"/>
        <family val="2"/>
      </rPr>
      <t>Aba Consulta</t>
    </r>
    <r>
      <rPr>
        <sz val="10"/>
        <color theme="1"/>
        <rFont val="Arial"/>
        <family val="2"/>
      </rPr>
      <t xml:space="preserve"> - Comprimento = ZR + ZI, se tiver ZI (Desenho2)</t>
    </r>
  </si>
  <si>
    <t>Identificação do acessório</t>
  </si>
  <si>
    <r>
      <rPr>
        <sz val="10"/>
        <color rgb="FFFF0000"/>
        <rFont val="Arial"/>
        <family val="2"/>
      </rPr>
      <t>Aba Consulta</t>
    </r>
    <r>
      <rPr>
        <sz val="10"/>
        <color theme="1"/>
        <rFont val="Arial"/>
        <family val="2"/>
      </rPr>
      <t xml:space="preserve"> - OD da menor seção da ZR da vértebra (Desenho2)</t>
    </r>
  </si>
  <si>
    <r>
      <rPr>
        <sz val="10"/>
        <color rgb="FFFF0000"/>
        <rFont val="Arial"/>
        <family val="2"/>
      </rPr>
      <t>Aba Consulta</t>
    </r>
    <r>
      <rPr>
        <sz val="10"/>
        <color theme="1"/>
        <rFont val="Arial"/>
        <family val="2"/>
      </rPr>
      <t xml:space="preserve"> - ID da menor seção da ZR da vértebra (Desenho2)</t>
    </r>
  </si>
  <si>
    <r>
      <t>Torsional Stiffness [kN.m</t>
    </r>
    <r>
      <rPr>
        <vertAlign val="superscript"/>
        <sz val="10"/>
        <color theme="1"/>
        <rFont val="Arial"/>
        <family val="2"/>
      </rPr>
      <t>2</t>
    </r>
    <r>
      <rPr>
        <sz val="10"/>
        <color theme="1"/>
        <rFont val="Arial"/>
        <family val="2"/>
      </rPr>
      <t>]</t>
    </r>
  </si>
  <si>
    <t>DESENHO MCV - Relatório PETROBRAS</t>
  </si>
  <si>
    <t>Drawing MCV (Orcaflex)</t>
  </si>
  <si>
    <t>EQSB</t>
  </si>
  <si>
    <t>Fornecedor</t>
  </si>
  <si>
    <t>Equipamento</t>
  </si>
  <si>
    <t>A [mm]</t>
  </si>
  <si>
    <t>B [mm]</t>
  </si>
  <si>
    <t>C [mm]</t>
  </si>
  <si>
    <t>D [mm]</t>
  </si>
  <si>
    <t>E [mm]</t>
  </si>
  <si>
    <t>F [mm]</t>
  </si>
  <si>
    <t>G [mm]</t>
  </si>
  <si>
    <t>H [mm]</t>
  </si>
  <si>
    <t>MCV (Orcaflex)</t>
  </si>
  <si>
    <t>Guindaste ou A/R</t>
  </si>
  <si>
    <t>Peso</t>
  </si>
  <si>
    <t>Pair - Peso no ar [kg] - Nota1</t>
  </si>
  <si>
    <t>Pw - Peso na água [kg]</t>
  </si>
  <si>
    <t>Comprimento [m]</t>
  </si>
  <si>
    <t>Volume</t>
  </si>
  <si>
    <t>CG</t>
  </si>
  <si>
    <t>A [m] (Z)</t>
  </si>
  <si>
    <t>BATIMETRIA - PERFIL DO LEITO MARINHO - SEM DRAGAGEM</t>
  </si>
  <si>
    <t>[m] (Y)</t>
  </si>
  <si>
    <t>Dist. Hor.</t>
  </si>
  <si>
    <t>Dist. Vert.</t>
  </si>
  <si>
    <t>Profundidade</t>
  </si>
  <si>
    <t>B [m] (X)</t>
  </si>
  <si>
    <t>Olhal</t>
  </si>
  <si>
    <t>C [m] (Z)</t>
  </si>
  <si>
    <t>D [m] (X)</t>
  </si>
  <si>
    <t>Flange</t>
  </si>
  <si>
    <t>E [m] (Z)</t>
  </si>
  <si>
    <t>F [m] (X)</t>
  </si>
  <si>
    <t>H ao solo</t>
  </si>
  <si>
    <t xml:space="preserve">[m] (Z) </t>
  </si>
  <si>
    <t>Alfa</t>
  </si>
  <si>
    <t>Ângulo Inclinação</t>
  </si>
  <si>
    <t>Nota1 - Peso no ar deve ser igual ao peso na água</t>
  </si>
  <si>
    <t>Curva de Rigidez de Lançamento</t>
  </si>
  <si>
    <t>Curva de Rigidez de Teste Hidrostático
Histerese desativada</t>
  </si>
  <si>
    <t>Curva de Rigidez de Operação
Histerese desativada</t>
  </si>
  <si>
    <t>Curva de Rigidez da Vértebra (VERT)
Histerese desativada</t>
  </si>
  <si>
    <t>Tabela 1.1 - Dados da Curva</t>
  </si>
  <si>
    <t>Tabela 2.1 - Dados da Curva</t>
  </si>
  <si>
    <t>Tabela 3.1 - Dados da Curva</t>
  </si>
  <si>
    <t xml:space="preserve">Nº de pontos </t>
  </si>
  <si>
    <t>Houve alteração na rigidez?</t>
  </si>
  <si>
    <t>Não</t>
  </si>
  <si>
    <t>Percentual de alteração (%)</t>
  </si>
  <si>
    <t>Condição do Anular</t>
  </si>
  <si>
    <t>Identificação da curva</t>
  </si>
  <si>
    <t>Tabela 1.2 - Input</t>
  </si>
  <si>
    <t>Tabela 1.3 - OrcaFlex Input</t>
  </si>
  <si>
    <t>Tabela 2.2 -  Input</t>
  </si>
  <si>
    <t>Tabela 2.3 - OrcaFlex Input</t>
  </si>
  <si>
    <t>Tabela 3.2 - Input</t>
  </si>
  <si>
    <t>Tabela 3.3 - OrcaFlex Input</t>
  </si>
  <si>
    <t>Tabela 4 - OrcaFlex Input</t>
  </si>
  <si>
    <t>Curvature 
[1/m]</t>
  </si>
  <si>
    <t>BM 
[N.m]</t>
  </si>
  <si>
    <t>BM 
[kN.m]</t>
  </si>
  <si>
    <t>IndependentValue</t>
  </si>
  <si>
    <t>DependentValue</t>
  </si>
  <si>
    <t>Tabela baseada na ET - Ver aba Consulta</t>
  </si>
  <si>
    <t>Script Table Row</t>
  </si>
  <si>
    <t>Script.txt</t>
  </si>
  <si>
    <t>// Selecione a célula A2 e na aba orcaflex, "Create batch Script"</t>
  </si>
  <si>
    <t>//</t>
  </si>
  <si>
    <t xml:space="preserve">// Case </t>
  </si>
  <si>
    <t>Curva de Lançamento</t>
  </si>
  <si>
    <t>LoadData</t>
  </si>
  <si>
    <t>Select Line</t>
  </si>
  <si>
    <t>Select Linha</t>
  </si>
  <si>
    <t>OD =</t>
  </si>
  <si>
    <t>ID =</t>
  </si>
  <si>
    <t>Curva de Teste</t>
  </si>
  <si>
    <t>MassPerUnitLength =</t>
  </si>
  <si>
    <t>EA =</t>
  </si>
  <si>
    <t>xMinRadius =</t>
  </si>
  <si>
    <t>Curva de Operação</t>
  </si>
  <si>
    <t>NormalDragLiftDiameter =</t>
  </si>
  <si>
    <t>AxialDragLiftDiameter =</t>
  </si>
  <si>
    <t>ContactDiameter =</t>
  </si>
  <si>
    <t>NumberOfSections</t>
  </si>
  <si>
    <t>GJ =</t>
  </si>
  <si>
    <t>Select Vértebra</t>
  </si>
  <si>
    <t>OrcaFlex - Nomes dos Linetypes e objetos</t>
  </si>
  <si>
    <t>6D Buoys - MCV</t>
  </si>
  <si>
    <t>Linetype - Adaptador de flanges</t>
  </si>
  <si>
    <t>Linetype - Conector</t>
  </si>
  <si>
    <t>Linetype - Zona rígida da vértebra</t>
  </si>
  <si>
    <t>Linetype - Vértebra</t>
  </si>
  <si>
    <t>Linetype - Flexível</t>
  </si>
  <si>
    <t>Line - Linha</t>
  </si>
  <si>
    <t>Line</t>
  </si>
  <si>
    <t>Select Conector</t>
  </si>
  <si>
    <t>Line - Vértebra</t>
  </si>
  <si>
    <t>Stiffener1</t>
  </si>
  <si>
    <t>Winch - A/R</t>
  </si>
  <si>
    <t>A/R</t>
  </si>
  <si>
    <t>3D Buoys - Junção de Corcova</t>
  </si>
  <si>
    <t>Junção</t>
  </si>
  <si>
    <t>EIx =</t>
  </si>
  <si>
    <t>Link - Corcova 1</t>
  </si>
  <si>
    <t>Cabrestante 1</t>
  </si>
  <si>
    <t>Link - Corcova 2</t>
  </si>
  <si>
    <t>Cabrestante 2</t>
  </si>
  <si>
    <t>Bending Stiffness Data</t>
  </si>
  <si>
    <t>Curva de Lançamento - NumberOfRows</t>
  </si>
  <si>
    <t>Curva de Lançamento - First row of the table</t>
  </si>
  <si>
    <t>Curva de Teste - NumberOfRows</t>
  </si>
  <si>
    <t>Curva de Teste - First row of the table</t>
  </si>
  <si>
    <t>Curva de Operação - NumberOfRows</t>
  </si>
  <si>
    <t>Curva de Operação - First row of the table</t>
  </si>
  <si>
    <t>Curva da Vértebra - NumberOfRows</t>
  </si>
  <si>
    <t>Bending Stiffness - Curva ou nominal?</t>
  </si>
  <si>
    <t>Select MCV</t>
  </si>
  <si>
    <t>Mass =</t>
  </si>
  <si>
    <t>Height =</t>
  </si>
  <si>
    <t>InitialZ =</t>
  </si>
  <si>
    <t>CentreOfMassX=</t>
  </si>
  <si>
    <t>CentreOfMassY=</t>
  </si>
  <si>
    <t>CentreOfMassZ=</t>
  </si>
  <si>
    <t>CentreOfVolumeX=</t>
  </si>
  <si>
    <t>CentreOfVolumeY=</t>
  </si>
  <si>
    <t>CentreOfVolumeZ=</t>
  </si>
  <si>
    <t>Select Vert</t>
  </si>
  <si>
    <t>Length =</t>
  </si>
  <si>
    <t>Length[6] =</t>
  </si>
  <si>
    <t>Attachmentz[1] =</t>
  </si>
  <si>
    <t>EndBX =</t>
  </si>
  <si>
    <t>EndBZ =</t>
  </si>
  <si>
    <t>EndBDeclination =</t>
  </si>
  <si>
    <t>Select Guindaste</t>
  </si>
  <si>
    <t>ConnectionX[2] =</t>
  </si>
  <si>
    <t>ConnectionZ[2] =</t>
  </si>
  <si>
    <t>StageValue[1] =</t>
  </si>
  <si>
    <t>Name =</t>
  </si>
  <si>
    <t>Select Environment</t>
  </si>
  <si>
    <t>SeabedType=</t>
  </si>
  <si>
    <t>Profile</t>
  </si>
  <si>
    <t>SeabedProfileNumberOfPoints=</t>
  </si>
  <si>
    <t>SeabedProfileDistanceFromSeabedOrigin[1]=</t>
  </si>
  <si>
    <t>SeabedProfileDepth[1]=</t>
  </si>
  <si>
    <t>SeabedProfileDistanceFromSeabedOrigin[2]=</t>
  </si>
  <si>
    <t>SeabedProfileDepth[2]=</t>
  </si>
  <si>
    <t>SeabedProfileDistanceFromSeabedOrigin[3]=</t>
  </si>
  <si>
    <t>SeabedProfileDepth[3]=</t>
  </si>
  <si>
    <t>SeabedProfileDistanceFromSeabedOrigin[4]=</t>
  </si>
  <si>
    <t>SeabedProfileDepth[4]=</t>
  </si>
  <si>
    <t>_Start_</t>
  </si>
  <si>
    <t>Select Stiffness_Vértebra</t>
  </si>
  <si>
    <t>NumberOfRows =</t>
  </si>
  <si>
    <t>_End_</t>
  </si>
  <si>
    <t>IndependentValue[2]=</t>
  </si>
  <si>
    <t>IndependentValue[3]=</t>
  </si>
  <si>
    <t>DependentValue[2]=</t>
  </si>
  <si>
    <t>DependentValue[3]=</t>
  </si>
  <si>
    <t>SaveData</t>
  </si>
  <si>
    <t>Case</t>
  </si>
  <si>
    <t>Stage - Index</t>
  </si>
  <si>
    <t>EndStage</t>
  </si>
  <si>
    <t>Sheet</t>
  </si>
  <si>
    <t>Label</t>
  </si>
  <si>
    <t>Output</t>
  </si>
  <si>
    <t>Object</t>
  </si>
  <si>
    <t>Additional</t>
  </si>
  <si>
    <t>Simulation</t>
  </si>
  <si>
    <t>Name</t>
  </si>
  <si>
    <t>Cell</t>
  </si>
  <si>
    <t>Command</t>
  </si>
  <si>
    <t>Period</t>
  </si>
  <si>
    <t>Variable</t>
  </si>
  <si>
    <t>Layaway - Fim caso3ii</t>
  </si>
  <si>
    <t>Layaway - Flut Fixos</t>
  </si>
  <si>
    <t>1st_Post_Processing</t>
  </si>
  <si>
    <t>Q3</t>
  </si>
  <si>
    <t>Get Data</t>
  </si>
  <si>
    <t>General</t>
  </si>
  <si>
    <t>Layaway - Flut Soltos</t>
  </si>
  <si>
    <t>Q4</t>
  </si>
  <si>
    <t>Casos 4 - LAN (Com Flut)</t>
  </si>
  <si>
    <t>H16</t>
  </si>
  <si>
    <t>OrcFxAPI version</t>
  </si>
  <si>
    <t>Casos 4 - LAN (Sem Flut)</t>
  </si>
  <si>
    <t>H17</t>
  </si>
  <si>
    <t>NumberOfAttachments</t>
  </si>
  <si>
    <t>Casos 4 - HID (Com Flut)</t>
  </si>
  <si>
    <t>H18</t>
  </si>
  <si>
    <t>Static Result</t>
  </si>
  <si>
    <t>End B</t>
  </si>
  <si>
    <t>End Ey-Moment</t>
  </si>
  <si>
    <t>Casos 4 - HID (Sem Flut)</t>
  </si>
  <si>
    <t>H19</t>
  </si>
  <si>
    <t>End Ex-Force</t>
  </si>
  <si>
    <t>Casos 5 (Com Flut)</t>
  </si>
  <si>
    <t>H20</t>
  </si>
  <si>
    <t>Range Graph Min</t>
  </si>
  <si>
    <t>Static State</t>
  </si>
  <si>
    <t>Bend Radius</t>
  </si>
  <si>
    <t>Dinâmico - Caso3ii - Toque no solo</t>
  </si>
  <si>
    <t>N/A</t>
  </si>
  <si>
    <t>H21</t>
  </si>
  <si>
    <t>Layaway - Caso3ii - Toque no solo</t>
  </si>
  <si>
    <t>H22</t>
  </si>
  <si>
    <t>H23</t>
  </si>
  <si>
    <t>H24</t>
  </si>
  <si>
    <t>Range Graph Max</t>
  </si>
  <si>
    <t>Bend Moment</t>
  </si>
  <si>
    <t>H25</t>
  </si>
  <si>
    <t>H26</t>
  </si>
  <si>
    <t>Shear Force</t>
  </si>
  <si>
    <t>H27</t>
  </si>
  <si>
    <t>Auxiliar2</t>
  </si>
  <si>
    <t>A1</t>
  </si>
  <si>
    <t>A2</t>
  </si>
  <si>
    <t>Range Graph</t>
  </si>
  <si>
    <t>Vertical Seabed Clearance</t>
  </si>
  <si>
    <t>C1</t>
  </si>
  <si>
    <t>C2</t>
  </si>
  <si>
    <t>Auxiliar1</t>
  </si>
  <si>
    <t>B104</t>
  </si>
  <si>
    <t>B105</t>
  </si>
  <si>
    <t>Linked Statistics</t>
  </si>
  <si>
    <t>End Ex-Force,End Ez-Force,End Ey-Moment</t>
  </si>
  <si>
    <t>U5</t>
  </si>
  <si>
    <t>U6</t>
  </si>
  <si>
    <t>Time History</t>
  </si>
  <si>
    <t>Touchdown</t>
  </si>
  <si>
    <t>Arc Length</t>
  </si>
  <si>
    <t>V5</t>
  </si>
  <si>
    <t>V6</t>
  </si>
  <si>
    <t>W5</t>
  </si>
  <si>
    <t>W6</t>
  </si>
  <si>
    <t>Sample Times</t>
  </si>
  <si>
    <t>H104</t>
  </si>
  <si>
    <t>H105</t>
  </si>
  <si>
    <t>P6</t>
  </si>
  <si>
    <t>StageCount</t>
  </si>
  <si>
    <t>Q5</t>
  </si>
  <si>
    <t>Q6</t>
  </si>
  <si>
    <t>B26</t>
  </si>
  <si>
    <t>B27</t>
  </si>
  <si>
    <t>B28</t>
  </si>
  <si>
    <t>B29</t>
  </si>
  <si>
    <t>B30</t>
  </si>
  <si>
    <t>Whole Simulation</t>
  </si>
  <si>
    <t>B31</t>
  </si>
  <si>
    <t>Z</t>
  </si>
  <si>
    <t>B32</t>
  </si>
  <si>
    <t>End Ez-Force</t>
  </si>
  <si>
    <t>B33</t>
  </si>
  <si>
    <t>B34</t>
  </si>
  <si>
    <t>B35</t>
  </si>
  <si>
    <t>B36</t>
  </si>
  <si>
    <t>B37</t>
  </si>
  <si>
    <t>B38</t>
  </si>
  <si>
    <t>B39</t>
  </si>
  <si>
    <t>B40</t>
  </si>
  <si>
    <t>B41</t>
  </si>
  <si>
    <t>Environment</t>
  </si>
  <si>
    <t>SeabedOriginX</t>
  </si>
  <si>
    <t>B42</t>
  </si>
  <si>
    <t>Depth</t>
  </si>
  <si>
    <t>B43</t>
  </si>
  <si>
    <t>X</t>
  </si>
  <si>
    <t>B44</t>
  </si>
  <si>
    <t>Rotation 2</t>
  </si>
  <si>
    <t>B45</t>
  </si>
  <si>
    <t>StageValue[3]</t>
  </si>
  <si>
    <t>B4</t>
  </si>
  <si>
    <t>B5</t>
  </si>
  <si>
    <t>Dinâmico - Heave Up</t>
  </si>
  <si>
    <t>Dinâmico - Toque no Solo</t>
  </si>
  <si>
    <t>R5</t>
  </si>
  <si>
    <t>R6</t>
  </si>
  <si>
    <t>S5</t>
  </si>
  <si>
    <t>S6</t>
  </si>
  <si>
    <t>H4</t>
  </si>
  <si>
    <t>H5</t>
  </si>
  <si>
    <t>B24</t>
  </si>
  <si>
    <t>B25</t>
  </si>
  <si>
    <t>Casos 4 e 5 com flutuadores</t>
  </si>
  <si>
    <t>Casos 4 e 5 sem flutuadores</t>
  </si>
  <si>
    <t>Q7</t>
  </si>
  <si>
    <t>Q8</t>
  </si>
  <si>
    <t>H44</t>
  </si>
  <si>
    <t>H45</t>
  </si>
  <si>
    <t>Q9</t>
  </si>
  <si>
    <t>B64</t>
  </si>
  <si>
    <t>B65</t>
  </si>
  <si>
    <t>Q10</t>
  </si>
  <si>
    <t>H64</t>
  </si>
  <si>
    <t>H65</t>
  </si>
  <si>
    <t>Q11</t>
  </si>
  <si>
    <t>B84</t>
  </si>
  <si>
    <t>B85</t>
  </si>
  <si>
    <t>H49</t>
  </si>
  <si>
    <t>H50</t>
  </si>
  <si>
    <t>H51</t>
  </si>
  <si>
    <t>H52</t>
  </si>
  <si>
    <t>H53</t>
  </si>
  <si>
    <t>H54</t>
  </si>
  <si>
    <t>Shear force</t>
  </si>
  <si>
    <t>Auxiliar3</t>
  </si>
  <si>
    <t>X1</t>
  </si>
  <si>
    <t>X2</t>
  </si>
  <si>
    <t>X3</t>
  </si>
  <si>
    <t>X4</t>
  </si>
  <si>
    <t>H77</t>
  </si>
  <si>
    <t>H78</t>
  </si>
  <si>
    <t>H79</t>
  </si>
  <si>
    <t>H80</t>
  </si>
  <si>
    <t>H81</t>
  </si>
  <si>
    <t>H82</t>
  </si>
  <si>
    <t>Auxiliar4</t>
  </si>
  <si>
    <t>Dinâmico e Puxada</t>
  </si>
  <si>
    <t>2nd_Post_Processing</t>
  </si>
  <si>
    <t>B51</t>
  </si>
  <si>
    <t>EndBZ</t>
  </si>
  <si>
    <t>B52</t>
  </si>
  <si>
    <t>E1</t>
  </si>
  <si>
    <t>E2</t>
  </si>
  <si>
    <t>B46</t>
  </si>
  <si>
    <t>StageValue[1]</t>
  </si>
  <si>
    <t>B47</t>
  </si>
  <si>
    <t>Length</t>
  </si>
  <si>
    <t>B48</t>
  </si>
  <si>
    <t>B49</t>
  </si>
  <si>
    <t>Max</t>
  </si>
  <si>
    <t>Tension</t>
  </si>
  <si>
    <t>Dinâmico</t>
  </si>
  <si>
    <t>B50</t>
  </si>
  <si>
    <t>N44</t>
  </si>
  <si>
    <t>N45</t>
  </si>
  <si>
    <t>N46</t>
  </si>
  <si>
    <t>N47</t>
  </si>
  <si>
    <t>N48</t>
  </si>
  <si>
    <t>N49</t>
  </si>
  <si>
    <t>N50</t>
  </si>
  <si>
    <t>N51</t>
  </si>
  <si>
    <t>N52</t>
  </si>
  <si>
    <t>N53</t>
  </si>
  <si>
    <t>N54</t>
  </si>
  <si>
    <t>N55</t>
  </si>
  <si>
    <t>N56</t>
  </si>
  <si>
    <t>N57</t>
  </si>
  <si>
    <t>N58</t>
  </si>
  <si>
    <t>N77</t>
  </si>
  <si>
    <t>N78</t>
  </si>
  <si>
    <t>N79</t>
  </si>
  <si>
    <t>N80</t>
  </si>
  <si>
    <t>N81</t>
  </si>
  <si>
    <t>N82</t>
  </si>
  <si>
    <t>N83</t>
  </si>
  <si>
    <t>N84</t>
  </si>
  <si>
    <t>N85</t>
  </si>
  <si>
    <t>N86</t>
  </si>
  <si>
    <t>N87</t>
  </si>
  <si>
    <t>N88</t>
  </si>
  <si>
    <t>N89</t>
  </si>
  <si>
    <t>N90</t>
  </si>
  <si>
    <t>N91</t>
  </si>
  <si>
    <t>N16</t>
  </si>
  <si>
    <t>N17</t>
  </si>
  <si>
    <t>N18</t>
  </si>
  <si>
    <t>N19</t>
  </si>
  <si>
    <t>N20</t>
  </si>
  <si>
    <t>N21</t>
  </si>
  <si>
    <t>N22</t>
  </si>
  <si>
    <t>N23</t>
  </si>
  <si>
    <t>N24</t>
  </si>
  <si>
    <t>N25</t>
  </si>
  <si>
    <t>H84</t>
  </si>
  <si>
    <t>H85</t>
  </si>
  <si>
    <t>CASO 3i - Max e Min (Linked Statistics)</t>
  </si>
  <si>
    <t>CASO 3ii - Toque no solo (Linked Statistics)</t>
  </si>
  <si>
    <t xml:space="preserve">Tabela 1 - LAYAWAY - Momento do Primeiro Toque </t>
  </si>
  <si>
    <t>Tabela 5 - Dados de ArcLength - Verificar momento do 1º toque</t>
  </si>
  <si>
    <t>Tabela 6 - Dados de ArcLength - Verificar momento do 1º toque</t>
  </si>
  <si>
    <t>Geral</t>
  </si>
  <si>
    <t>Vértebra</t>
  </si>
  <si>
    <t>Tabela 2 - Verificação da tabela 5</t>
  </si>
  <si>
    <t>Tabela 3 - DINÂMICO - Momento do Primeiro Toque</t>
  </si>
  <si>
    <t>Tabela 4 - Verificação da tabela 6</t>
  </si>
  <si>
    <t>Layway - Esforços no flange ao fim da simulação do caso 3  (Linked Statistics) - COM Flutuador</t>
  </si>
  <si>
    <t>Layway - Esforços no flange ao fim da simulação do caso 3  (Linked Statistics) - SEM Flutuador</t>
  </si>
  <si>
    <t>CASO 4 - Teste Hidroestático com Curva de LANÇAMENTO (Linked Statistics) - COM Flutuador</t>
  </si>
  <si>
    <t>CASO 4 - Teste Hidroestático com Curva de LANÇAMENTO (Linked Statistics) - SEM Flutuador</t>
  </si>
  <si>
    <t>CASO 4 - Teste Hidroestático com Curva de TESTE (Linked Statistics) - COM Flutuador</t>
  </si>
  <si>
    <t>CASO 4 - Teste Hidroestático com Curva de TESTE (Linked Statistics) - SEM Flutuador</t>
  </si>
  <si>
    <t>CASO 5 - Operação (Linked Statistics) - SEM Flutuador</t>
  </si>
  <si>
    <t>Puxada - CVD de 2ª (Linked Statistics)</t>
  </si>
  <si>
    <t>Dinâmico - CASO 3i - Max e Min (Linked Statistics)</t>
  </si>
  <si>
    <t>Dinâmico - CASO 3ii - Toque no solo (Linked Statistics)</t>
  </si>
  <si>
    <t>Peso Morto 
ou Boia</t>
  </si>
  <si>
    <t>Attachment Type</t>
  </si>
  <si>
    <t>Z bouy (m)</t>
  </si>
  <si>
    <t>Num. Apenas</t>
  </si>
  <si>
    <t>Colunas de Apoio</t>
  </si>
  <si>
    <t>1ºPM (POS)</t>
  </si>
  <si>
    <t>1ºPM (Kg)</t>
  </si>
  <si>
    <t>2ºPM (Pos)</t>
  </si>
  <si>
    <t>2ºPM (kg)</t>
  </si>
  <si>
    <t>3ºPM (pos)</t>
  </si>
  <si>
    <t>3ºPM (kg)</t>
  </si>
  <si>
    <t>4ºPM (pos)</t>
  </si>
  <si>
    <t>4ºPM (kg)</t>
  </si>
  <si>
    <t>CVD de 2ª</t>
  </si>
  <si>
    <t>ArcLength (AL)</t>
  </si>
  <si>
    <t>Sb Clearance</t>
  </si>
  <si>
    <t>Posição na linha</t>
  </si>
  <si>
    <t>TDP</t>
  </si>
  <si>
    <t>END B</t>
  </si>
  <si>
    <t>Altura da Corcova</t>
  </si>
  <si>
    <t>Stiffener</t>
  </si>
  <si>
    <t>Tamanho da Vértebra</t>
  </si>
  <si>
    <t>Line Range</t>
  </si>
  <si>
    <t>Stiffener Range</t>
  </si>
  <si>
    <t>NumberOfAttachments - Line</t>
  </si>
  <si>
    <t>Attachmentz[3] - Line</t>
  </si>
  <si>
    <t>Somatório</t>
  </si>
  <si>
    <t>CONT1</t>
  </si>
  <si>
    <t>CONT2</t>
  </si>
  <si>
    <t>Dados do arquivo Layaway</t>
  </si>
  <si>
    <t>Dados do arquivo Dinâmico</t>
  </si>
  <si>
    <t>CVD de 2ª - Arquivo Puxada</t>
  </si>
  <si>
    <t>Esforços no flange do MCV</t>
  </si>
  <si>
    <t>Posicionamento de Boias</t>
  </si>
  <si>
    <t>Rótulo</t>
  </si>
  <si>
    <t>Dado 
Bruto</t>
  </si>
  <si>
    <t>Dado Processado</t>
  </si>
  <si>
    <t>Unidade</t>
  </si>
  <si>
    <t>Caso</t>
  </si>
  <si>
    <t>Índice</t>
  </si>
  <si>
    <t xml:space="preserve">T - Força Axial 
[kN] </t>
  </si>
  <si>
    <t>V - Força Cortante 
[kN]</t>
  </si>
  <si>
    <t>M - Momento Fletor [kN.m]</t>
  </si>
  <si>
    <t>Empuxo</t>
  </si>
  <si>
    <t>Posição em relação ao flange [m]</t>
  </si>
  <si>
    <t>Origem do dado - Fórmulas</t>
  </si>
  <si>
    <t>Min - Vertical Sb Clearance (Line and BR)</t>
  </si>
  <si>
    <t>IGNORAR</t>
  </si>
  <si>
    <t>m</t>
  </si>
  <si>
    <t>Comprimento de cabo recolhido do guindaste</t>
  </si>
  <si>
    <t>Arquivo Dinâmico (Preliminar) - Caso 3i - Heave Up (Max)</t>
  </si>
  <si>
    <t>Vertical Seabed Clearance - Stiffener1</t>
  </si>
  <si>
    <t>Arquivo Dinâmico (Preliminar) - Caso 3i - Heave Up (Min)</t>
  </si>
  <si>
    <t>Vertical Seabed Clearance - Line</t>
  </si>
  <si>
    <t>Arquivo Dinâmico (Preliminar) - Caso 3ii - Toque no solo</t>
  </si>
  <si>
    <t>Arquivo Layaway (Final) - Caso 3i - Heave Up (Max)</t>
  </si>
  <si>
    <t>Comprimento de flexível suspenso</t>
  </si>
  <si>
    <t>Arquivo Layaway (Final) - Caso 3i - Heave Up (Min)</t>
  </si>
  <si>
    <t>Distância entre o flange e o TDP</t>
  </si>
  <si>
    <t>Arquivo Layaway (Final) - Caso 3ii - Toque no solo</t>
  </si>
  <si>
    <t xml:space="preserve">Distância entre o flange e o leito </t>
  </si>
  <si>
    <t>Caso 3 - Com flutuadores (curva de lançamento)</t>
  </si>
  <si>
    <t>i0</t>
  </si>
  <si>
    <t>Distância entre o flange e cabrestante</t>
  </si>
  <si>
    <t>Caso 4 - Com flutuadores (curva de lançamento)</t>
  </si>
  <si>
    <t>i1</t>
  </si>
  <si>
    <t>Overlength</t>
  </si>
  <si>
    <t>Caso 4 - Com flutuadores (curva de teste)</t>
  </si>
  <si>
    <t>i2</t>
  </si>
  <si>
    <t>Distância horizontal entre o MCV e a origem</t>
  </si>
  <si>
    <t>Caso 4 - Com flutuadores TOTAL [i2 - i1 + i0]</t>
  </si>
  <si>
    <t>Altura no Estático + Heave Up</t>
  </si>
  <si>
    <t>Origem do dado - OrcaFlex</t>
  </si>
  <si>
    <t>Bend Radius - Line</t>
  </si>
  <si>
    <t>Caso 3 - Sem flutuadores (curva de lançamento)</t>
  </si>
  <si>
    <t>End Ey-Moment - Line</t>
  </si>
  <si>
    <t>kN.m</t>
  </si>
  <si>
    <t>Caso 4 - Sem flutuadores (curva de lançamento)</t>
  </si>
  <si>
    <t>End Ey-Moment - Static State - Line</t>
  </si>
  <si>
    <t>End Ex-Force - Line</t>
  </si>
  <si>
    <t>kN</t>
  </si>
  <si>
    <t>Caso 4 - Sem flutuadores (curva de teste)</t>
  </si>
  <si>
    <t>End Ex-Force - Static State - Line</t>
  </si>
  <si>
    <t>Bend Radius - Stiffener1</t>
  </si>
  <si>
    <t>Caso 4 - Sem flutuadores TOTAL [i2 - i1 + i0]</t>
  </si>
  <si>
    <t>Bend Radius - Static State - Line</t>
  </si>
  <si>
    <t>Bend Moment - Stiffener1</t>
  </si>
  <si>
    <t>Caso 5 - Sem flutuadores (curva de operação)</t>
  </si>
  <si>
    <t>Bend Radius - Whole Simulation - Line</t>
  </si>
  <si>
    <t>Shear Force - Stiffener1</t>
  </si>
  <si>
    <t>Caso 5 - Sem flutuadores TOTAL [i2 - i1 + i0]</t>
  </si>
  <si>
    <t>Bend Radius - Static State - Stiffener1</t>
  </si>
  <si>
    <t>StageValue[1] - A/R</t>
  </si>
  <si>
    <t>CVD de 2ª - Puxada (Max)</t>
  </si>
  <si>
    <t>Bend Radius - Whole Simulation - Stiffener1</t>
  </si>
  <si>
    <t>StageValue[3] - A/R</t>
  </si>
  <si>
    <t>CVD de 2ª - Puxada (Min)</t>
  </si>
  <si>
    <t>Bend Moment Max - Static State - Stiffener1</t>
  </si>
  <si>
    <t>Tension - Cabrestante 1</t>
  </si>
  <si>
    <t>t</t>
  </si>
  <si>
    <t>Bend Moment Max - Whole Simulation - Stiffener1</t>
  </si>
  <si>
    <t>Tension - Cabrestante 2</t>
  </si>
  <si>
    <t>Origem do dado - OrcaFlex API</t>
  </si>
  <si>
    <t>Shear Force Max - Static State - Stiffener1</t>
  </si>
  <si>
    <t>Shear Force Max - Whole Simulation - Stiffener1</t>
  </si>
  <si>
    <t>CVD de 2ª - Arquivo Hmax1</t>
  </si>
  <si>
    <t>Dados Gerais</t>
  </si>
  <si>
    <t>Tipo de Dado</t>
  </si>
  <si>
    <t>Dado</t>
  </si>
  <si>
    <t>Bend Radius - 0 to  - Line</t>
  </si>
  <si>
    <t>Comp. de flexível suspenso entre o TDP e o flange</t>
  </si>
  <si>
    <t>Diâmetro Nominal (")</t>
  </si>
  <si>
    <t>Input</t>
  </si>
  <si>
    <t>Dist. vertical entre o flange e o leito marinho</t>
  </si>
  <si>
    <t>Cota A da Planilha EQSB</t>
  </si>
  <si>
    <t>Z - Line - End B</t>
  </si>
  <si>
    <t>Dist. horizontal entre o TDP e o Flange</t>
  </si>
  <si>
    <t>MBR Vértebra - RL</t>
  </si>
  <si>
    <t>End Ez-Force - Line - End B</t>
  </si>
  <si>
    <t>Dist. entre o flange e o cabrestante1</t>
  </si>
  <si>
    <t>MBR Linha - RL</t>
  </si>
  <si>
    <t>End Ex-Force - Line - End B</t>
  </si>
  <si>
    <t>Dist. entre o flange e o cabrestante2</t>
  </si>
  <si>
    <t>Momento Admissível na Vértebra</t>
  </si>
  <si>
    <t>End Ey-Moment - Line - End B</t>
  </si>
  <si>
    <t>Força Cortante Admissível na Vértebra</t>
  </si>
  <si>
    <t>Há vértebra</t>
  </si>
  <si>
    <t>Bend Radius - 0 to  - Stiffener1</t>
  </si>
  <si>
    <t>Há dragagem</t>
  </si>
  <si>
    <t>Bend Moment - Static State - Stiffener1</t>
  </si>
  <si>
    <t>Arquivo Cont1</t>
  </si>
  <si>
    <t>Caso4 - Pressão do fluido de teste</t>
  </si>
  <si>
    <t>kPa</t>
  </si>
  <si>
    <t>Bend Moment - 0 to  - Stiffener1</t>
  </si>
  <si>
    <t>Caso5 - Pressão do fluido de operação</t>
  </si>
  <si>
    <t>Shear Force - Static State - Stiffener1</t>
  </si>
  <si>
    <t>Distância entre as Boias de Cont e o Flange</t>
  </si>
  <si>
    <t>Caso5 - Densidade do fluido de operação</t>
  </si>
  <si>
    <t>t/m³</t>
  </si>
  <si>
    <t>Shear Force - 0 to  - Stiffener1</t>
  </si>
  <si>
    <t>kg</t>
  </si>
  <si>
    <t>OrcaFlex version</t>
  </si>
  <si>
    <t>SeabedOriginX - Environment</t>
  </si>
  <si>
    <t>Comprimento da vértebra</t>
  </si>
  <si>
    <t>Depth - Environment</t>
  </si>
  <si>
    <t>Empuxo total</t>
  </si>
  <si>
    <t>X - MCV</t>
  </si>
  <si>
    <t>Distância da 1ª Boia ao Flange</t>
  </si>
  <si>
    <t>Rotation 2 - MCV</t>
  </si>
  <si>
    <t>º</t>
  </si>
  <si>
    <t>Tipo de Attachment</t>
  </si>
  <si>
    <t>X - Line - End B</t>
  </si>
  <si>
    <t>X - Line - Touchdown</t>
  </si>
  <si>
    <t>Identificação - Relatório</t>
  </si>
  <si>
    <t>Last Update</t>
  </si>
  <si>
    <t>Droplists - Conexões</t>
  </si>
  <si>
    <t>Length - Cabrestante 1</t>
  </si>
  <si>
    <t>Arc Length - Line - End B</t>
  </si>
  <si>
    <t>Manifold</t>
  </si>
  <si>
    <t>Length - Cabrestante 2</t>
  </si>
  <si>
    <t>Arc Length - Line - Touchdown</t>
  </si>
  <si>
    <t>Poço</t>
  </si>
  <si>
    <t>Tipo de CVD</t>
  </si>
  <si>
    <t>PLET</t>
  </si>
  <si>
    <t>Vertical Seabed Clearance Max  to - Line</t>
  </si>
  <si>
    <t>EndBZ - Cabrestante 1</t>
  </si>
  <si>
    <t>EndBZ - Cabrestante 2</t>
  </si>
  <si>
    <t>Droplist - Casos</t>
  </si>
  <si>
    <t>Arquivos</t>
  </si>
  <si>
    <t>Shear force - Line - End B</t>
  </si>
  <si>
    <t>Preliminar (Dinâmico) - Caso 3 - Heave Up (Max)</t>
  </si>
  <si>
    <t>python keys</t>
  </si>
  <si>
    <t>filename</t>
  </si>
  <si>
    <t>Preliminar (Dinâmico) - Caso 3 - Heave Up (Min)</t>
  </si>
  <si>
    <t>dir_cases_4_5</t>
  </si>
  <si>
    <t>cases_4_5</t>
  </si>
  <si>
    <t>°</t>
  </si>
  <si>
    <t>Preliminar (Dinâmico) - Caso 3 - Toque no Solo</t>
  </si>
  <si>
    <t>file_static</t>
  </si>
  <si>
    <t>Estatico</t>
  </si>
  <si>
    <t>Tension Max - Cabrestante 1</t>
  </si>
  <si>
    <t>Final (Dinâmico) - Caso 3 - Heave Up (Max)</t>
  </si>
  <si>
    <t>file_dynamic</t>
  </si>
  <si>
    <t>Dinamico</t>
  </si>
  <si>
    <t>Tension Max - Cabrestante 2</t>
  </si>
  <si>
    <t>Final (Dinâmico) - Caso 3 - Heave Up (Min)</t>
  </si>
  <si>
    <t>file_case3_layaway</t>
  </si>
  <si>
    <t>cases_4_5\Caso3_lançamento</t>
  </si>
  <si>
    <t>Final (Dinâmico) - Caso 3 - Toque no Solo</t>
  </si>
  <si>
    <t>file_case4_laying</t>
  </si>
  <si>
    <t>cases_4_5\Caso4_lançamento</t>
  </si>
  <si>
    <t>CVD de 2ª - Arquivo Hmax2</t>
  </si>
  <si>
    <t>Caso 4 - Teste Hidrostático (Com Flutuador)</t>
  </si>
  <si>
    <t>file_case4_test</t>
  </si>
  <si>
    <t>cases_4_5\Caso4_teste</t>
  </si>
  <si>
    <t>Caso 4 - Teste Hidrostático (Sem Flutuador)</t>
  </si>
  <si>
    <t>file_case5_operation</t>
  </si>
  <si>
    <t>cases_4_5\Caso5_operação</t>
  </si>
  <si>
    <t>Caso 5 - Operação (Sem Flutuador)</t>
  </si>
  <si>
    <t>file_contingency</t>
  </si>
  <si>
    <t>Cont</t>
  </si>
  <si>
    <t>Puxada com GP Max</t>
  </si>
  <si>
    <t>file_hmax</t>
  </si>
  <si>
    <t>Puxada com GP Min</t>
  </si>
  <si>
    <t>file_puxada</t>
  </si>
  <si>
    <t>Arquivo Cont2</t>
  </si>
  <si>
    <t>filename_dredging</t>
  </si>
  <si>
    <t>Perfil_dragagem</t>
  </si>
  <si>
    <t>Droplist - Tipos Linha</t>
  </si>
  <si>
    <t>Dist. Boias de Cont e o Flange</t>
  </si>
  <si>
    <t>GL</t>
  </si>
  <si>
    <t>IA</t>
  </si>
  <si>
    <t>IG</t>
  </si>
  <si>
    <t>PO</t>
  </si>
  <si>
    <t>GAS</t>
  </si>
  <si>
    <t>UEH</t>
  </si>
  <si>
    <t>Droplists - Barcos</t>
  </si>
  <si>
    <t>Skandi Niterói</t>
  </si>
  <si>
    <t>SKN</t>
  </si>
  <si>
    <t>Skandi Vitória</t>
  </si>
  <si>
    <t>SKV</t>
  </si>
  <si>
    <t>Skandi Búzios</t>
  </si>
  <si>
    <t>SKB</t>
  </si>
  <si>
    <t>Skandi Açu</t>
  </si>
  <si>
    <t>SKA</t>
  </si>
  <si>
    <t>Skandi Recife</t>
  </si>
  <si>
    <t>SKR</t>
  </si>
  <si>
    <t>Skandi Olinda</t>
  </si>
  <si>
    <t>SKO</t>
  </si>
  <si>
    <t>Estrela do Mar</t>
  </si>
  <si>
    <t>EDM</t>
  </si>
  <si>
    <t>Coral do Atlântico</t>
  </si>
  <si>
    <t>CDA</t>
  </si>
  <si>
    <t>Tabela 1 - Dados do Estudo</t>
  </si>
  <si>
    <t>Tabela 3 - Dados Gerais</t>
  </si>
  <si>
    <t>Tipo de Linha</t>
  </si>
  <si>
    <t>Valor</t>
  </si>
  <si>
    <t>Viabilidade</t>
  </si>
  <si>
    <t>Tipo de Conexão</t>
  </si>
  <si>
    <t>Empuxo Total</t>
  </si>
  <si>
    <t xml:space="preserve"> kg</t>
  </si>
  <si>
    <t>Quantidade de conjuntos de flutuadores</t>
  </si>
  <si>
    <t>Embarcação</t>
  </si>
  <si>
    <t>Distância do 1º flutuador ao flange</t>
  </si>
  <si>
    <t>Campo</t>
  </si>
  <si>
    <t>Heave up</t>
  </si>
  <si>
    <t>Número da RT</t>
  </si>
  <si>
    <t>Distância mínima entre a linha e o leito</t>
  </si>
  <si>
    <t>Versão do Relatório</t>
  </si>
  <si>
    <t>Distância do flange ao leito (Cota A do MCV)</t>
  </si>
  <si>
    <t>Iniciais do Elaborador</t>
  </si>
  <si>
    <t>Comprimento insulation clamp + 5 * OD linha</t>
  </si>
  <si>
    <t>Iniciais do Verificador</t>
  </si>
  <si>
    <t>Cabrestantes - Posições</t>
  </si>
  <si>
    <t>Iniciais do Aprovador</t>
  </si>
  <si>
    <t>CFS</t>
  </si>
  <si>
    <t>Cabrestantes - Comprimentos</t>
  </si>
  <si>
    <t>Númeração do Relatório</t>
  </si>
  <si>
    <t>Cabrestantes - Tensões</t>
  </si>
  <si>
    <t>Engenheiro Solicitante</t>
  </si>
  <si>
    <t>Coordenador da Embarcação1</t>
  </si>
  <si>
    <t>Coordenador da Embarcação2 (Opcional)</t>
  </si>
  <si>
    <t>Verificar versão do OrcaFlex</t>
  </si>
  <si>
    <t>Tabela 4 - Esforços na Vértebra</t>
  </si>
  <si>
    <t>Em cópia (Opcional)</t>
  </si>
  <si>
    <t>Casos</t>
  </si>
  <si>
    <t>Cortante</t>
  </si>
  <si>
    <t>Momento</t>
  </si>
  <si>
    <t>MBR Linha</t>
  </si>
  <si>
    <t>MBR Vértebra</t>
  </si>
  <si>
    <t>Travou?</t>
  </si>
  <si>
    <t>Versão do Orcaflex</t>
  </si>
  <si>
    <t>[kN]</t>
  </si>
  <si>
    <t>[kN.m]</t>
  </si>
  <si>
    <t>[m]</t>
  </si>
  <si>
    <t>[-]</t>
  </si>
  <si>
    <t>RL / Documento (MD caso não haja RL)</t>
  </si>
  <si>
    <t>Estático</t>
  </si>
  <si>
    <t>RL / Revisão (MD caso não haja RL)</t>
  </si>
  <si>
    <t>Dinâmico - Caso3i e 3ii</t>
  </si>
  <si>
    <t>RL / Título (MD caso não haja RL)</t>
  </si>
  <si>
    <t>Dinâmico - Caso3 com lançamento</t>
  </si>
  <si>
    <t>RT / Documento</t>
  </si>
  <si>
    <t>A tabela 1 está preenchida?</t>
  </si>
  <si>
    <t>Contingência 1</t>
  </si>
  <si>
    <t>RT / Revisão</t>
  </si>
  <si>
    <t>Contingência 2</t>
  </si>
  <si>
    <t>RT / Título</t>
  </si>
  <si>
    <t>CVD de 2ª - Puxada</t>
  </si>
  <si>
    <t>LEIA - Pós-Processamento!</t>
  </si>
  <si>
    <t>CVD de 2ª - Hmax (hmax_poliprop)</t>
  </si>
  <si>
    <t>Tabela 2 - Dados da Dragagem (Preencha se houver dragagem)</t>
  </si>
  <si>
    <t>CVD de 2ª - Hmax (hmax_cinta)</t>
  </si>
  <si>
    <t>Valor [m]</t>
  </si>
  <si>
    <t>PRELIMINAR - Estático</t>
  </si>
  <si>
    <t>Distância do Flange ao início da vala</t>
  </si>
  <si>
    <t>PRELIMINAR - Dinâmico</t>
  </si>
  <si>
    <t>[A] Dist. do centro do HUB ao início da vala</t>
  </si>
  <si>
    <t>REFERÊNCIA</t>
  </si>
  <si>
    <t>-</t>
  </si>
  <si>
    <t>[B] Dist. Horizontal do Declínio 1</t>
  </si>
  <si>
    <t>[C] Comprimento Total da Vala</t>
  </si>
  <si>
    <t>Tabela 5 - Esforços no Flange do MCV</t>
  </si>
  <si>
    <t>[D] Dist. Horizontal do Declínio 2</t>
  </si>
  <si>
    <t>T - Tração</t>
  </si>
  <si>
    <t>V - Cortante</t>
  </si>
  <si>
    <t>M - Momento</t>
  </si>
  <si>
    <t>Post-Proc</t>
  </si>
  <si>
    <t>[E] Profundidade 1</t>
  </si>
  <si>
    <t>[s]</t>
  </si>
  <si>
    <t>[F] Profundidade 2</t>
  </si>
  <si>
    <t>Caso 3i - Heave Up (Max)</t>
  </si>
  <si>
    <t>[G] Largura da Vala</t>
  </si>
  <si>
    <t>a ser definido pelo projeto</t>
  </si>
  <si>
    <t>Caso 3i - Heave Up (Min)</t>
  </si>
  <si>
    <t>Caso 3ii - Toque no Solo</t>
  </si>
  <si>
    <t>Caso 4 - Teste Hidrostático - Com Flutuadores*</t>
  </si>
  <si>
    <t>Caso 4 - Teste Hidrostático - Sem Flutuadores*</t>
  </si>
  <si>
    <t>Caso 5 - Operação - Sem Flutuadores*</t>
  </si>
  <si>
    <t>PRELIMINAR - Arq Dinâmico - Heave Up (Max)</t>
  </si>
  <si>
    <t>PRELIMINAR - Arq Dinâmico - Heave Up (Min)</t>
  </si>
  <si>
    <t>PRELIMINAR - Arq Dinâmico - Toque no Solo</t>
  </si>
  <si>
    <t>* Esforços calculados de acordo com os itens 6.4 e 6.5 do documento ET-3000.00-1500-941-PMU-006 - Rev.C.</t>
  </si>
  <si>
    <t>Selecionar Caso:</t>
  </si>
  <si>
    <t>Tração [kN]</t>
  </si>
  <si>
    <t>Cortante [kN]</t>
  </si>
  <si>
    <t>Momento Fletor [kN.m]</t>
  </si>
  <si>
    <t>RL</t>
  </si>
  <si>
    <t>Orcaflex</t>
  </si>
  <si>
    <t>CASO DE CARREGAMENTO</t>
  </si>
  <si>
    <t>ESFORÇO</t>
  </si>
  <si>
    <t>VALOR 
(com unidade)</t>
  </si>
  <si>
    <t>Tração</t>
  </si>
  <si>
    <t>M. Fletor</t>
  </si>
  <si>
    <t>Verificação</t>
  </si>
  <si>
    <t>Topo (Caso 1)</t>
  </si>
  <si>
    <t>Tração (Fx)</t>
  </si>
  <si>
    <t>Equilibrio
(Caso 2 - Flutuadores)</t>
  </si>
  <si>
    <t>Força Cortante (Fz)</t>
  </si>
  <si>
    <t>Momento Fletor (My)</t>
  </si>
  <si>
    <t>MBR (Vertebra)</t>
  </si>
  <si>
    <t>MBR (Flexivel)</t>
  </si>
  <si>
    <t>MCV no Hub com linha
suspensa 
(Caso 3i - Flutuadores)</t>
  </si>
  <si>
    <t>Momento Fletor
Máximo</t>
  </si>
  <si>
    <t>Momento Fletor
Mínimo</t>
  </si>
  <si>
    <t>MCV no Hub
(Caso 3ii - Flutuadores)</t>
  </si>
  <si>
    <t>(a)</t>
  </si>
  <si>
    <t>(b)</t>
  </si>
  <si>
    <t>MCV no Hub
(Caso 3ii - Sem Flutuadores)</t>
  </si>
  <si>
    <t>Teste Offshore
(Caso 4 - Com Flutuadores)</t>
  </si>
  <si>
    <t>Teste Offshore
(Caso 4 - Sem Flutuadores)</t>
  </si>
  <si>
    <t>Operação
(Caso 5 - Sem Flutuadores)</t>
  </si>
  <si>
    <t>Heave Up [m]</t>
  </si>
  <si>
    <t>Esforços no Flange</t>
  </si>
  <si>
    <t>Esforços na Vértebra</t>
  </si>
  <si>
    <t>Caso 3i (Heave up)
Puxada - Momento Máximo</t>
  </si>
  <si>
    <t>Caso 3i (Heave up)
Puxada - Momento Mínimo</t>
  </si>
  <si>
    <t>Caso 3ii
Toque no solo</t>
  </si>
  <si>
    <t>Caso 4 
Com Flutuadores</t>
  </si>
  <si>
    <t>Caso 4
Sem Flutuadores</t>
  </si>
  <si>
    <t>Caso 5</t>
  </si>
  <si>
    <t>Puxada com Guindaste
Momento Máximo</t>
  </si>
  <si>
    <t>Puxada com Guindaste
Momento Mínimo</t>
  </si>
  <si>
    <t>Análise
OrcaFlex</t>
  </si>
  <si>
    <t>Para Aprovação</t>
  </si>
  <si>
    <t>Análise Puxada</t>
  </si>
  <si>
    <t>Tração 
[kN]</t>
  </si>
  <si>
    <t>Força Cortante 
[kN]</t>
  </si>
  <si>
    <t>Momento Fletor 
[kN.m]</t>
  </si>
  <si>
    <t>Documento de referência</t>
  </si>
  <si>
    <t>Legenda:</t>
  </si>
  <si>
    <r>
      <t xml:space="preserve">- Valores em verde: inferiores aos esforços de referência do RL ou Patec </t>
    </r>
    <r>
      <rPr>
        <b/>
        <sz val="12"/>
        <color rgb="FF00B050"/>
        <rFont val="Arial"/>
        <family val="2"/>
      </rPr>
      <t>[Aprovados]</t>
    </r>
    <r>
      <rPr>
        <sz val="12"/>
        <color rgb="FF00B050"/>
        <rFont val="Arial"/>
        <family val="2"/>
      </rPr>
      <t>;</t>
    </r>
  </si>
  <si>
    <r>
      <t xml:space="preserve">- Valores em vermelho: superiores aos esforços do RL ou Patec </t>
    </r>
    <r>
      <rPr>
        <b/>
        <u/>
        <sz val="12"/>
        <color rgb="FFFF0000"/>
        <rFont val="Arial"/>
        <family val="2"/>
      </rPr>
      <t>[Requerem aprovação]</t>
    </r>
    <r>
      <rPr>
        <sz val="12"/>
        <color rgb="FFFF0000"/>
        <rFont val="Arial"/>
        <family val="2"/>
      </rPr>
      <t>;</t>
    </r>
  </si>
  <si>
    <r>
      <t xml:space="preserve">- Valores em azul: direções (sinais) dos esforços incompatíveis com as do RL ou Patec </t>
    </r>
    <r>
      <rPr>
        <b/>
        <u/>
        <sz val="12"/>
        <color rgb="FF0070C0"/>
        <rFont val="Arial"/>
        <family val="2"/>
      </rPr>
      <t>[Requerem aprovação]</t>
    </r>
    <r>
      <rPr>
        <sz val="12"/>
        <color rgb="FF0070C0"/>
        <rFont val="Arial"/>
        <family val="2"/>
      </rPr>
      <t>;</t>
    </r>
  </si>
  <si>
    <t>- Coluna "Análise OrcaFlex": esforços obtidos na análise;</t>
  </si>
  <si>
    <t>- Coluna "Para aprovação": esforços a serem submetidos à aprovação via TQF; Nota: valores mínimos para solicitar aprovação: ±15kN (cortante/tração) e ±50kN.m (momento).</t>
  </si>
  <si>
    <t>- Coluna "RL": esforços de referência extraídos do RL ou Patec (referência).</t>
  </si>
  <si>
    <t>Duplicate - Script file name</t>
  </si>
  <si>
    <t>ArcLength</t>
  </si>
  <si>
    <t>Version</t>
  </si>
  <si>
    <t>9.8b</t>
  </si>
  <si>
    <t>Duplicate - Sheet base name</t>
  </si>
  <si>
    <t>Results</t>
  </si>
  <si>
    <t>BatchName</t>
  </si>
  <si>
    <t>StageValue</t>
  </si>
  <si>
    <t>Requires</t>
  </si>
  <si>
    <t>9.3c1</t>
  </si>
  <si>
    <t>IgnoreErrors</t>
  </si>
  <si>
    <t>Duplicate - Xoffset</t>
  </si>
  <si>
    <t>OverwriteLabels</t>
  </si>
  <si>
    <t>ContainsDependencies</t>
  </si>
  <si>
    <t>Duplicate - Yoffset</t>
  </si>
  <si>
    <t>ClearanceLineindex</t>
  </si>
  <si>
    <t>InstructionsSheetIndex</t>
  </si>
  <si>
    <t>Duplicate - Different sheets</t>
  </si>
  <si>
    <t>Duplicate - Specified Files</t>
  </si>
  <si>
    <t>Position.X</t>
  </si>
  <si>
    <t>Duplicate - Number of Files</t>
  </si>
  <si>
    <t>Position.Y</t>
  </si>
  <si>
    <t>Duplicate - Duplicate Labels</t>
  </si>
  <si>
    <t>Position.Z (Global)</t>
  </si>
  <si>
    <t>Duplicate - Sheet name method</t>
  </si>
  <si>
    <t>FileName</t>
  </si>
  <si>
    <t>Dinamico.sim</t>
  </si>
  <si>
    <t>FromArcLength</t>
  </si>
  <si>
    <t>GetDataIndex</t>
  </si>
  <si>
    <t>InsertMethod</t>
  </si>
  <si>
    <t>LabelCell</t>
  </si>
  <si>
    <t>LinePosition</t>
  </si>
  <si>
    <t>NodeNumber</t>
  </si>
  <si>
    <t>ObjectIndex</t>
  </si>
  <si>
    <t>OutputCell</t>
  </si>
  <si>
    <t>C36</t>
  </si>
  <si>
    <t>Position.Z (Local)</t>
  </si>
  <si>
    <t>Radius</t>
  </si>
  <si>
    <t>ArcLengthRange</t>
  </si>
  <si>
    <t>SubObject</t>
  </si>
  <si>
    <t>ResultsSheetName</t>
  </si>
  <si>
    <t>SpecifiedPeriodFrom</t>
  </si>
  <si>
    <t>SpecifiedPeriodTo</t>
  </si>
  <si>
    <t>Theta</t>
  </si>
  <si>
    <t>ToArcLength</t>
  </si>
  <si>
    <t>UseDefaultLabel</t>
  </si>
  <si>
    <t>SelectedVarIDs</t>
  </si>
  <si>
    <t>nnnnnnnnnnnnnnny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</t>
  </si>
  <si>
    <t>WinchConnectionPoint</t>
  </si>
  <si>
    <t>WingIndex</t>
  </si>
  <si>
    <t>Section</t>
  </si>
  <si>
    <t>ClearSheetName</t>
  </si>
  <si>
    <t>SourceSheetName</t>
  </si>
  <si>
    <t>Sheet1</t>
  </si>
  <si>
    <t>DestinationSheetName</t>
  </si>
  <si>
    <t>Sheet2</t>
  </si>
  <si>
    <t>RangeMin</t>
  </si>
  <si>
    <t>RangeMax</t>
  </si>
  <si>
    <t>RangeMean</t>
  </si>
  <si>
    <t>RangeStdDev</t>
  </si>
  <si>
    <t>RangeArcLength</t>
  </si>
  <si>
    <t>RangeUpper</t>
  </si>
  <si>
    <t>RangeLower</t>
  </si>
  <si>
    <t>ClearSheetMethod</t>
  </si>
  <si>
    <t>ClearSheetRange</t>
  </si>
  <si>
    <t>A1:E10</t>
  </si>
  <si>
    <t>RayleighExtremesToAnalyse</t>
  </si>
  <si>
    <t>RayleighExtremesStormDuration</t>
  </si>
  <si>
    <t>RayleighExtremesRiskFactor</t>
  </si>
  <si>
    <t>~</t>
  </si>
  <si>
    <t>ExcludeHeaderText</t>
  </si>
  <si>
    <t>Duplicate - First File</t>
  </si>
  <si>
    <r>
      <t>GL, IA, IG, PO, Gas ou UEH -</t>
    </r>
    <r>
      <rPr>
        <b/>
        <sz val="10"/>
        <color rgb="FFFF0000"/>
        <rFont val="Arial"/>
        <family val="2"/>
      </rPr>
      <t xml:space="preserve"> Para Verticalização, selecionar UEH</t>
    </r>
  </si>
  <si>
    <t>14.1</t>
  </si>
  <si>
    <t>Versão 14.1</t>
  </si>
  <si>
    <t>VBA - Correção do script para preencher a tabela de contingência do relatório em caso de vértebra travada em apenas um dos casos</t>
  </si>
  <si>
    <t>Modelo base - Atualização da lista de flutuadores do SKA e SKB</t>
  </si>
  <si>
    <t>Aba Values - Inclusão de uma nota para análises verticalização</t>
  </si>
  <si>
    <t>segunda-feira, 17 de agosto de 2026</t>
  </si>
  <si>
    <t>NOV-101-9101</t>
  </si>
  <si>
    <t xml:space="preserve">C </t>
  </si>
  <si>
    <t>15762-DWG-BR-102</t>
  </si>
  <si>
    <t>4</t>
  </si>
  <si>
    <t>15762-DWG-EF-102</t>
  </si>
  <si>
    <t>A</t>
  </si>
  <si>
    <t>DE-F-05-J-0158</t>
  </si>
  <si>
    <t>FD-3534.00-1516-619-PEK-047</t>
  </si>
  <si>
    <t>B</t>
  </si>
  <si>
    <t>OneSubsea</t>
  </si>
  <si>
    <t>2184362-14 / SK-130685-17</t>
  </si>
  <si>
    <t>BAP</t>
  </si>
  <si>
    <t>Select Stiffness_Lançamento</t>
  </si>
  <si>
    <t>_NewData_</t>
  </si>
  <si>
    <t>IndependentValue[4]=</t>
  </si>
  <si>
    <t>IndependentValue[5]=</t>
  </si>
  <si>
    <t>IndependentValue[6]=</t>
  </si>
  <si>
    <t>IndependentValue[7]=</t>
  </si>
  <si>
    <t>IndependentValue[8]=</t>
  </si>
  <si>
    <t>IndependentValue[9]=</t>
  </si>
  <si>
    <t>IndependentValue[10]=</t>
  </si>
  <si>
    <t>IndependentValue[11]=</t>
  </si>
  <si>
    <t>IndependentValue[12]=</t>
  </si>
  <si>
    <t>IndependentValue[13]=</t>
  </si>
  <si>
    <t>IndependentValue[14]=</t>
  </si>
  <si>
    <t>IndependentValue[15]=</t>
  </si>
  <si>
    <t>IndependentValue[16]=</t>
  </si>
  <si>
    <t>IndependentValue[17]=</t>
  </si>
  <si>
    <t>IndependentValue[18]=</t>
  </si>
  <si>
    <t>IndependentValue[19]=</t>
  </si>
  <si>
    <t>IndependentValue[20]=</t>
  </si>
  <si>
    <t>IndependentValue[21]=</t>
  </si>
  <si>
    <t>IndependentValue[22]=</t>
  </si>
  <si>
    <t>IndependentValue[23]=</t>
  </si>
  <si>
    <t>IndependentValue[24]=</t>
  </si>
  <si>
    <t>IndependentValue[25]=</t>
  </si>
  <si>
    <t>IndependentValue[26]=</t>
  </si>
  <si>
    <t>IndependentValue[27]=</t>
  </si>
  <si>
    <t>IndependentValue[28]=</t>
  </si>
  <si>
    <t>IndependentValue[29]=</t>
  </si>
  <si>
    <t>IndependentValue[30]=</t>
  </si>
  <si>
    <t>IndependentValue[31]=</t>
  </si>
  <si>
    <t>IndependentValue[32]=</t>
  </si>
  <si>
    <t>IndependentValue[33]=</t>
  </si>
  <si>
    <t>IndependentValue[34]=</t>
  </si>
  <si>
    <t>IndependentValue[35]=</t>
  </si>
  <si>
    <t>IndependentValue[36]=</t>
  </si>
  <si>
    <t>IndependentValue[37]=</t>
  </si>
  <si>
    <t>IndependentValue[38]=</t>
  </si>
  <si>
    <t>IndependentValue[39]=</t>
  </si>
  <si>
    <t>IndependentValue[40]=</t>
  </si>
  <si>
    <t>DependentValue[4]=</t>
  </si>
  <si>
    <t>DependentValue[5]=</t>
  </si>
  <si>
    <t>DependentValue[6]=</t>
  </si>
  <si>
    <t>DependentValue[7]=</t>
  </si>
  <si>
    <t>DependentValue[8]=</t>
  </si>
  <si>
    <t>DependentValue[9]=</t>
  </si>
  <si>
    <t>DependentValue[10]=</t>
  </si>
  <si>
    <t>DependentValue[11]=</t>
  </si>
  <si>
    <t>DependentValue[12]=</t>
  </si>
  <si>
    <t>DependentValue[13]=</t>
  </si>
  <si>
    <t>DependentValue[14]=</t>
  </si>
  <si>
    <t>DependentValue[15]=</t>
  </si>
  <si>
    <t>DependentValue[16]=</t>
  </si>
  <si>
    <t>DependentValue[17]=</t>
  </si>
  <si>
    <t>DependentValue[18]=</t>
  </si>
  <si>
    <t>DependentValue[19]=</t>
  </si>
  <si>
    <t>DependentValue[20]=</t>
  </si>
  <si>
    <t>DependentValue[21]=</t>
  </si>
  <si>
    <t>DependentValue[22]=</t>
  </si>
  <si>
    <t>DependentValue[23]=</t>
  </si>
  <si>
    <t>DependentValue[24]=</t>
  </si>
  <si>
    <t>DependentValue[25]=</t>
  </si>
  <si>
    <t>DependentValue[26]=</t>
  </si>
  <si>
    <t>DependentValue[27]=</t>
  </si>
  <si>
    <t>DependentValue[28]=</t>
  </si>
  <si>
    <t>DependentValue[29]=</t>
  </si>
  <si>
    <t>DependentValue[30]=</t>
  </si>
  <si>
    <t>DependentValue[31]=</t>
  </si>
  <si>
    <t>DependentValue[32]=</t>
  </si>
  <si>
    <t>DependentValue[33]=</t>
  </si>
  <si>
    <t>DependentValue[34]=</t>
  </si>
  <si>
    <t>DependentValue[35]=</t>
  </si>
  <si>
    <t>DependentValue[36]=</t>
  </si>
  <si>
    <t>DependentValue[37]=</t>
  </si>
  <si>
    <t>DependentValue[38]=</t>
  </si>
  <si>
    <t>DependentValue[39]=</t>
  </si>
  <si>
    <t>DependentValue[40]=</t>
  </si>
  <si>
    <t>Select Stiffness_Teste</t>
  </si>
  <si>
    <t>Select Stiffness_Operação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</si>
</sst>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3" formatCode="_-* #,##0.00_-;\-* #,##0.00_-;_-* &quot;-&quot;??_-;_-@_-"/>
    <numFmt numFmtId="164" formatCode="0.00000000"/>
    <numFmt numFmtId="165" formatCode="0.00000"/>
    <numFmt numFmtId="166" formatCode="0.000"/>
    <numFmt numFmtId="167" formatCode="0.0000"/>
    <numFmt numFmtId="168" formatCode="0.0"/>
    <numFmt numFmtId="169" formatCode="[$-1009]d\-mmm\-yy;@"/>
    <numFmt numFmtId="170" formatCode="d\-mmm\-yyyy"/>
    <numFmt numFmtId="171" formatCode="0.000000"/>
  </numFmts>
  <fonts count="49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sz val="11"/>
      <color rgb="FF006100"/>
      <name val="Calibri"/>
      <family val="2"/>
      <scheme val="minor"/>
    </font>
    <font>
      <b/>
      <sz val="12"/>
      <color indexed="81"/>
      <name val="Tahoma"/>
      <family val="2"/>
    </font>
    <font>
      <sz val="12"/>
      <color indexed="81"/>
      <name val="Tahoma"/>
      <family val="2"/>
    </font>
    <font>
      <sz val="12"/>
      <color theme="1"/>
      <name val="Arial"/>
      <family val="2"/>
    </font>
    <font>
      <sz val="10"/>
      <color rgb="FFFF000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22"/>
      <name val="Arial"/>
      <family val="2"/>
    </font>
    <font>
      <u/>
      <sz val="10"/>
      <color indexed="12"/>
      <name val="Arial"/>
      <family val="2"/>
    </font>
    <font>
      <b/>
      <sz val="10"/>
      <color theme="1"/>
      <name val="Arial"/>
      <family val="2"/>
    </font>
    <font>
      <b/>
      <sz val="10"/>
      <color rgb="FF000000"/>
      <name val="Arial"/>
      <family val="2"/>
    </font>
    <font>
      <sz val="12"/>
      <name val="Arial"/>
      <family val="2"/>
    </font>
    <font>
      <sz val="8"/>
      <name val="Arial"/>
      <family val="2"/>
    </font>
    <font>
      <sz val="12"/>
      <color rgb="FFFF0000"/>
      <name val="Arial"/>
      <family val="2"/>
    </font>
    <font>
      <sz val="11"/>
      <name val="Arial"/>
      <family val="2"/>
    </font>
    <font>
      <b/>
      <sz val="10"/>
      <color rgb="FF00B050"/>
      <name val="Arial"/>
      <family val="2"/>
    </font>
    <font>
      <sz val="12"/>
      <color rgb="FF000000"/>
      <name val="Arial"/>
      <family val="2"/>
    </font>
    <font>
      <sz val="12"/>
      <color rgb="FF00B050"/>
      <name val="Arial"/>
      <family val="2"/>
    </font>
    <font>
      <b/>
      <u/>
      <sz val="12"/>
      <color rgb="FFFF0000"/>
      <name val="Arial"/>
      <family val="2"/>
    </font>
    <font>
      <sz val="12"/>
      <color rgb="FF0070C0"/>
      <name val="Arial"/>
      <family val="2"/>
    </font>
    <font>
      <b/>
      <u/>
      <sz val="12"/>
      <color rgb="FF0070C0"/>
      <name val="Arial"/>
      <family val="2"/>
    </font>
    <font>
      <sz val="10"/>
      <color theme="1"/>
      <name val="Arial"/>
      <family val="2"/>
    </font>
    <font>
      <b/>
      <sz val="14"/>
      <color theme="1"/>
      <name val="Arial"/>
      <family val="2"/>
    </font>
    <font>
      <vertAlign val="superscript"/>
      <sz val="10"/>
      <color theme="1"/>
      <name val="Arial"/>
      <family val="2"/>
    </font>
    <font>
      <sz val="10"/>
      <color indexed="81"/>
      <name val="Arial"/>
      <family val="2"/>
    </font>
    <font>
      <b/>
      <sz val="10"/>
      <color indexed="81"/>
      <name val="Arial"/>
      <family val="2"/>
    </font>
    <font>
      <b/>
      <sz val="11"/>
      <name val="Arial"/>
      <family val="2"/>
    </font>
    <font>
      <b/>
      <sz val="9"/>
      <color theme="1"/>
      <name val="Calibri"/>
      <family val="2"/>
      <scheme val="minor"/>
    </font>
    <font>
      <b/>
      <sz val="9"/>
      <color indexed="81"/>
      <name val="Segoe UI"/>
      <family val="2"/>
    </font>
    <font>
      <sz val="9"/>
      <color indexed="81"/>
      <name val="Segoe UI"/>
      <family val="2"/>
    </font>
    <font>
      <b/>
      <sz val="9"/>
      <name val="Calibri"/>
      <family val="2"/>
      <scheme val="minor"/>
    </font>
    <font>
      <sz val="9"/>
      <name val="Arial"/>
      <family val="2"/>
    </font>
    <font>
      <b/>
      <sz val="10"/>
      <color rgb="FFFF0000"/>
      <name val="Arial"/>
      <family val="2"/>
    </font>
    <font>
      <b/>
      <sz val="11"/>
      <color theme="1"/>
      <name val="Arial"/>
      <family val="2"/>
    </font>
    <font>
      <sz val="10"/>
      <color indexed="81"/>
      <name val="Tahoma"/>
      <family val="2"/>
    </font>
    <font>
      <b/>
      <sz val="10"/>
      <color theme="0"/>
      <name val="Arial"/>
      <family val="2"/>
    </font>
    <font>
      <b/>
      <sz val="12"/>
      <color rgb="FF00B050"/>
      <name val="Arial"/>
      <family val="2"/>
    </font>
    <font>
      <sz val="10"/>
      <color rgb="FF000000"/>
      <name val="Arial"/>
      <family val="2"/>
    </font>
  </fonts>
  <fills count="28">
    <fill>
      <patternFill patternType="none"/>
    </fill>
    <fill>
      <patternFill patternType="gray125"/>
    </fill>
    <fill>
      <patternFill patternType="solid">
        <fgColor indexed="26"/>
        <bgColor indexed="64"/>
      </patternFill>
    </fill>
    <fill>
      <patternFill patternType="solid">
        <fgColor rgb="FFC6EFCE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 tint="-0.249977111117893"/>
        <bgColor rgb="FF000000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9" tint="0.79998168889431442"/>
        <bgColor rgb="FF000000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512D6D"/>
        <bgColor indexed="64"/>
      </patternFill>
    </fill>
    <fill>
      <patternFill patternType="solid">
        <fgColor theme="0"/>
        <bgColor rgb="FF000000"/>
      </patternFill>
    </fill>
    <fill>
      <patternFill patternType="solid">
        <fgColor rgb="FFFFE699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34998626667073579"/>
        <bgColor indexed="64"/>
      </patternFill>
    </fill>
  </fills>
  <borders count="106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 style="medium">
        <color indexed="64"/>
      </right>
      <top style="hair">
        <color indexed="64"/>
      </top>
      <bottom/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auto="1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/>
      <top style="medium">
        <color indexed="64"/>
      </top>
      <bottom style="thin">
        <color auto="1"/>
      </bottom>
      <diagonal/>
    </border>
    <border>
      <left/>
      <right/>
      <top style="medium">
        <color indexed="64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medium">
        <color indexed="64"/>
      </bottom>
      <diagonal/>
    </border>
    <border>
      <left/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auto="1"/>
      </left>
      <right style="thin">
        <color auto="1"/>
      </right>
      <top/>
      <bottom style="double">
        <color indexed="64"/>
      </bottom>
      <diagonal/>
    </border>
    <border>
      <left/>
      <right style="thin">
        <color auto="1"/>
      </right>
      <top/>
      <bottom style="double">
        <color indexed="64"/>
      </bottom>
      <diagonal/>
    </border>
    <border>
      <left/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/>
      <top style="medium">
        <color indexed="64"/>
      </top>
      <bottom style="double">
        <color indexed="64"/>
      </bottom>
      <diagonal/>
    </border>
    <border>
      <left style="thin">
        <color auto="1"/>
      </left>
      <right/>
      <top/>
      <bottom style="double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 style="thin">
        <color auto="1"/>
      </left>
      <right style="medium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/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/>
      <top/>
      <bottom style="thin">
        <color auto="1"/>
      </bottom>
      <diagonal/>
    </border>
    <border>
      <left style="medium">
        <color indexed="64"/>
      </left>
      <right/>
      <top style="thin">
        <color auto="1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/>
      <top style="double">
        <color indexed="64"/>
      </top>
      <bottom style="thin">
        <color auto="1"/>
      </bottom>
      <diagonal/>
    </border>
    <border>
      <left style="thin">
        <color auto="1"/>
      </left>
      <right/>
      <top style="medium">
        <color indexed="64"/>
      </top>
      <bottom style="double">
        <color indexed="64"/>
      </bottom>
      <diagonal/>
    </border>
    <border>
      <left/>
      <right style="medium">
        <color indexed="64"/>
      </right>
      <top style="double">
        <color indexed="64"/>
      </top>
      <bottom style="thin">
        <color auto="1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double">
        <color indexed="64"/>
      </bottom>
      <diagonal/>
    </border>
  </borders>
  <cellStyleXfs count="57">
    <xf numFmtId="0" fontId="0" fillId="0" borderId="0"/>
    <xf numFmtId="0" fontId="11" fillId="3" borderId="0" applyNumberFormat="0" applyBorder="0" applyAlignment="0" applyProtection="0"/>
    <xf numFmtId="0" fontId="8" fillId="0" borderId="0"/>
    <xf numFmtId="0" fontId="10" fillId="0" borderId="0"/>
    <xf numFmtId="43" fontId="10" fillId="0" borderId="0" applyFont="0" applyFill="0" applyBorder="0" applyAlignment="0" applyProtection="0"/>
    <xf numFmtId="0" fontId="10" fillId="0" borderId="0"/>
    <xf numFmtId="0" fontId="8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7" fillId="0" borderId="0"/>
    <xf numFmtId="0" fontId="6" fillId="0" borderId="0"/>
    <xf numFmtId="43" fontId="10" fillId="0" borderId="0" applyFont="0" applyFill="0" applyBorder="0" applyAlignment="0" applyProtection="0"/>
    <xf numFmtId="0" fontId="6" fillId="0" borderId="0"/>
    <xf numFmtId="0" fontId="6" fillId="0" borderId="0"/>
    <xf numFmtId="0" fontId="5" fillId="0" borderId="0"/>
    <xf numFmtId="0" fontId="5" fillId="0" borderId="0"/>
    <xf numFmtId="0" fontId="10" fillId="0" borderId="0"/>
    <xf numFmtId="43" fontId="10" fillId="0" borderId="0" applyFont="0" applyFill="0" applyBorder="0" applyAlignment="0" applyProtection="0"/>
    <xf numFmtId="0" fontId="5" fillId="0" borderId="0"/>
    <xf numFmtId="0" fontId="5" fillId="0" borderId="0"/>
    <xf numFmtId="0" fontId="4" fillId="0" borderId="0"/>
    <xf numFmtId="0" fontId="3" fillId="0" borderId="0"/>
    <xf numFmtId="0" fontId="2" fillId="0" borderId="0"/>
    <xf numFmtId="43" fontId="10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43" fontId="10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43" fontId="10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1" fillId="0" borderId="0"/>
    <xf numFmtId="43" fontId="10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43" fontId="10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43" fontId="10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9" fillId="0" borderId="0" applyNumberFormat="0" applyFill="0" applyBorder="0" applyAlignment="0" applyProtection="0">
      <alignment vertical="top"/>
      <protection locked="0"/>
    </xf>
  </cellStyleXfs>
  <cellXfs count="741">
    <xf numFmtId="0" fontId="0" fillId="0" borderId="0" xfId="0"/>
    <xf numFmtId="0" fontId="0" fillId="0" borderId="0" xfId="0" applyAlignment="1">
      <alignment horizontal="left"/>
    </xf>
    <xf numFmtId="0" fontId="10" fillId="0" borderId="0" xfId="0" applyFont="1"/>
    <xf numFmtId="0" fontId="10" fillId="0" borderId="0" xfId="0" applyFont="1" applyAlignment="1">
      <alignment horizontal="left"/>
    </xf>
    <xf numFmtId="0" fontId="9" fillId="4" borderId="12" xfId="0" applyFont="1" applyFill="1" applyBorder="1" applyAlignment="1">
      <alignment horizontal="center" vertical="center"/>
    </xf>
    <xf numFmtId="0" fontId="10" fillId="6" borderId="0" xfId="3" applyFill="1" applyAlignment="1">
      <alignment vertical="center"/>
    </xf>
    <xf numFmtId="0" fontId="9" fillId="6" borderId="0" xfId="3" applyFont="1" applyFill="1" applyAlignment="1">
      <alignment vertical="center"/>
    </xf>
    <xf numFmtId="0" fontId="10" fillId="6" borderId="0" xfId="3" applyFill="1" applyAlignment="1">
      <alignment horizontal="center" vertical="center"/>
    </xf>
    <xf numFmtId="0" fontId="9" fillId="4" borderId="73" xfId="0" applyFont="1" applyFill="1" applyBorder="1" applyAlignment="1">
      <alignment horizontal="center" vertical="center"/>
    </xf>
    <xf numFmtId="0" fontId="9" fillId="4" borderId="74" xfId="0" applyFont="1" applyFill="1" applyBorder="1" applyAlignment="1">
      <alignment horizontal="center" vertical="center"/>
    </xf>
    <xf numFmtId="0" fontId="10" fillId="6" borderId="0" xfId="0" applyFont="1" applyFill="1"/>
    <xf numFmtId="0" fontId="0" fillId="6" borderId="0" xfId="0" applyFill="1" applyAlignment="1">
      <alignment vertical="center"/>
    </xf>
    <xf numFmtId="0" fontId="10" fillId="6" borderId="0" xfId="0" applyFont="1" applyFill="1" applyAlignment="1">
      <alignment vertical="center"/>
    </xf>
    <xf numFmtId="0" fontId="10" fillId="6" borderId="0" xfId="3" applyFill="1" applyAlignment="1" applyProtection="1">
      <alignment horizontal="left" vertical="center"/>
      <protection locked="0"/>
    </xf>
    <xf numFmtId="0" fontId="10" fillId="6" borderId="23" xfId="3" applyFill="1" applyBorder="1" applyAlignment="1" applyProtection="1">
      <alignment horizontal="left" vertical="center"/>
      <protection locked="0"/>
    </xf>
    <xf numFmtId="0" fontId="10" fillId="6" borderId="0" xfId="3" applyFill="1" applyAlignment="1" applyProtection="1">
      <alignment vertical="center"/>
      <protection locked="0"/>
    </xf>
    <xf numFmtId="0" fontId="10" fillId="6" borderId="22" xfId="0" applyFont="1" applyFill="1" applyBorder="1" applyAlignment="1">
      <alignment vertical="center"/>
    </xf>
    <xf numFmtId="0" fontId="9" fillId="6" borderId="0" xfId="3" applyFont="1" applyFill="1" applyAlignment="1" applyProtection="1">
      <alignment vertical="center"/>
      <protection locked="0"/>
    </xf>
    <xf numFmtId="0" fontId="9" fillId="6" borderId="49" xfId="0" applyFont="1" applyFill="1" applyBorder="1" applyAlignment="1">
      <alignment vertical="center"/>
    </xf>
    <xf numFmtId="0" fontId="10" fillId="7" borderId="0" xfId="3" applyFill="1"/>
    <xf numFmtId="0" fontId="10" fillId="7" borderId="0" xfId="3" applyFill="1" applyAlignment="1">
      <alignment vertical="center"/>
    </xf>
    <xf numFmtId="0" fontId="10" fillId="7" borderId="0" xfId="3" applyFill="1" applyAlignment="1">
      <alignment horizontal="right" vertical="center"/>
    </xf>
    <xf numFmtId="0" fontId="10" fillId="7" borderId="0" xfId="3" quotePrefix="1" applyFill="1" applyAlignment="1">
      <alignment horizontal="right" vertical="center"/>
    </xf>
    <xf numFmtId="2" fontId="10" fillId="0" borderId="5" xfId="0" applyNumberFormat="1" applyFont="1" applyBorder="1" applyAlignment="1">
      <alignment horizontal="center" vertical="center"/>
    </xf>
    <xf numFmtId="2" fontId="10" fillId="0" borderId="60" xfId="0" applyNumberFormat="1" applyFont="1" applyBorder="1" applyAlignment="1">
      <alignment horizontal="center" vertical="center"/>
    </xf>
    <xf numFmtId="2" fontId="10" fillId="0" borderId="22" xfId="0" applyNumberFormat="1" applyFont="1" applyBorder="1" applyAlignment="1">
      <alignment horizontal="center" vertical="center"/>
    </xf>
    <xf numFmtId="2" fontId="10" fillId="0" borderId="58" xfId="0" applyNumberFormat="1" applyFont="1" applyBorder="1" applyAlignment="1">
      <alignment horizontal="center" vertical="center"/>
    </xf>
    <xf numFmtId="2" fontId="10" fillId="0" borderId="20" xfId="0" applyNumberFormat="1" applyFont="1" applyBorder="1" applyAlignment="1">
      <alignment horizontal="center" vertical="center"/>
    </xf>
    <xf numFmtId="2" fontId="10" fillId="0" borderId="18" xfId="0" applyNumberFormat="1" applyFont="1" applyBorder="1" applyAlignment="1">
      <alignment horizontal="center" vertical="center"/>
    </xf>
    <xf numFmtId="2" fontId="10" fillId="0" borderId="46" xfId="0" applyNumberFormat="1" applyFont="1" applyBorder="1" applyAlignment="1">
      <alignment horizontal="center" vertical="center"/>
    </xf>
    <xf numFmtId="2" fontId="10" fillId="0" borderId="61" xfId="0" applyNumberFormat="1" applyFont="1" applyBorder="1" applyAlignment="1">
      <alignment horizontal="center" vertical="center"/>
    </xf>
    <xf numFmtId="2" fontId="10" fillId="0" borderId="44" xfId="0" applyNumberFormat="1" applyFont="1" applyBorder="1" applyAlignment="1">
      <alignment horizontal="center" vertical="center"/>
    </xf>
    <xf numFmtId="2" fontId="10" fillId="0" borderId="66" xfId="0" applyNumberFormat="1" applyFont="1" applyBorder="1" applyAlignment="1">
      <alignment horizontal="center" vertical="center"/>
    </xf>
    <xf numFmtId="2" fontId="10" fillId="0" borderId="69" xfId="0" applyNumberFormat="1" applyFont="1" applyBorder="1" applyAlignment="1">
      <alignment horizontal="center" vertical="center"/>
    </xf>
    <xf numFmtId="2" fontId="10" fillId="0" borderId="42" xfId="0" applyNumberFormat="1" applyFont="1" applyBorder="1" applyAlignment="1">
      <alignment horizontal="center" vertical="center"/>
    </xf>
    <xf numFmtId="0" fontId="9" fillId="4" borderId="72" xfId="0" applyFont="1" applyFill="1" applyBorder="1" applyAlignment="1">
      <alignment horizontal="center" vertical="center"/>
    </xf>
    <xf numFmtId="2" fontId="20" fillId="0" borderId="17" xfId="0" applyNumberFormat="1" applyFont="1" applyBorder="1" applyAlignment="1">
      <alignment horizontal="center" vertical="center"/>
    </xf>
    <xf numFmtId="2" fontId="20" fillId="0" borderId="64" xfId="0" applyNumberFormat="1" applyFont="1" applyBorder="1" applyAlignment="1">
      <alignment horizontal="center" vertical="center"/>
    </xf>
    <xf numFmtId="2" fontId="20" fillId="0" borderId="54" xfId="0" applyNumberFormat="1" applyFont="1" applyBorder="1" applyAlignment="1">
      <alignment horizontal="center" vertical="center"/>
    </xf>
    <xf numFmtId="2" fontId="20" fillId="0" borderId="53" xfId="0" applyNumberFormat="1" applyFont="1" applyBorder="1" applyAlignment="1">
      <alignment horizontal="center" vertical="center"/>
    </xf>
    <xf numFmtId="2" fontId="20" fillId="0" borderId="65" xfId="0" applyNumberFormat="1" applyFont="1" applyBorder="1" applyAlignment="1">
      <alignment horizontal="center" vertical="center"/>
    </xf>
    <xf numFmtId="2" fontId="20" fillId="0" borderId="78" xfId="0" applyNumberFormat="1" applyFont="1" applyBorder="1" applyAlignment="1">
      <alignment horizontal="center" vertical="center"/>
    </xf>
    <xf numFmtId="0" fontId="14" fillId="6" borderId="0" xfId="24" applyFont="1" applyFill="1" applyAlignment="1">
      <alignment vertical="center"/>
    </xf>
    <xf numFmtId="0" fontId="20" fillId="6" borderId="0" xfId="2" applyFont="1" applyFill="1" applyAlignment="1">
      <alignment vertical="center"/>
    </xf>
    <xf numFmtId="0" fontId="32" fillId="6" borderId="0" xfId="2" applyFont="1" applyFill="1" applyAlignment="1">
      <alignment vertical="center"/>
    </xf>
    <xf numFmtId="0" fontId="32" fillId="6" borderId="0" xfId="2" applyFont="1" applyFill="1" applyAlignment="1">
      <alignment horizontal="center" vertical="center"/>
    </xf>
    <xf numFmtId="167" fontId="32" fillId="6" borderId="0" xfId="2" applyNumberFormat="1" applyFont="1" applyFill="1" applyAlignment="1">
      <alignment horizontal="center" vertical="center"/>
    </xf>
    <xf numFmtId="0" fontId="10" fillId="6" borderId="0" xfId="0" applyFont="1" applyFill="1" applyAlignment="1">
      <alignment horizontal="center" vertical="center"/>
    </xf>
    <xf numFmtId="165" fontId="10" fillId="5" borderId="57" xfId="1" applyNumberFormat="1" applyFont="1" applyFill="1" applyBorder="1" applyAlignment="1">
      <alignment horizontal="center" vertical="center"/>
    </xf>
    <xf numFmtId="165" fontId="32" fillId="6" borderId="0" xfId="2" applyNumberFormat="1" applyFont="1" applyFill="1" applyAlignment="1">
      <alignment vertical="center"/>
    </xf>
    <xf numFmtId="1" fontId="10" fillId="5" borderId="22" xfId="1" applyNumberFormat="1" applyFont="1" applyFill="1" applyBorder="1" applyAlignment="1">
      <alignment horizontal="center" vertical="center"/>
    </xf>
    <xf numFmtId="0" fontId="32" fillId="0" borderId="22" xfId="2" applyFont="1" applyBorder="1" applyAlignment="1">
      <alignment vertical="center"/>
    </xf>
    <xf numFmtId="0" fontId="32" fillId="0" borderId="22" xfId="2" applyFont="1" applyBorder="1" applyAlignment="1">
      <alignment vertical="center" wrapText="1"/>
    </xf>
    <xf numFmtId="0" fontId="32" fillId="6" borderId="20" xfId="2" applyFont="1" applyFill="1" applyBorder="1" applyAlignment="1">
      <alignment vertical="center"/>
    </xf>
    <xf numFmtId="0" fontId="32" fillId="6" borderId="20" xfId="2" applyFont="1" applyFill="1" applyBorder="1" applyAlignment="1">
      <alignment horizontal="center" vertical="center"/>
    </xf>
    <xf numFmtId="1" fontId="32" fillId="6" borderId="20" xfId="2" applyNumberFormat="1" applyFont="1" applyFill="1" applyBorder="1" applyAlignment="1">
      <alignment horizontal="center" vertical="center"/>
    </xf>
    <xf numFmtId="0" fontId="32" fillId="6" borderId="22" xfId="2" applyFont="1" applyFill="1" applyBorder="1" applyAlignment="1">
      <alignment horizontal="center" vertical="center"/>
    </xf>
    <xf numFmtId="168" fontId="9" fillId="6" borderId="45" xfId="1" applyNumberFormat="1" applyFont="1" applyFill="1" applyBorder="1" applyAlignment="1">
      <alignment horizontal="right" vertical="center"/>
    </xf>
    <xf numFmtId="168" fontId="10" fillId="5" borderId="25" xfId="1" applyNumberFormat="1" applyFont="1" applyFill="1" applyBorder="1" applyAlignment="1">
      <alignment horizontal="right" vertical="center"/>
    </xf>
    <xf numFmtId="11" fontId="20" fillId="0" borderId="25" xfId="2" applyNumberFormat="1" applyFont="1" applyBorder="1" applyAlignment="1">
      <alignment horizontal="right" vertical="center"/>
    </xf>
    <xf numFmtId="165" fontId="20" fillId="0" borderId="25" xfId="2" applyNumberFormat="1" applyFont="1" applyBorder="1" applyAlignment="1">
      <alignment horizontal="right" vertical="center"/>
    </xf>
    <xf numFmtId="0" fontId="32" fillId="0" borderId="23" xfId="24" applyFont="1" applyBorder="1" applyAlignment="1">
      <alignment horizontal="center" vertical="center"/>
    </xf>
    <xf numFmtId="0" fontId="32" fillId="0" borderId="47" xfId="24" applyFont="1" applyBorder="1" applyAlignment="1">
      <alignment horizontal="center" vertical="center"/>
    </xf>
    <xf numFmtId="0" fontId="32" fillId="0" borderId="26" xfId="24" applyFont="1" applyBorder="1" applyAlignment="1">
      <alignment vertical="center"/>
    </xf>
    <xf numFmtId="0" fontId="32" fillId="0" borderId="26" xfId="24" applyFont="1" applyBorder="1" applyAlignment="1">
      <alignment horizontal="left" vertical="center"/>
    </xf>
    <xf numFmtId="0" fontId="32" fillId="0" borderId="71" xfId="24" applyFont="1" applyBorder="1" applyAlignment="1">
      <alignment vertical="center"/>
    </xf>
    <xf numFmtId="0" fontId="32" fillId="6" borderId="68" xfId="24" applyFont="1" applyFill="1" applyBorder="1" applyAlignment="1">
      <alignment horizontal="center" vertical="center"/>
    </xf>
    <xf numFmtId="0" fontId="32" fillId="6" borderId="23" xfId="24" applyFont="1" applyFill="1" applyBorder="1" applyAlignment="1">
      <alignment horizontal="center" vertical="center"/>
    </xf>
    <xf numFmtId="0" fontId="32" fillId="6" borderId="39" xfId="24" applyFont="1" applyFill="1" applyBorder="1" applyAlignment="1">
      <alignment horizontal="center" vertical="center"/>
    </xf>
    <xf numFmtId="0" fontId="32" fillId="6" borderId="47" xfId="24" applyFont="1" applyFill="1" applyBorder="1" applyAlignment="1">
      <alignment horizontal="center" vertical="center"/>
    </xf>
    <xf numFmtId="0" fontId="32" fillId="6" borderId="6" xfId="24" applyFont="1" applyFill="1" applyBorder="1" applyAlignment="1">
      <alignment horizontal="center" vertical="center"/>
    </xf>
    <xf numFmtId="0" fontId="20" fillId="6" borderId="0" xfId="24" applyFont="1" applyFill="1" applyAlignment="1">
      <alignment vertical="center"/>
    </xf>
    <xf numFmtId="0" fontId="32" fillId="6" borderId="22" xfId="24" applyFont="1" applyFill="1" applyBorder="1" applyAlignment="1">
      <alignment vertical="center"/>
    </xf>
    <xf numFmtId="0" fontId="20" fillId="6" borderId="0" xfId="2" applyFont="1" applyFill="1" applyAlignment="1">
      <alignment horizontal="center" vertical="center"/>
    </xf>
    <xf numFmtId="0" fontId="0" fillId="6" borderId="0" xfId="0" applyFill="1"/>
    <xf numFmtId="2" fontId="10" fillId="12" borderId="29" xfId="3" applyNumberFormat="1" applyFill="1" applyBorder="1" applyAlignment="1" applyProtection="1">
      <alignment horizontal="right" vertical="center"/>
      <protection hidden="1"/>
    </xf>
    <xf numFmtId="2" fontId="10" fillId="12" borderId="30" xfId="3" applyNumberFormat="1" applyFill="1" applyBorder="1" applyAlignment="1" applyProtection="1">
      <alignment horizontal="right" vertical="center"/>
      <protection hidden="1"/>
    </xf>
    <xf numFmtId="2" fontId="10" fillId="12" borderId="31" xfId="3" applyNumberFormat="1" applyFill="1" applyBorder="1" applyAlignment="1" applyProtection="1">
      <alignment horizontal="right" vertical="center"/>
      <protection hidden="1"/>
    </xf>
    <xf numFmtId="2" fontId="10" fillId="12" borderId="32" xfId="3" applyNumberFormat="1" applyFill="1" applyBorder="1" applyAlignment="1" applyProtection="1">
      <alignment horizontal="right" vertical="center"/>
      <protection hidden="1"/>
    </xf>
    <xf numFmtId="2" fontId="10" fillId="12" borderId="33" xfId="3" applyNumberFormat="1" applyFill="1" applyBorder="1" applyAlignment="1" applyProtection="1">
      <alignment horizontal="right" vertical="center"/>
      <protection hidden="1"/>
    </xf>
    <xf numFmtId="2" fontId="10" fillId="6" borderId="22" xfId="0" applyNumberFormat="1" applyFont="1" applyFill="1" applyBorder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10" fillId="6" borderId="53" xfId="0" applyFont="1" applyFill="1" applyBorder="1" applyAlignment="1">
      <alignment horizontal="center" vertical="center"/>
    </xf>
    <xf numFmtId="0" fontId="9" fillId="4" borderId="65" xfId="0" applyFont="1" applyFill="1" applyBorder="1" applyAlignment="1">
      <alignment horizontal="center" vertical="center"/>
    </xf>
    <xf numFmtId="0" fontId="9" fillId="4" borderId="1" xfId="0" applyFont="1" applyFill="1" applyBorder="1" applyAlignment="1">
      <alignment horizontal="center" vertical="center"/>
    </xf>
    <xf numFmtId="0" fontId="0" fillId="6" borderId="53" xfId="0" applyFill="1" applyBorder="1" applyAlignment="1">
      <alignment horizontal="center" vertical="center"/>
    </xf>
    <xf numFmtId="0" fontId="10" fillId="6" borderId="53" xfId="0" quotePrefix="1" applyFont="1" applyFill="1" applyBorder="1" applyAlignment="1">
      <alignment horizontal="center" vertical="center"/>
    </xf>
    <xf numFmtId="0" fontId="9" fillId="4" borderId="72" xfId="0" applyFont="1" applyFill="1" applyBorder="1" applyAlignment="1">
      <alignment vertical="center"/>
    </xf>
    <xf numFmtId="0" fontId="10" fillId="0" borderId="22" xfId="3" applyBorder="1" applyAlignment="1">
      <alignment horizontal="left" vertical="center"/>
    </xf>
    <xf numFmtId="0" fontId="10" fillId="0" borderId="22" xfId="0" applyFont="1" applyBorder="1" applyAlignment="1">
      <alignment horizontal="left" vertical="center"/>
    </xf>
    <xf numFmtId="0" fontId="9" fillId="9" borderId="22" xfId="3" applyFont="1" applyFill="1" applyBorder="1" applyAlignment="1">
      <alignment horizontal="left" vertical="center"/>
    </xf>
    <xf numFmtId="0" fontId="10" fillId="9" borderId="22" xfId="0" applyFont="1" applyFill="1" applyBorder="1" applyAlignment="1">
      <alignment horizontal="left" vertical="center"/>
    </xf>
    <xf numFmtId="0" fontId="15" fillId="0" borderId="22" xfId="3" applyFont="1" applyBorder="1" applyAlignment="1">
      <alignment horizontal="left" vertical="center"/>
    </xf>
    <xf numFmtId="0" fontId="15" fillId="6" borderId="0" xfId="3" applyFont="1" applyFill="1" applyAlignment="1">
      <alignment vertical="center"/>
    </xf>
    <xf numFmtId="0" fontId="9" fillId="8" borderId="23" xfId="0" applyFont="1" applyFill="1" applyBorder="1" applyAlignment="1">
      <alignment vertical="center"/>
    </xf>
    <xf numFmtId="0" fontId="9" fillId="8" borderId="39" xfId="0" applyFont="1" applyFill="1" applyBorder="1" applyAlignment="1">
      <alignment vertical="center"/>
    </xf>
    <xf numFmtId="0" fontId="32" fillId="6" borderId="0" xfId="24" applyFont="1" applyFill="1" applyAlignment="1">
      <alignment horizontal="right" vertical="center"/>
    </xf>
    <xf numFmtId="0" fontId="32" fillId="6" borderId="0" xfId="24" applyFont="1" applyFill="1" applyAlignment="1">
      <alignment horizontal="center" vertical="center"/>
    </xf>
    <xf numFmtId="0" fontId="10" fillId="7" borderId="0" xfId="3" applyFill="1" applyAlignment="1">
      <alignment horizontal="center" vertical="center"/>
    </xf>
    <xf numFmtId="0" fontId="20" fillId="4" borderId="82" xfId="2" applyFont="1" applyFill="1" applyBorder="1" applyAlignment="1">
      <alignment horizontal="center" vertical="center"/>
    </xf>
    <xf numFmtId="0" fontId="32" fillId="17" borderId="0" xfId="2" applyFont="1" applyFill="1" applyAlignment="1">
      <alignment vertical="center"/>
    </xf>
    <xf numFmtId="0" fontId="32" fillId="6" borderId="0" xfId="2" applyFont="1" applyFill="1" applyAlignment="1">
      <alignment horizontal="left" vertical="center"/>
    </xf>
    <xf numFmtId="167" fontId="10" fillId="6" borderId="0" xfId="3" applyNumberFormat="1" applyFill="1" applyAlignment="1">
      <alignment horizontal="center" vertical="center"/>
    </xf>
    <xf numFmtId="0" fontId="10" fillId="17" borderId="0" xfId="0" applyFont="1" applyFill="1" applyAlignment="1">
      <alignment vertical="center"/>
    </xf>
    <xf numFmtId="0" fontId="20" fillId="17" borderId="0" xfId="2" applyFont="1" applyFill="1" applyAlignment="1">
      <alignment vertical="center"/>
    </xf>
    <xf numFmtId="167" fontId="32" fillId="6" borderId="83" xfId="2" applyNumberFormat="1" applyFont="1" applyFill="1" applyBorder="1" applyAlignment="1">
      <alignment horizontal="center" vertical="center"/>
    </xf>
    <xf numFmtId="167" fontId="32" fillId="6" borderId="25" xfId="2" applyNumberFormat="1" applyFont="1" applyFill="1" applyBorder="1" applyAlignment="1">
      <alignment horizontal="center" vertical="center"/>
    </xf>
    <xf numFmtId="0" fontId="20" fillId="4" borderId="80" xfId="2" applyFont="1" applyFill="1" applyBorder="1" applyAlignment="1">
      <alignment horizontal="center" vertical="center"/>
    </xf>
    <xf numFmtId="167" fontId="32" fillId="6" borderId="41" xfId="2" applyNumberFormat="1" applyFont="1" applyFill="1" applyBorder="1" applyAlignment="1">
      <alignment horizontal="center" vertical="center"/>
    </xf>
    <xf numFmtId="167" fontId="32" fillId="6" borderId="57" xfId="2" applyNumberFormat="1" applyFont="1" applyFill="1" applyBorder="1" applyAlignment="1">
      <alignment horizontal="center" vertical="center"/>
    </xf>
    <xf numFmtId="167" fontId="10" fillId="6" borderId="26" xfId="3" applyNumberFormat="1" applyFill="1" applyBorder="1" applyAlignment="1">
      <alignment horizontal="center" vertical="center"/>
    </xf>
    <xf numFmtId="167" fontId="32" fillId="6" borderId="43" xfId="2" applyNumberFormat="1" applyFont="1" applyFill="1" applyBorder="1" applyAlignment="1">
      <alignment horizontal="center" vertical="center"/>
    </xf>
    <xf numFmtId="167" fontId="10" fillId="6" borderId="27" xfId="3" applyNumberFormat="1" applyFill="1" applyBorder="1" applyAlignment="1">
      <alignment horizontal="center" vertical="center"/>
    </xf>
    <xf numFmtId="167" fontId="10" fillId="6" borderId="41" xfId="3" applyNumberFormat="1" applyFill="1" applyBorder="1" applyAlignment="1">
      <alignment horizontal="center" vertical="center"/>
    </xf>
    <xf numFmtId="167" fontId="32" fillId="5" borderId="27" xfId="3" applyNumberFormat="1" applyFont="1" applyFill="1" applyBorder="1" applyAlignment="1">
      <alignment horizontal="center" vertical="center"/>
    </xf>
    <xf numFmtId="167" fontId="10" fillId="6" borderId="57" xfId="0" applyNumberFormat="1" applyFont="1" applyFill="1" applyBorder="1" applyAlignment="1">
      <alignment horizontal="center" vertical="center"/>
    </xf>
    <xf numFmtId="167" fontId="10" fillId="6" borderId="26" xfId="0" applyNumberFormat="1" applyFont="1" applyFill="1" applyBorder="1" applyAlignment="1">
      <alignment horizontal="center" vertical="center"/>
    </xf>
    <xf numFmtId="167" fontId="10" fillId="6" borderId="27" xfId="0" applyNumberFormat="1" applyFont="1" applyFill="1" applyBorder="1" applyAlignment="1">
      <alignment horizontal="center" vertical="center"/>
    </xf>
    <xf numFmtId="0" fontId="10" fillId="7" borderId="22" xfId="3" applyFill="1" applyBorder="1" applyAlignment="1">
      <alignment horizontal="center" vertical="center"/>
    </xf>
    <xf numFmtId="1" fontId="10" fillId="7" borderId="20" xfId="3" applyNumberFormat="1" applyFill="1" applyBorder="1" applyAlignment="1">
      <alignment horizontal="center" vertical="center"/>
    </xf>
    <xf numFmtId="0" fontId="10" fillId="7" borderId="77" xfId="3" applyFill="1" applyBorder="1" applyAlignment="1">
      <alignment horizontal="center" vertical="center"/>
    </xf>
    <xf numFmtId="0" fontId="10" fillId="7" borderId="20" xfId="3" applyFill="1" applyBorder="1" applyAlignment="1">
      <alignment horizontal="center" vertical="center"/>
    </xf>
    <xf numFmtId="2" fontId="10" fillId="6" borderId="2" xfId="3" applyNumberFormat="1" applyFill="1" applyBorder="1" applyAlignment="1" applyProtection="1">
      <alignment horizontal="center" vertical="center"/>
      <protection locked="0"/>
    </xf>
    <xf numFmtId="2" fontId="10" fillId="11" borderId="24" xfId="3" applyNumberFormat="1" applyFill="1" applyBorder="1" applyAlignment="1">
      <alignment horizontal="left" vertical="center"/>
    </xf>
    <xf numFmtId="0" fontId="10" fillId="11" borderId="10" xfId="3" applyFill="1" applyBorder="1" applyAlignment="1">
      <alignment horizontal="left" vertical="center"/>
    </xf>
    <xf numFmtId="2" fontId="10" fillId="11" borderId="9" xfId="3" applyNumberFormat="1" applyFill="1" applyBorder="1" applyAlignment="1">
      <alignment horizontal="left" vertical="center"/>
    </xf>
    <xf numFmtId="0" fontId="10" fillId="11" borderId="28" xfId="3" applyFill="1" applyBorder="1" applyAlignment="1">
      <alignment horizontal="left" vertical="center"/>
    </xf>
    <xf numFmtId="0" fontId="10" fillId="12" borderId="29" xfId="3" applyFill="1" applyBorder="1" applyAlignment="1" applyProtection="1">
      <alignment horizontal="right" vertical="center"/>
      <protection hidden="1"/>
    </xf>
    <xf numFmtId="0" fontId="10" fillId="12" borderId="30" xfId="3" applyFill="1" applyBorder="1" applyAlignment="1" applyProtection="1">
      <alignment horizontal="right" vertical="center"/>
      <protection hidden="1"/>
    </xf>
    <xf numFmtId="0" fontId="10" fillId="12" borderId="30" xfId="3" applyFill="1" applyBorder="1" applyAlignment="1" applyProtection="1">
      <alignment vertical="center"/>
      <protection hidden="1"/>
    </xf>
    <xf numFmtId="0" fontId="10" fillId="12" borderId="31" xfId="3" applyFill="1" applyBorder="1" applyAlignment="1" applyProtection="1">
      <alignment horizontal="right" vertical="center"/>
      <protection hidden="1"/>
    </xf>
    <xf numFmtId="165" fontId="10" fillId="7" borderId="34" xfId="3" applyNumberFormat="1" applyFill="1" applyBorder="1" applyAlignment="1" applyProtection="1">
      <alignment horizontal="right" vertical="center"/>
      <protection hidden="1"/>
    </xf>
    <xf numFmtId="2" fontId="10" fillId="7" borderId="35" xfId="3" applyNumberFormat="1" applyFill="1" applyBorder="1" applyAlignment="1" applyProtection="1">
      <alignment horizontal="right" vertical="center"/>
      <protection hidden="1"/>
    </xf>
    <xf numFmtId="0" fontId="10" fillId="12" borderId="37" xfId="3" applyFill="1" applyBorder="1" applyAlignment="1" applyProtection="1">
      <alignment horizontal="right" vertical="center"/>
      <protection hidden="1"/>
    </xf>
    <xf numFmtId="0" fontId="10" fillId="12" borderId="37" xfId="3" applyFill="1" applyBorder="1" applyAlignment="1" applyProtection="1">
      <alignment vertical="center"/>
      <protection hidden="1"/>
    </xf>
    <xf numFmtId="0" fontId="10" fillId="12" borderId="38" xfId="3" applyFill="1" applyBorder="1" applyAlignment="1" applyProtection="1">
      <alignment horizontal="right" vertical="center"/>
      <protection hidden="1"/>
    </xf>
    <xf numFmtId="0" fontId="10" fillId="6" borderId="39" xfId="3" applyFill="1" applyBorder="1" applyAlignment="1" applyProtection="1">
      <alignment horizontal="center" vertical="center"/>
      <protection locked="0"/>
    </xf>
    <xf numFmtId="164" fontId="10" fillId="7" borderId="0" xfId="3" applyNumberFormat="1" applyFill="1" applyAlignment="1">
      <alignment horizontal="right" vertical="center"/>
    </xf>
    <xf numFmtId="0" fontId="10" fillId="7" borderId="22" xfId="3" applyFill="1" applyBorder="1" applyAlignment="1">
      <alignment vertical="center"/>
    </xf>
    <xf numFmtId="0" fontId="10" fillId="7" borderId="20" xfId="3" applyFill="1" applyBorder="1" applyAlignment="1">
      <alignment vertical="center"/>
    </xf>
    <xf numFmtId="2" fontId="10" fillId="7" borderId="0" xfId="3" applyNumberFormat="1" applyFill="1" applyAlignment="1">
      <alignment horizontal="center" vertical="center"/>
    </xf>
    <xf numFmtId="0" fontId="32" fillId="6" borderId="0" xfId="24" applyFont="1" applyFill="1" applyAlignment="1">
      <alignment vertical="center"/>
    </xf>
    <xf numFmtId="0" fontId="25" fillId="6" borderId="0" xfId="3" applyFont="1" applyFill="1" applyAlignment="1" applyProtection="1">
      <alignment vertical="center"/>
      <protection locked="0"/>
    </xf>
    <xf numFmtId="0" fontId="9" fillId="4" borderId="22" xfId="0" applyFont="1" applyFill="1" applyBorder="1" applyAlignment="1">
      <alignment horizontal="center" vertical="center"/>
    </xf>
    <xf numFmtId="0" fontId="10" fillId="6" borderId="49" xfId="0" applyFont="1" applyFill="1" applyBorder="1" applyAlignment="1">
      <alignment vertical="center"/>
    </xf>
    <xf numFmtId="0" fontId="10" fillId="6" borderId="19" xfId="0" applyFont="1" applyFill="1" applyBorder="1" applyAlignment="1">
      <alignment vertical="center"/>
    </xf>
    <xf numFmtId="0" fontId="10" fillId="6" borderId="20" xfId="0" applyFont="1" applyFill="1" applyBorder="1" applyAlignment="1">
      <alignment vertical="center"/>
    </xf>
    <xf numFmtId="0" fontId="9" fillId="6" borderId="22" xfId="0" applyFont="1" applyFill="1" applyBorder="1" applyAlignment="1">
      <alignment vertical="center"/>
    </xf>
    <xf numFmtId="0" fontId="10" fillId="4" borderId="22" xfId="0" applyFont="1" applyFill="1" applyBorder="1" applyAlignment="1">
      <alignment horizontal="center" vertical="center" wrapText="1"/>
    </xf>
    <xf numFmtId="0" fontId="9" fillId="4" borderId="52" xfId="0" applyFont="1" applyFill="1" applyBorder="1" applyAlignment="1">
      <alignment vertical="center"/>
    </xf>
    <xf numFmtId="0" fontId="10" fillId="4" borderId="85" xfId="0" applyFont="1" applyFill="1" applyBorder="1" applyAlignment="1">
      <alignment vertical="center"/>
    </xf>
    <xf numFmtId="0" fontId="10" fillId="4" borderId="77" xfId="0" applyFont="1" applyFill="1" applyBorder="1" applyAlignment="1">
      <alignment vertical="center"/>
    </xf>
    <xf numFmtId="0" fontId="10" fillId="4" borderId="84" xfId="0" applyFont="1" applyFill="1" applyBorder="1" applyAlignment="1">
      <alignment vertical="center"/>
    </xf>
    <xf numFmtId="0" fontId="10" fillId="6" borderId="68" xfId="0" applyFont="1" applyFill="1" applyBorder="1" applyAlignment="1">
      <alignment vertical="center"/>
    </xf>
    <xf numFmtId="0" fontId="10" fillId="6" borderId="23" xfId="0" applyFont="1" applyFill="1" applyBorder="1" applyAlignment="1">
      <alignment vertical="center"/>
    </xf>
    <xf numFmtId="0" fontId="9" fillId="6" borderId="51" xfId="0" applyFont="1" applyFill="1" applyBorder="1" applyAlignment="1">
      <alignment vertical="center"/>
    </xf>
    <xf numFmtId="0" fontId="9" fillId="6" borderId="0" xfId="0" applyFont="1" applyFill="1" applyAlignment="1">
      <alignment vertical="center"/>
    </xf>
    <xf numFmtId="0" fontId="10" fillId="6" borderId="58" xfId="0" applyFont="1" applyFill="1" applyBorder="1" applyAlignment="1">
      <alignment vertical="center"/>
    </xf>
    <xf numFmtId="0" fontId="10" fillId="4" borderId="60" xfId="0" applyFont="1" applyFill="1" applyBorder="1" applyAlignment="1">
      <alignment vertical="center"/>
    </xf>
    <xf numFmtId="0" fontId="10" fillId="4" borderId="47" xfId="0" applyFont="1" applyFill="1" applyBorder="1" applyAlignment="1">
      <alignment vertical="center"/>
    </xf>
    <xf numFmtId="0" fontId="10" fillId="0" borderId="0" xfId="0" applyFont="1" applyAlignment="1">
      <alignment vertical="center"/>
    </xf>
    <xf numFmtId="0" fontId="9" fillId="4" borderId="22" xfId="0" applyFont="1" applyFill="1" applyBorder="1" applyAlignment="1">
      <alignment vertical="center"/>
    </xf>
    <xf numFmtId="0" fontId="10" fillId="0" borderId="22" xfId="0" applyFont="1" applyBorder="1" applyAlignment="1">
      <alignment vertical="center"/>
    </xf>
    <xf numFmtId="166" fontId="10" fillId="0" borderId="22" xfId="0" applyNumberFormat="1" applyFont="1" applyBorder="1" applyAlignment="1">
      <alignment vertical="center"/>
    </xf>
    <xf numFmtId="2" fontId="10" fillId="6" borderId="0" xfId="0" applyNumberFormat="1" applyFont="1" applyFill="1" applyAlignment="1">
      <alignment vertical="center"/>
    </xf>
    <xf numFmtId="2" fontId="10" fillId="6" borderId="22" xfId="0" applyNumberFormat="1" applyFont="1" applyFill="1" applyBorder="1" applyAlignment="1">
      <alignment vertical="center"/>
    </xf>
    <xf numFmtId="2" fontId="9" fillId="4" borderId="22" xfId="0" applyNumberFormat="1" applyFont="1" applyFill="1" applyBorder="1" applyAlignment="1">
      <alignment vertical="center"/>
    </xf>
    <xf numFmtId="0" fontId="10" fillId="4" borderId="22" xfId="0" applyFont="1" applyFill="1" applyBorder="1" applyAlignment="1">
      <alignment horizontal="center" vertical="center"/>
    </xf>
    <xf numFmtId="2" fontId="10" fillId="0" borderId="22" xfId="0" applyNumberFormat="1" applyFont="1" applyBorder="1" applyAlignment="1">
      <alignment vertical="center"/>
    </xf>
    <xf numFmtId="0" fontId="10" fillId="0" borderId="22" xfId="0" applyFont="1" applyBorder="1" applyAlignment="1">
      <alignment horizontal="center" vertical="center"/>
    </xf>
    <xf numFmtId="166" fontId="10" fillId="6" borderId="22" xfId="0" applyNumberFormat="1" applyFont="1" applyFill="1" applyBorder="1" applyAlignment="1">
      <alignment vertical="center"/>
    </xf>
    <xf numFmtId="0" fontId="10" fillId="6" borderId="18" xfId="0" applyFont="1" applyFill="1" applyBorder="1" applyAlignment="1">
      <alignment vertical="center"/>
    </xf>
    <xf numFmtId="0" fontId="0" fillId="0" borderId="22" xfId="0" applyBorder="1" applyAlignment="1">
      <alignment vertical="center"/>
    </xf>
    <xf numFmtId="0" fontId="10" fillId="6" borderId="22" xfId="0" quotePrefix="1" applyFont="1" applyFill="1" applyBorder="1" applyAlignment="1">
      <alignment vertical="center"/>
    </xf>
    <xf numFmtId="0" fontId="10" fillId="6" borderId="22" xfId="3" applyFill="1" applyBorder="1" applyAlignment="1">
      <alignment horizontal="left" vertical="center"/>
    </xf>
    <xf numFmtId="0" fontId="10" fillId="6" borderId="22" xfId="0" applyFont="1" applyFill="1" applyBorder="1" applyAlignment="1">
      <alignment horizontal="left" vertical="center"/>
    </xf>
    <xf numFmtId="0" fontId="10" fillId="8" borderId="22" xfId="0" applyFont="1" applyFill="1" applyBorder="1" applyAlignment="1">
      <alignment horizontal="left" vertical="center"/>
    </xf>
    <xf numFmtId="0" fontId="10" fillId="5" borderId="63" xfId="0" applyFont="1" applyFill="1" applyBorder="1" applyAlignment="1">
      <alignment horizontal="center" vertical="center" wrapText="1"/>
    </xf>
    <xf numFmtId="0" fontId="10" fillId="5" borderId="26" xfId="0" quotePrefix="1" applyFont="1" applyFill="1" applyBorder="1" applyAlignment="1">
      <alignment horizontal="center" vertical="center" wrapText="1"/>
    </xf>
    <xf numFmtId="0" fontId="10" fillId="5" borderId="26" xfId="0" applyFont="1" applyFill="1" applyBorder="1" applyAlignment="1">
      <alignment horizontal="center" vertical="center" wrapText="1"/>
    </xf>
    <xf numFmtId="0" fontId="10" fillId="5" borderId="71" xfId="0" applyFont="1" applyFill="1" applyBorder="1" applyAlignment="1">
      <alignment horizontal="center" vertical="center" wrapText="1"/>
    </xf>
    <xf numFmtId="0" fontId="10" fillId="5" borderId="57" xfId="0" applyFont="1" applyFill="1" applyBorder="1" applyAlignment="1">
      <alignment horizontal="center" vertical="center" wrapText="1"/>
    </xf>
    <xf numFmtId="0" fontId="10" fillId="5" borderId="61" xfId="0" quotePrefix="1" applyFont="1" applyFill="1" applyBorder="1" applyAlignment="1">
      <alignment horizontal="center" vertical="center" wrapText="1"/>
    </xf>
    <xf numFmtId="0" fontId="10" fillId="5" borderId="44" xfId="0" quotePrefix="1" applyFont="1" applyFill="1" applyBorder="1" applyAlignment="1">
      <alignment horizontal="center" vertical="center" wrapText="1"/>
    </xf>
    <xf numFmtId="0" fontId="10" fillId="5" borderId="61" xfId="0" applyFont="1" applyFill="1" applyBorder="1" applyAlignment="1">
      <alignment horizontal="center" vertical="center" wrapText="1"/>
    </xf>
    <xf numFmtId="0" fontId="10" fillId="6" borderId="22" xfId="3" applyFill="1" applyBorder="1" applyAlignment="1" applyProtection="1">
      <alignment horizontal="center" vertical="center"/>
      <protection locked="0"/>
    </xf>
    <xf numFmtId="0" fontId="10" fillId="17" borderId="0" xfId="0" applyFont="1" applyFill="1" applyAlignment="1">
      <alignment horizontal="center" vertical="center"/>
    </xf>
    <xf numFmtId="0" fontId="38" fillId="6" borderId="0" xfId="0" applyFont="1" applyFill="1" applyAlignment="1">
      <alignment vertical="center"/>
    </xf>
    <xf numFmtId="0" fontId="38" fillId="6" borderId="0" xfId="0" applyFont="1" applyFill="1" applyAlignment="1">
      <alignment horizontal="center" vertical="center"/>
    </xf>
    <xf numFmtId="0" fontId="10" fillId="17" borderId="0" xfId="0" applyFont="1" applyFill="1" applyAlignment="1">
      <alignment horizontal="center" vertical="center" wrapText="1"/>
    </xf>
    <xf numFmtId="0" fontId="10" fillId="6" borderId="0" xfId="0" applyFont="1" applyFill="1" applyAlignment="1">
      <alignment horizontal="center" vertical="center" wrapText="1"/>
    </xf>
    <xf numFmtId="0" fontId="10" fillId="18" borderId="22" xfId="0" applyFont="1" applyFill="1" applyBorder="1" applyAlignment="1">
      <alignment horizontal="left" vertical="center"/>
    </xf>
    <xf numFmtId="0" fontId="10" fillId="18" borderId="22" xfId="3" applyFill="1" applyBorder="1" applyAlignment="1" applyProtection="1">
      <alignment horizontal="center" vertical="center"/>
      <protection locked="0"/>
    </xf>
    <xf numFmtId="0" fontId="10" fillId="18" borderId="22" xfId="3" applyFill="1" applyBorder="1" applyAlignment="1" applyProtection="1">
      <alignment horizontal="left" vertical="center"/>
      <protection locked="0"/>
    </xf>
    <xf numFmtId="0" fontId="10" fillId="18" borderId="22" xfId="0" applyFont="1" applyFill="1" applyBorder="1" applyAlignment="1">
      <alignment horizontal="center" vertical="center"/>
    </xf>
    <xf numFmtId="0" fontId="10" fillId="18" borderId="22" xfId="0" applyFont="1" applyFill="1" applyBorder="1" applyAlignment="1">
      <alignment vertical="center"/>
    </xf>
    <xf numFmtId="0" fontId="10" fillId="18" borderId="22" xfId="3" applyFill="1" applyBorder="1" applyAlignment="1" applyProtection="1">
      <alignment horizontal="center" vertical="center" wrapText="1"/>
      <protection locked="0"/>
    </xf>
    <xf numFmtId="0" fontId="10" fillId="18" borderId="22" xfId="3" applyFill="1" applyBorder="1" applyAlignment="1" applyProtection="1">
      <alignment vertical="center"/>
      <protection locked="0"/>
    </xf>
    <xf numFmtId="0" fontId="10" fillId="18" borderId="20" xfId="0" applyFont="1" applyFill="1" applyBorder="1" applyAlignment="1">
      <alignment horizontal="left" vertical="center"/>
    </xf>
    <xf numFmtId="0" fontId="10" fillId="18" borderId="18" xfId="3" applyFill="1" applyBorder="1" applyAlignment="1" applyProtection="1">
      <alignment vertical="center"/>
      <protection locked="0"/>
    </xf>
    <xf numFmtId="0" fontId="10" fillId="19" borderId="22" xfId="0" applyFont="1" applyFill="1" applyBorder="1" applyAlignment="1">
      <alignment horizontal="left" vertical="center"/>
    </xf>
    <xf numFmtId="0" fontId="10" fillId="19" borderId="22" xfId="0" applyFont="1" applyFill="1" applyBorder="1" applyAlignment="1">
      <alignment horizontal="center" vertical="center"/>
    </xf>
    <xf numFmtId="0" fontId="10" fillId="19" borderId="22" xfId="3" applyFill="1" applyBorder="1" applyAlignment="1" applyProtection="1">
      <alignment horizontal="center" vertical="center"/>
      <protection locked="0"/>
    </xf>
    <xf numFmtId="0" fontId="10" fillId="19" borderId="22" xfId="3" applyFill="1" applyBorder="1" applyAlignment="1" applyProtection="1">
      <alignment horizontal="center" vertical="center" wrapText="1"/>
      <protection locked="0"/>
    </xf>
    <xf numFmtId="0" fontId="10" fillId="19" borderId="22" xfId="3" applyFill="1" applyBorder="1" applyAlignment="1" applyProtection="1">
      <alignment horizontal="left" vertical="center"/>
      <protection locked="0"/>
    </xf>
    <xf numFmtId="0" fontId="10" fillId="19" borderId="20" xfId="3" applyFill="1" applyBorder="1" applyAlignment="1" applyProtection="1">
      <alignment horizontal="left" vertical="center"/>
      <protection locked="0"/>
    </xf>
    <xf numFmtId="0" fontId="10" fillId="6" borderId="0" xfId="0" applyFont="1" applyFill="1" applyAlignment="1">
      <alignment horizontal="left" vertical="center"/>
    </xf>
    <xf numFmtId="0" fontId="10" fillId="6" borderId="22" xfId="3" applyFill="1" applyBorder="1" applyAlignment="1" applyProtection="1">
      <alignment vertical="center"/>
      <protection locked="0"/>
    </xf>
    <xf numFmtId="0" fontId="10" fillId="6" borderId="22" xfId="3" applyFill="1" applyBorder="1" applyAlignment="1" applyProtection="1">
      <alignment horizontal="left" vertical="center"/>
      <protection locked="0"/>
    </xf>
    <xf numFmtId="0" fontId="10" fillId="6" borderId="22" xfId="0" applyFont="1" applyFill="1" applyBorder="1" applyAlignment="1">
      <alignment horizontal="center" vertical="center"/>
    </xf>
    <xf numFmtId="0" fontId="10" fillId="4" borderId="22" xfId="3" applyFill="1" applyBorder="1" applyAlignment="1" applyProtection="1">
      <alignment horizontal="center" vertical="center"/>
      <protection locked="0"/>
    </xf>
    <xf numFmtId="0" fontId="10" fillId="19" borderId="20" xfId="0" applyFont="1" applyFill="1" applyBorder="1" applyAlignment="1">
      <alignment horizontal="left" vertical="center"/>
    </xf>
    <xf numFmtId="2" fontId="10" fillId="6" borderId="22" xfId="3" applyNumberFormat="1" applyFill="1" applyBorder="1" applyAlignment="1" applyProtection="1">
      <alignment horizontal="center" vertical="center"/>
      <protection locked="0"/>
    </xf>
    <xf numFmtId="0" fontId="9" fillId="17" borderId="0" xfId="0" applyFont="1" applyFill="1" applyAlignment="1">
      <alignment vertical="center"/>
    </xf>
    <xf numFmtId="2" fontId="9" fillId="6" borderId="22" xfId="0" applyNumberFormat="1" applyFont="1" applyFill="1" applyBorder="1" applyAlignment="1">
      <alignment vertical="center"/>
    </xf>
    <xf numFmtId="0" fontId="10" fillId="4" borderId="69" xfId="0" applyFont="1" applyFill="1" applyBorder="1" applyAlignment="1">
      <alignment horizontal="center" vertical="center" wrapText="1"/>
    </xf>
    <xf numFmtId="0" fontId="10" fillId="4" borderId="43" xfId="0" applyFont="1" applyFill="1" applyBorder="1" applyAlignment="1">
      <alignment horizontal="center" vertical="center" wrapText="1"/>
    </xf>
    <xf numFmtId="2" fontId="10" fillId="0" borderId="62" xfId="0" applyNumberFormat="1" applyFont="1" applyBorder="1" applyAlignment="1">
      <alignment horizontal="center" vertical="center"/>
    </xf>
    <xf numFmtId="2" fontId="10" fillId="0" borderId="25" xfId="0" applyNumberFormat="1" applyFont="1" applyBorder="1" applyAlignment="1">
      <alignment horizontal="center" vertical="center"/>
    </xf>
    <xf numFmtId="2" fontId="10" fillId="0" borderId="48" xfId="0" applyNumberFormat="1" applyFont="1" applyBorder="1" applyAlignment="1">
      <alignment horizontal="center" vertical="center"/>
    </xf>
    <xf numFmtId="2" fontId="10" fillId="0" borderId="43" xfId="0" applyNumberFormat="1" applyFont="1" applyBorder="1" applyAlignment="1">
      <alignment horizontal="center" vertical="center"/>
    </xf>
    <xf numFmtId="2" fontId="10" fillId="0" borderId="41" xfId="0" applyNumberFormat="1" applyFont="1" applyBorder="1" applyAlignment="1">
      <alignment horizontal="center" vertical="center"/>
    </xf>
    <xf numFmtId="0" fontId="10" fillId="0" borderId="1" xfId="0" applyFont="1" applyBorder="1" applyAlignment="1">
      <alignment horizontal="center" vertical="center"/>
    </xf>
    <xf numFmtId="0" fontId="10" fillId="0" borderId="17" xfId="0" applyFont="1" applyBorder="1" applyAlignment="1">
      <alignment horizontal="center" vertical="center"/>
    </xf>
    <xf numFmtId="2" fontId="10" fillId="0" borderId="45" xfId="0" applyNumberFormat="1" applyFont="1" applyBorder="1" applyAlignment="1">
      <alignment horizontal="center" vertical="center"/>
    </xf>
    <xf numFmtId="0" fontId="10" fillId="0" borderId="54" xfId="0" applyFont="1" applyBorder="1" applyAlignment="1">
      <alignment horizontal="center" vertical="center"/>
    </xf>
    <xf numFmtId="0" fontId="10" fillId="0" borderId="53" xfId="0" applyFont="1" applyBorder="1" applyAlignment="1">
      <alignment horizontal="center" vertical="center"/>
    </xf>
    <xf numFmtId="0" fontId="10" fillId="0" borderId="78" xfId="0" applyFont="1" applyBorder="1" applyAlignment="1">
      <alignment horizontal="center" vertical="center"/>
    </xf>
    <xf numFmtId="0" fontId="10" fillId="0" borderId="65" xfId="0" applyFont="1" applyBorder="1" applyAlignment="1">
      <alignment horizontal="center" vertical="center"/>
    </xf>
    <xf numFmtId="0" fontId="10" fillId="0" borderId="64" xfId="0" applyFont="1" applyBorder="1" applyAlignment="1">
      <alignment horizontal="center" vertical="center"/>
    </xf>
    <xf numFmtId="0" fontId="9" fillId="4" borderId="76" xfId="0" applyFont="1" applyFill="1" applyBorder="1" applyAlignment="1">
      <alignment horizontal="center" vertical="center"/>
    </xf>
    <xf numFmtId="0" fontId="9" fillId="7" borderId="0" xfId="3" quotePrefix="1" applyFont="1" applyFill="1" applyAlignment="1">
      <alignment horizontal="center" vertical="center"/>
    </xf>
    <xf numFmtId="0" fontId="9" fillId="4" borderId="77" xfId="3" applyFont="1" applyFill="1" applyBorder="1" applyAlignment="1" applyProtection="1">
      <alignment horizontal="center" vertical="center"/>
      <protection locked="0"/>
    </xf>
    <xf numFmtId="0" fontId="10" fillId="6" borderId="20" xfId="3" applyFill="1" applyBorder="1" applyAlignment="1" applyProtection="1">
      <alignment horizontal="center" vertical="center"/>
      <protection locked="0"/>
    </xf>
    <xf numFmtId="0" fontId="9" fillId="6" borderId="20" xfId="3" applyFont="1" applyFill="1" applyBorder="1" applyAlignment="1">
      <alignment vertical="center"/>
    </xf>
    <xf numFmtId="0" fontId="9" fillId="6" borderId="22" xfId="3" applyFont="1" applyFill="1" applyBorder="1" applyAlignment="1">
      <alignment vertical="center"/>
    </xf>
    <xf numFmtId="0" fontId="9" fillId="6" borderId="25" xfId="3" applyFont="1" applyFill="1" applyBorder="1" applyAlignment="1">
      <alignment vertical="center"/>
    </xf>
    <xf numFmtId="0" fontId="10" fillId="6" borderId="20" xfId="3" applyFill="1" applyBorder="1" applyAlignment="1">
      <alignment horizontal="left" vertical="center"/>
    </xf>
    <xf numFmtId="0" fontId="9" fillId="6" borderId="43" xfId="3" applyFont="1" applyFill="1" applyBorder="1" applyAlignment="1">
      <alignment vertical="center"/>
    </xf>
    <xf numFmtId="49" fontId="10" fillId="6" borderId="20" xfId="3" applyNumberFormat="1" applyFill="1" applyBorder="1" applyAlignment="1" applyProtection="1">
      <alignment horizontal="left" vertical="center"/>
      <protection locked="0"/>
    </xf>
    <xf numFmtId="0" fontId="10" fillId="5" borderId="22" xfId="3" applyFill="1" applyBorder="1" applyAlignment="1" applyProtection="1">
      <alignment horizontal="left" vertical="center"/>
      <protection locked="0"/>
    </xf>
    <xf numFmtId="0" fontId="9" fillId="7" borderId="77" xfId="3" applyFont="1" applyFill="1" applyBorder="1" applyAlignment="1" applyProtection="1">
      <alignment horizontal="center" vertical="center"/>
      <protection locked="0"/>
    </xf>
    <xf numFmtId="168" fontId="10" fillId="6" borderId="22" xfId="0" applyNumberFormat="1" applyFont="1" applyFill="1" applyBorder="1" applyAlignment="1">
      <alignment horizontal="center" vertical="center"/>
    </xf>
    <xf numFmtId="0" fontId="10" fillId="6" borderId="20" xfId="0" applyFont="1" applyFill="1" applyBorder="1" applyAlignment="1">
      <alignment horizontal="center" vertical="center"/>
    </xf>
    <xf numFmtId="0" fontId="20" fillId="4" borderId="77" xfId="2" applyFont="1" applyFill="1" applyBorder="1" applyAlignment="1">
      <alignment horizontal="center" vertical="center"/>
    </xf>
    <xf numFmtId="0" fontId="20" fillId="4" borderId="88" xfId="2" applyFont="1" applyFill="1" applyBorder="1" applyAlignment="1">
      <alignment horizontal="center" vertical="center"/>
    </xf>
    <xf numFmtId="0" fontId="20" fillId="4" borderId="22" xfId="0" applyFont="1" applyFill="1" applyBorder="1" applyAlignment="1">
      <alignment horizontal="center" vertical="center"/>
    </xf>
    <xf numFmtId="0" fontId="20" fillId="4" borderId="20" xfId="0" applyFont="1" applyFill="1" applyBorder="1" applyAlignment="1">
      <alignment horizontal="center" vertical="center"/>
    </xf>
    <xf numFmtId="0" fontId="32" fillId="6" borderId="22" xfId="2" applyFont="1" applyFill="1" applyBorder="1" applyAlignment="1">
      <alignment vertical="center"/>
    </xf>
    <xf numFmtId="0" fontId="32" fillId="6" borderId="44" xfId="2" applyFont="1" applyFill="1" applyBorder="1" applyAlignment="1">
      <alignment horizontal="center" vertical="center"/>
    </xf>
    <xf numFmtId="1" fontId="10" fillId="5" borderId="26" xfId="1" applyNumberFormat="1" applyFont="1" applyFill="1" applyBorder="1" applyAlignment="1">
      <alignment horizontal="center" vertical="center"/>
    </xf>
    <xf numFmtId="165" fontId="10" fillId="5" borderId="26" xfId="1" quotePrefix="1" applyNumberFormat="1" applyFont="1" applyFill="1" applyBorder="1" applyAlignment="1">
      <alignment horizontal="center" vertical="center"/>
    </xf>
    <xf numFmtId="0" fontId="32" fillId="6" borderId="46" xfId="2" applyFont="1" applyFill="1" applyBorder="1" applyAlignment="1">
      <alignment horizontal="center" vertical="center"/>
    </xf>
    <xf numFmtId="0" fontId="32" fillId="0" borderId="22" xfId="2" applyFont="1" applyBorder="1" applyAlignment="1">
      <alignment horizontal="center" vertical="center"/>
    </xf>
    <xf numFmtId="0" fontId="32" fillId="0" borderId="25" xfId="2" applyFont="1" applyBorder="1" applyAlignment="1">
      <alignment horizontal="center" vertical="center"/>
    </xf>
    <xf numFmtId="0" fontId="32" fillId="0" borderId="43" xfId="2" applyFont="1" applyBorder="1" applyAlignment="1">
      <alignment horizontal="center" vertical="center"/>
    </xf>
    <xf numFmtId="1" fontId="10" fillId="5" borderId="25" xfId="1" applyNumberFormat="1" applyFont="1" applyFill="1" applyBorder="1" applyAlignment="1">
      <alignment horizontal="right" vertical="center"/>
    </xf>
    <xf numFmtId="2" fontId="32" fillId="6" borderId="20" xfId="2" applyNumberFormat="1" applyFont="1" applyFill="1" applyBorder="1" applyAlignment="1">
      <alignment horizontal="center" vertical="center"/>
    </xf>
    <xf numFmtId="2" fontId="32" fillId="0" borderId="22" xfId="2" applyNumberFormat="1" applyFont="1" applyBorder="1" applyAlignment="1">
      <alignment horizontal="center" vertical="center"/>
    </xf>
    <xf numFmtId="0" fontId="20" fillId="4" borderId="86" xfId="2" applyFont="1" applyFill="1" applyBorder="1" applyAlignment="1">
      <alignment horizontal="center" vertical="center"/>
    </xf>
    <xf numFmtId="0" fontId="32" fillId="6" borderId="69" xfId="2" applyFont="1" applyFill="1" applyBorder="1" applyAlignment="1">
      <alignment horizontal="center" vertical="center"/>
    </xf>
    <xf numFmtId="0" fontId="32" fillId="0" borderId="44" xfId="2" applyFont="1" applyBorder="1" applyAlignment="1">
      <alignment horizontal="center" vertical="center"/>
    </xf>
    <xf numFmtId="0" fontId="32" fillId="6" borderId="43" xfId="2" applyFont="1" applyFill="1" applyBorder="1" applyAlignment="1">
      <alignment vertical="center"/>
    </xf>
    <xf numFmtId="0" fontId="32" fillId="0" borderId="43" xfId="2" applyFont="1" applyBorder="1" applyAlignment="1">
      <alignment vertical="center"/>
    </xf>
    <xf numFmtId="168" fontId="10" fillId="6" borderId="88" xfId="1" applyNumberFormat="1" applyFont="1" applyFill="1" applyBorder="1" applyAlignment="1">
      <alignment horizontal="right" vertical="center"/>
    </xf>
    <xf numFmtId="168" fontId="20" fillId="0" borderId="20" xfId="2" applyNumberFormat="1" applyFont="1" applyBorder="1" applyAlignment="1">
      <alignment horizontal="right" vertical="center"/>
    </xf>
    <xf numFmtId="0" fontId="32" fillId="5" borderId="20" xfId="2" applyFont="1" applyFill="1" applyBorder="1" applyAlignment="1">
      <alignment horizontal="center" vertical="center"/>
    </xf>
    <xf numFmtId="0" fontId="32" fillId="5" borderId="22" xfId="2" applyFont="1" applyFill="1" applyBorder="1" applyAlignment="1">
      <alignment horizontal="center" vertical="center"/>
    </xf>
    <xf numFmtId="0" fontId="32" fillId="6" borderId="88" xfId="2" applyFont="1" applyFill="1" applyBorder="1" applyAlignment="1">
      <alignment horizontal="center" vertical="center"/>
    </xf>
    <xf numFmtId="167" fontId="32" fillId="5" borderId="41" xfId="3" applyNumberFormat="1" applyFont="1" applyFill="1" applyBorder="1" applyAlignment="1">
      <alignment horizontal="center" vertical="center"/>
    </xf>
    <xf numFmtId="0" fontId="20" fillId="4" borderId="77" xfId="2" applyFont="1" applyFill="1" applyBorder="1" applyAlignment="1">
      <alignment horizontal="center" vertical="center" wrapText="1"/>
    </xf>
    <xf numFmtId="167" fontId="32" fillId="6" borderId="20" xfId="2" applyNumberFormat="1" applyFont="1" applyFill="1" applyBorder="1" applyAlignment="1">
      <alignment horizontal="center" vertical="center"/>
    </xf>
    <xf numFmtId="167" fontId="32" fillId="6" borderId="22" xfId="2" applyNumberFormat="1" applyFont="1" applyFill="1" applyBorder="1" applyAlignment="1">
      <alignment horizontal="center" vertical="center"/>
    </xf>
    <xf numFmtId="0" fontId="32" fillId="4" borderId="77" xfId="2" applyFont="1" applyFill="1" applyBorder="1" applyAlignment="1">
      <alignment horizontal="center" vertical="center" wrapText="1"/>
    </xf>
    <xf numFmtId="168" fontId="10" fillId="5" borderId="22" xfId="1" applyNumberFormat="1" applyFont="1" applyFill="1" applyBorder="1" applyAlignment="1">
      <alignment horizontal="right" vertical="center"/>
    </xf>
    <xf numFmtId="2" fontId="10" fillId="5" borderId="22" xfId="1" applyNumberFormat="1" applyFont="1" applyFill="1" applyBorder="1" applyAlignment="1">
      <alignment horizontal="right" vertical="center"/>
    </xf>
    <xf numFmtId="165" fontId="10" fillId="0" borderId="22" xfId="24" applyNumberFormat="1" applyFont="1" applyBorder="1" applyAlignment="1">
      <alignment horizontal="right" vertical="center"/>
    </xf>
    <xf numFmtId="168" fontId="10" fillId="5" borderId="22" xfId="24" applyNumberFormat="1" applyFont="1" applyFill="1" applyBorder="1" applyAlignment="1">
      <alignment horizontal="right" vertical="center"/>
    </xf>
    <xf numFmtId="171" fontId="10" fillId="0" borderId="22" xfId="24" applyNumberFormat="1" applyFont="1" applyBorder="1" applyAlignment="1">
      <alignment horizontal="right" vertical="center"/>
    </xf>
    <xf numFmtId="2" fontId="32" fillId="0" borderId="22" xfId="24" applyNumberFormat="1" applyFont="1" applyBorder="1" applyAlignment="1">
      <alignment horizontal="right" vertical="center" wrapText="1"/>
    </xf>
    <xf numFmtId="2" fontId="10" fillId="6" borderId="22" xfId="24" applyNumberFormat="1" applyFont="1" applyFill="1" applyBorder="1" applyAlignment="1">
      <alignment horizontal="right" vertical="center"/>
    </xf>
    <xf numFmtId="168" fontId="10" fillId="6" borderId="22" xfId="24" applyNumberFormat="1" applyFont="1" applyFill="1" applyBorder="1" applyAlignment="1">
      <alignment horizontal="right" vertical="center"/>
    </xf>
    <xf numFmtId="2" fontId="10" fillId="0" borderId="22" xfId="1" applyNumberFormat="1" applyFont="1" applyFill="1" applyBorder="1" applyAlignment="1">
      <alignment horizontal="right" vertical="center"/>
    </xf>
    <xf numFmtId="2" fontId="10" fillId="6" borderId="22" xfId="24" applyNumberFormat="1" applyFont="1" applyFill="1" applyBorder="1" applyAlignment="1">
      <alignment horizontal="right" vertical="center" wrapText="1"/>
    </xf>
    <xf numFmtId="165" fontId="32" fillId="0" borderId="22" xfId="24" applyNumberFormat="1" applyFont="1" applyBorder="1" applyAlignment="1">
      <alignment horizontal="right" vertical="center"/>
    </xf>
    <xf numFmtId="2" fontId="32" fillId="6" borderId="22" xfId="24" applyNumberFormat="1" applyFont="1" applyFill="1" applyBorder="1" applyAlignment="1">
      <alignment horizontal="right" vertical="center" wrapText="1"/>
    </xf>
    <xf numFmtId="168" fontId="32" fillId="6" borderId="22" xfId="24" applyNumberFormat="1" applyFont="1" applyFill="1" applyBorder="1" applyAlignment="1">
      <alignment horizontal="right" vertical="center"/>
    </xf>
    <xf numFmtId="2" fontId="10" fillId="0" borderId="58" xfId="24" applyNumberFormat="1" applyFont="1" applyBorder="1" applyAlignment="1">
      <alignment horizontal="right" vertical="center"/>
    </xf>
    <xf numFmtId="2" fontId="10" fillId="5" borderId="60" xfId="1" applyNumberFormat="1" applyFont="1" applyFill="1" applyBorder="1" applyAlignment="1">
      <alignment horizontal="right" vertical="center"/>
    </xf>
    <xf numFmtId="168" fontId="10" fillId="6" borderId="58" xfId="24" applyNumberFormat="1" applyFont="1" applyFill="1" applyBorder="1" applyAlignment="1">
      <alignment horizontal="right" vertical="center"/>
    </xf>
    <xf numFmtId="168" fontId="10" fillId="6" borderId="7" xfId="24" applyNumberFormat="1" applyFont="1" applyFill="1" applyBorder="1" applyAlignment="1">
      <alignment horizontal="right" vertical="center"/>
    </xf>
    <xf numFmtId="0" fontId="32" fillId="7" borderId="49" xfId="24" applyFont="1" applyFill="1" applyBorder="1" applyAlignment="1">
      <alignment horizontal="center" vertical="center" wrapText="1"/>
    </xf>
    <xf numFmtId="49" fontId="10" fillId="5" borderId="49" xfId="1" applyNumberFormat="1" applyFont="1" applyFill="1" applyBorder="1" applyAlignment="1">
      <alignment horizontal="center" vertical="center"/>
    </xf>
    <xf numFmtId="0" fontId="32" fillId="7" borderId="4" xfId="24" applyFont="1" applyFill="1" applyBorder="1" applyAlignment="1">
      <alignment vertical="center"/>
    </xf>
    <xf numFmtId="0" fontId="32" fillId="7" borderId="40" xfId="24" applyFont="1" applyFill="1" applyBorder="1" applyAlignment="1">
      <alignment vertical="center"/>
    </xf>
    <xf numFmtId="0" fontId="20" fillId="7" borderId="52" xfId="24" applyFont="1" applyFill="1" applyBorder="1" applyAlignment="1">
      <alignment horizontal="center" vertical="center"/>
    </xf>
    <xf numFmtId="0" fontId="32" fillId="7" borderId="4" xfId="24" applyFont="1" applyFill="1" applyBorder="1" applyAlignment="1">
      <alignment horizontal="center" vertical="center"/>
    </xf>
    <xf numFmtId="0" fontId="20" fillId="7" borderId="52" xfId="0" applyFont="1" applyFill="1" applyBorder="1" applyAlignment="1">
      <alignment horizontal="center" vertical="center"/>
    </xf>
    <xf numFmtId="0" fontId="20" fillId="7" borderId="92" xfId="24" applyFont="1" applyFill="1" applyBorder="1" applyAlignment="1">
      <alignment horizontal="center" vertical="center"/>
    </xf>
    <xf numFmtId="2" fontId="9" fillId="4" borderId="22" xfId="0" applyNumberFormat="1" applyFont="1" applyFill="1" applyBorder="1" applyAlignment="1">
      <alignment horizontal="center" vertical="center"/>
    </xf>
    <xf numFmtId="0" fontId="9" fillId="4" borderId="22" xfId="0" applyFont="1" applyFill="1" applyBorder="1" applyAlignment="1">
      <alignment horizontal="center" vertical="center" wrapText="1"/>
    </xf>
    <xf numFmtId="0" fontId="41" fillId="17" borderId="0" xfId="0" applyFont="1" applyFill="1" applyAlignment="1">
      <alignment horizontal="center" vertical="center"/>
    </xf>
    <xf numFmtId="0" fontId="10" fillId="17" borderId="0" xfId="0" applyFont="1" applyFill="1" applyAlignment="1">
      <alignment horizontal="left" vertical="center"/>
    </xf>
    <xf numFmtId="2" fontId="9" fillId="4" borderId="22" xfId="0" applyNumberFormat="1" applyFont="1" applyFill="1" applyBorder="1" applyAlignment="1">
      <alignment horizontal="left" vertical="center"/>
    </xf>
    <xf numFmtId="0" fontId="9" fillId="17" borderId="0" xfId="3" applyFont="1" applyFill="1" applyAlignment="1">
      <alignment vertical="center"/>
    </xf>
    <xf numFmtId="0" fontId="10" fillId="6" borderId="20" xfId="0" applyFont="1" applyFill="1" applyBorder="1" applyAlignment="1">
      <alignment horizontal="left" vertical="center"/>
    </xf>
    <xf numFmtId="0" fontId="10" fillId="6" borderId="60" xfId="0" applyFont="1" applyFill="1" applyBorder="1" applyAlignment="1">
      <alignment horizontal="center" vertical="center"/>
    </xf>
    <xf numFmtId="0" fontId="10" fillId="21" borderId="18" xfId="0" applyFont="1" applyFill="1" applyBorder="1" applyAlignment="1">
      <alignment horizontal="center" vertical="center"/>
    </xf>
    <xf numFmtId="0" fontId="10" fillId="18" borderId="20" xfId="0" applyFont="1" applyFill="1" applyBorder="1" applyAlignment="1">
      <alignment horizontal="center" vertical="center"/>
    </xf>
    <xf numFmtId="0" fontId="10" fillId="4" borderId="58" xfId="0" applyFont="1" applyFill="1" applyBorder="1" applyAlignment="1">
      <alignment horizontal="center" vertical="center"/>
    </xf>
    <xf numFmtId="0" fontId="10" fillId="4" borderId="18" xfId="0" applyFont="1" applyFill="1" applyBorder="1" applyAlignment="1">
      <alignment horizontal="center" vertical="center"/>
    </xf>
    <xf numFmtId="0" fontId="10" fillId="4" borderId="20" xfId="0" applyFont="1" applyFill="1" applyBorder="1" applyAlignment="1">
      <alignment horizontal="center" vertical="center"/>
    </xf>
    <xf numFmtId="0" fontId="10" fillId="21" borderId="58" xfId="0" applyFont="1" applyFill="1" applyBorder="1" applyAlignment="1">
      <alignment horizontal="center" vertical="center"/>
    </xf>
    <xf numFmtId="0" fontId="10" fillId="18" borderId="18" xfId="0" applyFont="1" applyFill="1" applyBorder="1" applyAlignment="1">
      <alignment horizontal="center" vertical="center"/>
    </xf>
    <xf numFmtId="0" fontId="10" fillId="21" borderId="8" xfId="0" applyFont="1" applyFill="1" applyBorder="1" applyAlignment="1">
      <alignment horizontal="center" vertical="center"/>
    </xf>
    <xf numFmtId="0" fontId="10" fillId="18" borderId="60" xfId="0" applyFont="1" applyFill="1" applyBorder="1" applyAlignment="1">
      <alignment horizontal="center" vertical="center"/>
    </xf>
    <xf numFmtId="0" fontId="10" fillId="4" borderId="77" xfId="0" applyFont="1" applyFill="1" applyBorder="1" applyAlignment="1">
      <alignment horizontal="center" vertical="center"/>
    </xf>
    <xf numFmtId="0" fontId="10" fillId="16" borderId="77" xfId="0" applyFont="1" applyFill="1" applyBorder="1" applyAlignment="1">
      <alignment horizontal="center" vertical="center" wrapText="1"/>
    </xf>
    <xf numFmtId="0" fontId="10" fillId="4" borderId="20" xfId="0" applyFont="1" applyFill="1" applyBorder="1" applyAlignment="1">
      <alignment horizontal="left" vertical="center"/>
    </xf>
    <xf numFmtId="0" fontId="10" fillId="4" borderId="22" xfId="0" applyFont="1" applyFill="1" applyBorder="1" applyAlignment="1">
      <alignment horizontal="left" vertical="center"/>
    </xf>
    <xf numFmtId="0" fontId="10" fillId="4" borderId="18" xfId="0" applyFont="1" applyFill="1" applyBorder="1" applyAlignment="1">
      <alignment horizontal="left" vertical="center"/>
    </xf>
    <xf numFmtId="0" fontId="10" fillId="6" borderId="60" xfId="0" applyFont="1" applyFill="1" applyBorder="1" applyAlignment="1">
      <alignment horizontal="left" vertical="center"/>
    </xf>
    <xf numFmtId="0" fontId="10" fillId="21" borderId="20" xfId="0" applyFont="1" applyFill="1" applyBorder="1" applyAlignment="1">
      <alignment horizontal="center" vertical="center"/>
    </xf>
    <xf numFmtId="2" fontId="10" fillId="18" borderId="22" xfId="3" applyNumberFormat="1" applyFill="1" applyBorder="1" applyAlignment="1" applyProtection="1">
      <alignment horizontal="center" vertical="center"/>
      <protection locked="0"/>
    </xf>
    <xf numFmtId="0" fontId="10" fillId="4" borderId="22" xfId="3" applyFill="1" applyBorder="1" applyAlignment="1" applyProtection="1">
      <alignment horizontal="center" vertical="center" wrapText="1"/>
      <protection locked="0"/>
    </xf>
    <xf numFmtId="0" fontId="0" fillId="17" borderId="0" xfId="0" applyFill="1"/>
    <xf numFmtId="1" fontId="10" fillId="6" borderId="20" xfId="3" applyNumberFormat="1" applyFill="1" applyBorder="1" applyAlignment="1" applyProtection="1">
      <alignment horizontal="centerContinuous" vertical="center"/>
      <protection locked="0"/>
    </xf>
    <xf numFmtId="167" fontId="10" fillId="18" borderId="22" xfId="3" applyNumberFormat="1" applyFill="1" applyBorder="1" applyAlignment="1" applyProtection="1">
      <alignment horizontal="center" vertical="center"/>
      <protection locked="0"/>
    </xf>
    <xf numFmtId="167" fontId="10" fillId="22" borderId="22" xfId="0" applyNumberFormat="1" applyFont="1" applyFill="1" applyBorder="1" applyAlignment="1">
      <alignment horizontal="center" vertical="center"/>
    </xf>
    <xf numFmtId="0" fontId="10" fillId="22" borderId="22" xfId="0" applyFont="1" applyFill="1" applyBorder="1" applyAlignment="1">
      <alignment vertical="center"/>
    </xf>
    <xf numFmtId="0" fontId="10" fillId="9" borderId="22" xfId="3" applyFill="1" applyBorder="1" applyAlignment="1">
      <alignment horizontal="left" vertical="center"/>
    </xf>
    <xf numFmtId="2" fontId="10" fillId="6" borderId="22" xfId="3" applyNumberFormat="1" applyFill="1" applyBorder="1" applyAlignment="1">
      <alignment horizontal="left" vertical="center"/>
    </xf>
    <xf numFmtId="0" fontId="10" fillId="6" borderId="22" xfId="3" applyFill="1" applyBorder="1" applyAlignment="1">
      <alignment vertical="center"/>
    </xf>
    <xf numFmtId="0" fontId="10" fillId="6" borderId="22" xfId="3" applyFill="1" applyBorder="1" applyAlignment="1">
      <alignment horizontal="center" vertical="center"/>
    </xf>
    <xf numFmtId="0" fontId="10" fillId="6" borderId="0" xfId="3" applyFill="1" applyAlignment="1">
      <alignment horizontal="left" vertical="center"/>
    </xf>
    <xf numFmtId="0" fontId="9" fillId="2" borderId="22" xfId="3" applyFont="1" applyFill="1" applyBorder="1" applyAlignment="1">
      <alignment horizontal="center" vertical="center"/>
    </xf>
    <xf numFmtId="0" fontId="9" fillId="2" borderId="22" xfId="3" applyFont="1" applyFill="1" applyBorder="1" applyAlignment="1">
      <alignment vertical="center"/>
    </xf>
    <xf numFmtId="0" fontId="0" fillId="23" borderId="0" xfId="0" applyFill="1"/>
    <xf numFmtId="0" fontId="25" fillId="6" borderId="0" xfId="0" applyFont="1" applyFill="1" applyAlignment="1">
      <alignment vertical="center"/>
    </xf>
    <xf numFmtId="0" fontId="37" fillId="0" borderId="22" xfId="0" applyFont="1" applyBorder="1" applyAlignment="1">
      <alignment horizontal="center" vertical="center" wrapText="1"/>
    </xf>
    <xf numFmtId="0" fontId="37" fillId="6" borderId="22" xfId="0" applyFont="1" applyFill="1" applyBorder="1" applyAlignment="1">
      <alignment horizontal="center" vertical="center"/>
    </xf>
    <xf numFmtId="0" fontId="37" fillId="6" borderId="22" xfId="0" applyFont="1" applyFill="1" applyBorder="1" applyAlignment="1">
      <alignment horizontal="center" vertical="center" wrapText="1"/>
    </xf>
    <xf numFmtId="0" fontId="25" fillId="0" borderId="22" xfId="0" applyFont="1" applyBorder="1" applyAlignment="1" applyProtection="1">
      <alignment horizontal="center" vertical="center"/>
      <protection locked="0"/>
    </xf>
    <xf numFmtId="169" fontId="25" fillId="0" borderId="20" xfId="0" applyNumberFormat="1" applyFont="1" applyBorder="1" applyAlignment="1" applyProtection="1">
      <alignment vertical="center" shrinkToFit="1"/>
      <protection locked="0"/>
    </xf>
    <xf numFmtId="0" fontId="25" fillId="0" borderId="20" xfId="56" applyFont="1" applyFill="1" applyBorder="1" applyAlignment="1" applyProtection="1">
      <alignment horizontal="center" vertical="center"/>
      <protection locked="0"/>
    </xf>
    <xf numFmtId="170" fontId="25" fillId="0" borderId="20" xfId="0" applyNumberFormat="1" applyFont="1" applyBorder="1" applyAlignment="1" applyProtection="1">
      <alignment horizontal="center" vertical="center"/>
      <protection locked="0"/>
    </xf>
    <xf numFmtId="0" fontId="25" fillId="0" borderId="20" xfId="0" applyFont="1" applyBorder="1" applyAlignment="1" applyProtection="1">
      <alignment horizontal="center" vertical="center" wrapText="1"/>
      <protection locked="0"/>
    </xf>
    <xf numFmtId="14" fontId="25" fillId="0" borderId="22" xfId="0" applyNumberFormat="1" applyFont="1" applyBorder="1" applyAlignment="1" applyProtection="1">
      <alignment horizontal="center" vertical="center"/>
      <protection locked="0"/>
    </xf>
    <xf numFmtId="0" fontId="25" fillId="0" borderId="22" xfId="0" applyFont="1" applyBorder="1" applyAlignment="1">
      <alignment horizontal="center" vertical="center"/>
    </xf>
    <xf numFmtId="14" fontId="25" fillId="0" borderId="22" xfId="0" applyNumberFormat="1" applyFont="1" applyBorder="1" applyAlignment="1">
      <alignment horizontal="center" vertical="center"/>
    </xf>
    <xf numFmtId="0" fontId="25" fillId="6" borderId="0" xfId="3" applyFont="1" applyFill="1" applyAlignment="1">
      <alignment vertical="center"/>
    </xf>
    <xf numFmtId="0" fontId="9" fillId="19" borderId="22" xfId="0" applyFont="1" applyFill="1" applyBorder="1" applyAlignment="1">
      <alignment horizontal="left" vertical="center"/>
    </xf>
    <xf numFmtId="0" fontId="9" fillId="19" borderId="22" xfId="3" applyFont="1" applyFill="1" applyBorder="1" applyAlignment="1" applyProtection="1">
      <alignment horizontal="left" vertical="center"/>
      <protection locked="0"/>
    </xf>
    <xf numFmtId="0" fontId="9" fillId="19" borderId="18" xfId="3" applyFont="1" applyFill="1" applyBorder="1" applyAlignment="1" applyProtection="1">
      <alignment horizontal="left" vertical="center"/>
      <protection locked="0"/>
    </xf>
    <xf numFmtId="0" fontId="9" fillId="19" borderId="20" xfId="3" applyFont="1" applyFill="1" applyBorder="1" applyAlignment="1" applyProtection="1">
      <alignment horizontal="left" vertical="center"/>
      <protection locked="0"/>
    </xf>
    <xf numFmtId="0" fontId="9" fillId="19" borderId="22" xfId="3" applyFont="1" applyFill="1" applyBorder="1" applyAlignment="1" applyProtection="1">
      <alignment vertical="center"/>
      <protection locked="0"/>
    </xf>
    <xf numFmtId="0" fontId="9" fillId="18" borderId="22" xfId="0" applyFont="1" applyFill="1" applyBorder="1" applyAlignment="1">
      <alignment horizontal="left" vertical="center"/>
    </xf>
    <xf numFmtId="2" fontId="9" fillId="4" borderId="22" xfId="0" applyNumberFormat="1" applyFont="1" applyFill="1" applyBorder="1" applyAlignment="1">
      <alignment horizontal="center" vertical="center" wrapText="1"/>
    </xf>
    <xf numFmtId="0" fontId="9" fillId="4" borderId="64" xfId="0" applyFont="1" applyFill="1" applyBorder="1" applyAlignment="1">
      <alignment horizontal="center" vertical="center"/>
    </xf>
    <xf numFmtId="167" fontId="32" fillId="5" borderId="0" xfId="3" applyNumberFormat="1" applyFont="1" applyFill="1" applyAlignment="1">
      <alignment horizontal="center" vertical="center"/>
    </xf>
    <xf numFmtId="167" fontId="32" fillId="5" borderId="45" xfId="3" applyNumberFormat="1" applyFont="1" applyFill="1" applyBorder="1" applyAlignment="1">
      <alignment horizontal="center" vertical="center"/>
    </xf>
    <xf numFmtId="0" fontId="20" fillId="4" borderId="80" xfId="0" applyFont="1" applyFill="1" applyBorder="1" applyAlignment="1">
      <alignment horizontal="center" vertical="center" wrapText="1"/>
    </xf>
    <xf numFmtId="0" fontId="20" fillId="4" borderId="82" xfId="2" applyFont="1" applyFill="1" applyBorder="1" applyAlignment="1">
      <alignment horizontal="center" vertical="center" wrapText="1"/>
    </xf>
    <xf numFmtId="165" fontId="10" fillId="0" borderId="22" xfId="1" applyNumberFormat="1" applyFont="1" applyFill="1" applyBorder="1" applyAlignment="1">
      <alignment horizontal="right" vertical="center"/>
    </xf>
    <xf numFmtId="0" fontId="32" fillId="0" borderId="63" xfId="24" applyFont="1" applyBorder="1" applyAlignment="1">
      <alignment vertical="center"/>
    </xf>
    <xf numFmtId="0" fontId="32" fillId="0" borderId="26" xfId="24" applyFont="1" applyBorder="1" applyAlignment="1">
      <alignment vertical="center" wrapText="1"/>
    </xf>
    <xf numFmtId="0" fontId="32" fillId="0" borderId="28" xfId="24" applyFont="1" applyBorder="1" applyAlignment="1">
      <alignment vertical="center"/>
    </xf>
    <xf numFmtId="2" fontId="32" fillId="5" borderId="22" xfId="0" applyNumberFormat="1" applyFont="1" applyFill="1" applyBorder="1" applyAlignment="1">
      <alignment horizontal="right" vertical="center"/>
    </xf>
    <xf numFmtId="171" fontId="10" fillId="5" borderId="22" xfId="24" applyNumberFormat="1" applyFont="1" applyFill="1" applyBorder="1" applyAlignment="1">
      <alignment horizontal="right" vertical="center"/>
    </xf>
    <xf numFmtId="166" fontId="10" fillId="5" borderId="22" xfId="1" applyNumberFormat="1" applyFont="1" applyFill="1" applyBorder="1" applyAlignment="1">
      <alignment horizontal="right" vertical="center"/>
    </xf>
    <xf numFmtId="0" fontId="20" fillId="4" borderId="73" xfId="2" applyFont="1" applyFill="1" applyBorder="1" applyAlignment="1">
      <alignment horizontal="center" vertical="center" wrapText="1"/>
    </xf>
    <xf numFmtId="49" fontId="10" fillId="5" borderId="22" xfId="3" applyNumberFormat="1" applyFill="1" applyBorder="1" applyAlignment="1" applyProtection="1">
      <alignment horizontal="left" vertical="center"/>
      <protection locked="0"/>
    </xf>
    <xf numFmtId="49" fontId="10" fillId="5" borderId="20" xfId="3" applyNumberFormat="1" applyFill="1" applyBorder="1" applyAlignment="1" applyProtection="1">
      <alignment horizontal="left" vertical="center"/>
      <protection locked="0"/>
    </xf>
    <xf numFmtId="0" fontId="10" fillId="5" borderId="20" xfId="3" applyFill="1" applyBorder="1" applyAlignment="1" applyProtection="1">
      <alignment horizontal="left" vertical="center"/>
      <protection locked="0"/>
    </xf>
    <xf numFmtId="0" fontId="9" fillId="6" borderId="12" xfId="3" applyFont="1" applyFill="1" applyBorder="1" applyAlignment="1" applyProtection="1">
      <alignment horizontal="center" vertical="center"/>
      <protection locked="0"/>
    </xf>
    <xf numFmtId="49" fontId="10" fillId="6" borderId="0" xfId="3" applyNumberFormat="1" applyFill="1" applyAlignment="1" applyProtection="1">
      <alignment horizontal="left" vertical="center"/>
      <protection locked="0"/>
    </xf>
    <xf numFmtId="0" fontId="10" fillId="6" borderId="0" xfId="3" applyFill="1" applyAlignment="1" applyProtection="1">
      <alignment horizontal="center" vertical="center"/>
      <protection locked="0"/>
    </xf>
    <xf numFmtId="17" fontId="10" fillId="6" borderId="0" xfId="3" applyNumberFormat="1" applyFill="1" applyAlignment="1">
      <alignment horizontal="left" vertical="center"/>
    </xf>
    <xf numFmtId="168" fontId="10" fillId="6" borderId="0" xfId="3" applyNumberFormat="1" applyFill="1" applyAlignment="1">
      <alignment horizontal="left" vertical="center"/>
    </xf>
    <xf numFmtId="0" fontId="9" fillId="24" borderId="0" xfId="3" applyFont="1" applyFill="1" applyAlignment="1">
      <alignment horizontal="center" vertical="center"/>
    </xf>
    <xf numFmtId="0" fontId="10" fillId="4" borderId="12" xfId="0" applyFont="1" applyFill="1" applyBorder="1" applyAlignment="1">
      <alignment horizontal="right" vertical="center"/>
    </xf>
    <xf numFmtId="0" fontId="10" fillId="6" borderId="17" xfId="0" applyFont="1" applyFill="1" applyBorder="1" applyAlignment="1">
      <alignment horizontal="right" vertical="center"/>
    </xf>
    <xf numFmtId="0" fontId="0" fillId="6" borderId="17" xfId="0" applyFill="1" applyBorder="1" applyAlignment="1">
      <alignment horizontal="right" vertical="center"/>
    </xf>
    <xf numFmtId="2" fontId="10" fillId="18" borderId="22" xfId="0" applyNumberFormat="1" applyFont="1" applyFill="1" applyBorder="1" applyAlignment="1">
      <alignment horizontal="center" vertical="center"/>
    </xf>
    <xf numFmtId="0" fontId="42" fillId="0" borderId="22" xfId="0" applyFont="1" applyBorder="1" applyAlignment="1">
      <alignment horizontal="left" vertical="center"/>
    </xf>
    <xf numFmtId="0" fontId="42" fillId="0" borderId="22" xfId="3" applyFont="1" applyBorder="1" applyAlignment="1">
      <alignment horizontal="left" vertical="center"/>
    </xf>
    <xf numFmtId="0" fontId="10" fillId="4" borderId="22" xfId="3" applyFill="1" applyBorder="1" applyAlignment="1">
      <alignment horizontal="left" vertical="center"/>
    </xf>
    <xf numFmtId="1" fontId="10" fillId="6" borderId="22" xfId="3" applyNumberFormat="1" applyFill="1" applyBorder="1" applyAlignment="1">
      <alignment horizontal="center" vertical="center"/>
    </xf>
    <xf numFmtId="1" fontId="10" fillId="0" borderId="22" xfId="3" applyNumberFormat="1" applyBorder="1" applyAlignment="1">
      <alignment horizontal="center" vertical="center"/>
    </xf>
    <xf numFmtId="0" fontId="10" fillId="0" borderId="22" xfId="3" applyBorder="1" applyAlignment="1">
      <alignment vertical="center"/>
    </xf>
    <xf numFmtId="0" fontId="37" fillId="25" borderId="0" xfId="0" applyFont="1" applyFill="1" applyAlignment="1">
      <alignment horizontal="center" vertical="center"/>
    </xf>
    <xf numFmtId="0" fontId="32" fillId="25" borderId="20" xfId="2" applyFont="1" applyFill="1" applyBorder="1" applyAlignment="1">
      <alignment horizontal="center" vertical="center"/>
    </xf>
    <xf numFmtId="0" fontId="32" fillId="25" borderId="22" xfId="2" applyFont="1" applyFill="1" applyBorder="1" applyAlignment="1">
      <alignment horizontal="center" vertical="center"/>
    </xf>
    <xf numFmtId="0" fontId="10" fillId="6" borderId="20" xfId="3" applyFill="1" applyBorder="1" applyAlignment="1">
      <alignment vertical="center"/>
    </xf>
    <xf numFmtId="0" fontId="10" fillId="6" borderId="20" xfId="3" applyFill="1" applyBorder="1" applyAlignment="1">
      <alignment horizontal="center" vertical="center"/>
    </xf>
    <xf numFmtId="0" fontId="9" fillId="4" borderId="77" xfId="3" applyFont="1" applyFill="1" applyBorder="1" applyAlignment="1">
      <alignment horizontal="center" vertical="center"/>
    </xf>
    <xf numFmtId="0" fontId="9" fillId="4" borderId="22" xfId="0" applyFont="1" applyFill="1" applyBorder="1" applyAlignment="1">
      <alignment horizontal="left" vertical="center"/>
    </xf>
    <xf numFmtId="0" fontId="9" fillId="4" borderId="20" xfId="0" applyFont="1" applyFill="1" applyBorder="1" applyAlignment="1">
      <alignment horizontal="left" vertical="center"/>
    </xf>
    <xf numFmtId="0" fontId="9" fillId="4" borderId="77" xfId="0" applyFont="1" applyFill="1" applyBorder="1" applyAlignment="1">
      <alignment horizontal="center" vertical="center"/>
    </xf>
    <xf numFmtId="0" fontId="10" fillId="8" borderId="22" xfId="0" applyFont="1" applyFill="1" applyBorder="1" applyAlignment="1">
      <alignment vertical="center"/>
    </xf>
    <xf numFmtId="0" fontId="10" fillId="8" borderId="58" xfId="0" applyFont="1" applyFill="1" applyBorder="1" applyAlignment="1">
      <alignment vertical="center"/>
    </xf>
    <xf numFmtId="17" fontId="10" fillId="5" borderId="22" xfId="3" applyNumberFormat="1" applyFill="1" applyBorder="1" applyAlignment="1">
      <alignment horizontal="left" vertical="center"/>
    </xf>
    <xf numFmtId="0" fontId="10" fillId="25" borderId="22" xfId="0" applyFont="1" applyFill="1" applyBorder="1" applyAlignment="1">
      <alignment horizontal="left" vertical="center"/>
    </xf>
    <xf numFmtId="0" fontId="9" fillId="10" borderId="1" xfId="3" applyFont="1" applyFill="1" applyBorder="1" applyAlignment="1">
      <alignment horizontal="left" vertical="center"/>
    </xf>
    <xf numFmtId="0" fontId="10" fillId="7" borderId="9" xfId="3" quotePrefix="1" applyFill="1" applyBorder="1" applyAlignment="1">
      <alignment horizontal="right" vertical="center"/>
    </xf>
    <xf numFmtId="2" fontId="10" fillId="12" borderId="93" xfId="3" applyNumberFormat="1" applyFill="1" applyBorder="1" applyAlignment="1" applyProtection="1">
      <alignment horizontal="right" vertical="center"/>
      <protection hidden="1"/>
    </xf>
    <xf numFmtId="2" fontId="10" fillId="12" borderId="94" xfId="3" applyNumberFormat="1" applyFill="1" applyBorder="1" applyAlignment="1" applyProtection="1">
      <alignment horizontal="right" vertical="center"/>
      <protection hidden="1"/>
    </xf>
    <xf numFmtId="0" fontId="10" fillId="12" borderId="94" xfId="3" applyFill="1" applyBorder="1" applyAlignment="1" applyProtection="1">
      <alignment vertical="center"/>
      <protection hidden="1"/>
    </xf>
    <xf numFmtId="0" fontId="10" fillId="12" borderId="95" xfId="3" applyFill="1" applyBorder="1" applyAlignment="1" applyProtection="1">
      <alignment horizontal="right" vertical="center"/>
      <protection hidden="1"/>
    </xf>
    <xf numFmtId="0" fontId="10" fillId="11" borderId="2" xfId="3" applyFill="1" applyBorder="1" applyAlignment="1">
      <alignment horizontal="right" vertical="center"/>
    </xf>
    <xf numFmtId="0" fontId="10" fillId="11" borderId="13" xfId="3" applyFill="1" applyBorder="1" applyAlignment="1">
      <alignment horizontal="right" vertical="center"/>
    </xf>
    <xf numFmtId="2" fontId="10" fillId="11" borderId="11" xfId="3" applyNumberFormat="1" applyFill="1" applyBorder="1" applyAlignment="1">
      <alignment horizontal="left" vertical="center"/>
    </xf>
    <xf numFmtId="0" fontId="10" fillId="11" borderId="50" xfId="3" applyFill="1" applyBorder="1" applyAlignment="1">
      <alignment horizontal="right" vertical="center"/>
    </xf>
    <xf numFmtId="0" fontId="10" fillId="7" borderId="96" xfId="3" applyFill="1" applyBorder="1" applyAlignment="1" applyProtection="1">
      <alignment horizontal="right" vertical="center"/>
      <protection hidden="1"/>
    </xf>
    <xf numFmtId="167" fontId="10" fillId="7" borderId="96" xfId="3" applyNumberFormat="1" applyFill="1" applyBorder="1" applyAlignment="1" applyProtection="1">
      <alignment horizontal="right" vertical="center"/>
      <protection hidden="1"/>
    </xf>
    <xf numFmtId="167" fontId="10" fillId="7" borderId="96" xfId="3" quotePrefix="1" applyNumberFormat="1" applyFill="1" applyBorder="1" applyAlignment="1" applyProtection="1">
      <alignment horizontal="right" vertical="center"/>
      <protection hidden="1"/>
    </xf>
    <xf numFmtId="2" fontId="10" fillId="7" borderId="96" xfId="3" applyNumberFormat="1" applyFill="1" applyBorder="1" applyAlignment="1" applyProtection="1">
      <alignment horizontal="right" vertical="center"/>
      <protection hidden="1"/>
    </xf>
    <xf numFmtId="167" fontId="10" fillId="7" borderId="34" xfId="3" applyNumberFormat="1" applyFill="1" applyBorder="1" applyAlignment="1" applyProtection="1">
      <alignment horizontal="right" vertical="center"/>
      <protection hidden="1"/>
    </xf>
    <xf numFmtId="165" fontId="10" fillId="7" borderId="96" xfId="3" applyNumberFormat="1" applyFill="1" applyBorder="1" applyAlignment="1" applyProtection="1">
      <alignment horizontal="right" vertical="center"/>
      <protection hidden="1"/>
    </xf>
    <xf numFmtId="1" fontId="10" fillId="7" borderId="34" xfId="3" applyNumberFormat="1" applyFill="1" applyBorder="1" applyAlignment="1" applyProtection="1">
      <alignment horizontal="right" vertical="center"/>
      <protection hidden="1"/>
    </xf>
    <xf numFmtId="164" fontId="10" fillId="7" borderId="34" xfId="3" quotePrefix="1" applyNumberFormat="1" applyFill="1" applyBorder="1" applyAlignment="1" applyProtection="1">
      <alignment horizontal="right" vertical="center"/>
      <protection hidden="1"/>
    </xf>
    <xf numFmtId="164" fontId="10" fillId="7" borderId="34" xfId="3" applyNumberFormat="1" applyFill="1" applyBorder="1" applyAlignment="1" applyProtection="1">
      <alignment horizontal="right" vertical="center"/>
      <protection hidden="1"/>
    </xf>
    <xf numFmtId="2" fontId="10" fillId="12" borderId="36" xfId="3" applyNumberFormat="1" applyFill="1" applyBorder="1" applyAlignment="1" applyProtection="1">
      <alignment horizontal="right" vertical="center"/>
      <protection hidden="1"/>
    </xf>
    <xf numFmtId="0" fontId="10" fillId="8" borderId="22" xfId="3" applyFill="1" applyBorder="1" applyAlignment="1">
      <alignment horizontal="left" vertical="center"/>
    </xf>
    <xf numFmtId="1" fontId="10" fillId="6" borderId="0" xfId="3" applyNumberFormat="1" applyFill="1" applyAlignment="1">
      <alignment vertical="center"/>
    </xf>
    <xf numFmtId="0" fontId="10" fillId="21" borderId="5" xfId="0" applyFont="1" applyFill="1" applyBorder="1" applyAlignment="1">
      <alignment horizontal="center" vertical="center"/>
    </xf>
    <xf numFmtId="0" fontId="10" fillId="4" borderId="60" xfId="0" applyFont="1" applyFill="1" applyBorder="1" applyAlignment="1">
      <alignment horizontal="left" vertical="center"/>
    </xf>
    <xf numFmtId="0" fontId="43" fillId="6" borderId="0" xfId="2" applyFont="1" applyFill="1" applyAlignment="1">
      <alignment vertical="center"/>
    </xf>
    <xf numFmtId="0" fontId="10" fillId="18" borderId="58" xfId="0" applyFont="1" applyFill="1" applyBorder="1" applyAlignment="1">
      <alignment horizontal="center" vertical="center"/>
    </xf>
    <xf numFmtId="0" fontId="10" fillId="6" borderId="49" xfId="1" applyNumberFormat="1" applyFont="1" applyFill="1" applyBorder="1" applyAlignment="1">
      <alignment horizontal="center" vertical="center"/>
    </xf>
    <xf numFmtId="49" fontId="10" fillId="6" borderId="49" xfId="1" quotePrefix="1" applyNumberFormat="1" applyFont="1" applyFill="1" applyBorder="1" applyAlignment="1">
      <alignment horizontal="center" vertical="center"/>
    </xf>
    <xf numFmtId="0" fontId="9" fillId="6" borderId="22" xfId="3" applyFont="1" applyFill="1" applyBorder="1" applyAlignment="1" applyProtection="1">
      <alignment vertical="center"/>
      <protection locked="0"/>
    </xf>
    <xf numFmtId="168" fontId="10" fillId="6" borderId="20" xfId="3" applyNumberFormat="1" applyFill="1" applyBorder="1" applyAlignment="1">
      <alignment horizontal="center" vertical="center"/>
    </xf>
    <xf numFmtId="168" fontId="10" fillId="5" borderId="22" xfId="3" applyNumberFormat="1" applyFill="1" applyBorder="1" applyAlignment="1">
      <alignment horizontal="center" vertical="center"/>
    </xf>
    <xf numFmtId="168" fontId="10" fillId="5" borderId="20" xfId="3" applyNumberFormat="1" applyFill="1" applyBorder="1" applyAlignment="1">
      <alignment horizontal="center" vertical="center"/>
    </xf>
    <xf numFmtId="2" fontId="10" fillId="7" borderId="12" xfId="3" applyNumberFormat="1" applyFill="1" applyBorder="1" applyAlignment="1">
      <alignment horizontal="center" vertical="center" wrapText="1"/>
    </xf>
    <xf numFmtId="0" fontId="20" fillId="4" borderId="90" xfId="2" applyFont="1" applyFill="1" applyBorder="1" applyAlignment="1">
      <alignment horizontal="center" vertical="center"/>
    </xf>
    <xf numFmtId="1" fontId="10" fillId="5" borderId="44" xfId="1" applyNumberFormat="1" applyFont="1" applyFill="1" applyBorder="1" applyAlignment="1">
      <alignment horizontal="center" vertical="center"/>
    </xf>
    <xf numFmtId="0" fontId="32" fillId="25" borderId="69" xfId="2" applyFont="1" applyFill="1" applyBorder="1" applyAlignment="1">
      <alignment horizontal="center" vertical="center"/>
    </xf>
    <xf numFmtId="0" fontId="32" fillId="25" borderId="44" xfId="2" applyFont="1" applyFill="1" applyBorder="1" applyAlignment="1">
      <alignment horizontal="center" vertical="center"/>
    </xf>
    <xf numFmtId="1" fontId="10" fillId="5" borderId="42" xfId="1" applyNumberFormat="1" applyFont="1" applyFill="1" applyBorder="1" applyAlignment="1">
      <alignment horizontal="center" vertical="center"/>
    </xf>
    <xf numFmtId="2" fontId="32" fillId="0" borderId="18" xfId="2" applyNumberFormat="1" applyFont="1" applyBorder="1" applyAlignment="1">
      <alignment horizontal="center" vertical="center"/>
    </xf>
    <xf numFmtId="0" fontId="44" fillId="6" borderId="0" xfId="2" applyFont="1" applyFill="1" applyAlignment="1">
      <alignment horizontal="center" vertical="center"/>
    </xf>
    <xf numFmtId="171" fontId="10" fillId="7" borderId="34" xfId="3" applyNumberFormat="1" applyFill="1" applyBorder="1" applyAlignment="1" applyProtection="1">
      <alignment horizontal="right" vertical="center"/>
      <protection hidden="1"/>
    </xf>
    <xf numFmtId="0" fontId="9" fillId="4" borderId="85" xfId="0" applyFont="1" applyFill="1" applyBorder="1" applyAlignment="1">
      <alignment horizontal="center" vertical="center"/>
    </xf>
    <xf numFmtId="0" fontId="9" fillId="4" borderId="84" xfId="0" applyFont="1" applyFill="1" applyBorder="1" applyAlignment="1">
      <alignment horizontal="center" vertical="center"/>
    </xf>
    <xf numFmtId="0" fontId="9" fillId="4" borderId="87" xfId="0" applyFont="1" applyFill="1" applyBorder="1" applyAlignment="1">
      <alignment horizontal="center" vertical="center"/>
    </xf>
    <xf numFmtId="0" fontId="9" fillId="4" borderId="86" xfId="0" applyFont="1" applyFill="1" applyBorder="1" applyAlignment="1">
      <alignment horizontal="center" vertical="center"/>
    </xf>
    <xf numFmtId="0" fontId="9" fillId="4" borderId="54" xfId="0" applyFont="1" applyFill="1" applyBorder="1" applyAlignment="1">
      <alignment vertical="center"/>
    </xf>
    <xf numFmtId="0" fontId="9" fillId="4" borderId="53" xfId="0" applyFont="1" applyFill="1" applyBorder="1" applyAlignment="1">
      <alignment vertical="center"/>
    </xf>
    <xf numFmtId="0" fontId="9" fillId="4" borderId="97" xfId="0" applyFont="1" applyFill="1" applyBorder="1" applyAlignment="1">
      <alignment horizontal="left" vertical="center"/>
    </xf>
    <xf numFmtId="0" fontId="9" fillId="4" borderId="21" xfId="0" applyFont="1" applyFill="1" applyBorder="1" applyAlignment="1">
      <alignment horizontal="left" vertical="center"/>
    </xf>
    <xf numFmtId="0" fontId="9" fillId="4" borderId="98" xfId="0" applyFont="1" applyFill="1" applyBorder="1" applyAlignment="1">
      <alignment horizontal="left" vertical="center"/>
    </xf>
    <xf numFmtId="0" fontId="9" fillId="4" borderId="65" xfId="0" applyFont="1" applyFill="1" applyBorder="1" applyAlignment="1">
      <alignment vertical="center" wrapText="1"/>
    </xf>
    <xf numFmtId="0" fontId="10" fillId="6" borderId="49" xfId="0" applyFont="1" applyFill="1" applyBorder="1" applyAlignment="1">
      <alignment horizontal="center" vertical="center"/>
    </xf>
    <xf numFmtId="0" fontId="10" fillId="6" borderId="23" xfId="0" applyFont="1" applyFill="1" applyBorder="1" applyAlignment="1">
      <alignment horizontal="center" vertical="center"/>
    </xf>
    <xf numFmtId="0" fontId="10" fillId="6" borderId="44" xfId="0" applyFont="1" applyFill="1" applyBorder="1" applyAlignment="1">
      <alignment horizontal="center" vertical="center"/>
    </xf>
    <xf numFmtId="0" fontId="10" fillId="6" borderId="25" xfId="0" applyFont="1" applyFill="1" applyBorder="1" applyAlignment="1">
      <alignment horizontal="center" vertical="center"/>
    </xf>
    <xf numFmtId="0" fontId="10" fillId="6" borderId="51" xfId="0" applyFont="1" applyFill="1" applyBorder="1" applyAlignment="1">
      <alignment horizontal="center" vertical="center"/>
    </xf>
    <xf numFmtId="0" fontId="10" fillId="6" borderId="39" xfId="0" applyFont="1" applyFill="1" applyBorder="1" applyAlignment="1">
      <alignment horizontal="center" vertical="center"/>
    </xf>
    <xf numFmtId="0" fontId="10" fillId="6" borderId="66" xfId="0" applyFont="1" applyFill="1" applyBorder="1" applyAlignment="1">
      <alignment horizontal="center" vertical="center"/>
    </xf>
    <xf numFmtId="0" fontId="10" fillId="6" borderId="48" xfId="0" applyFont="1" applyFill="1" applyBorder="1" applyAlignment="1">
      <alignment horizontal="center" vertical="center"/>
    </xf>
    <xf numFmtId="0" fontId="0" fillId="6" borderId="0" xfId="0" applyFill="1" applyAlignment="1">
      <alignment vertical="center" wrapText="1"/>
    </xf>
    <xf numFmtId="0" fontId="10" fillId="6" borderId="19" xfId="0" applyFont="1" applyFill="1" applyBorder="1" applyAlignment="1">
      <alignment horizontal="center" vertical="center" wrapText="1"/>
    </xf>
    <xf numFmtId="0" fontId="10" fillId="6" borderId="68" xfId="0" applyFont="1" applyFill="1" applyBorder="1" applyAlignment="1">
      <alignment horizontal="center" vertical="center" wrapText="1"/>
    </xf>
    <xf numFmtId="0" fontId="10" fillId="6" borderId="69" xfId="0" applyFont="1" applyFill="1" applyBorder="1" applyAlignment="1">
      <alignment horizontal="center" vertical="center" wrapText="1"/>
    </xf>
    <xf numFmtId="0" fontId="10" fillId="6" borderId="43" xfId="0" applyFont="1" applyFill="1" applyBorder="1" applyAlignment="1">
      <alignment horizontal="center" vertical="center" wrapText="1"/>
    </xf>
    <xf numFmtId="0" fontId="9" fillId="4" borderId="79" xfId="0" applyFont="1" applyFill="1" applyBorder="1" applyAlignment="1">
      <alignment vertical="center"/>
    </xf>
    <xf numFmtId="0" fontId="9" fillId="4" borderId="64" xfId="0" applyFont="1" applyFill="1" applyBorder="1" applyAlignment="1">
      <alignment vertical="center"/>
    </xf>
    <xf numFmtId="0" fontId="20" fillId="4" borderId="84" xfId="24" applyFont="1" applyFill="1" applyBorder="1" applyAlignment="1">
      <alignment horizontal="center" vertical="center"/>
    </xf>
    <xf numFmtId="0" fontId="10" fillId="25" borderId="49" xfId="3" applyFill="1" applyBorder="1" applyAlignment="1">
      <alignment horizontal="center" vertical="center"/>
    </xf>
    <xf numFmtId="0" fontId="32" fillId="8" borderId="26" xfId="24" applyFont="1" applyFill="1" applyBorder="1" applyAlignment="1">
      <alignment vertical="center"/>
    </xf>
    <xf numFmtId="0" fontId="32" fillId="6" borderId="26" xfId="24" applyFont="1" applyFill="1" applyBorder="1" applyAlignment="1">
      <alignment vertical="center"/>
    </xf>
    <xf numFmtId="0" fontId="9" fillId="4" borderId="75" xfId="0" applyFont="1" applyFill="1" applyBorder="1" applyAlignment="1">
      <alignment horizontal="center" vertical="center" wrapText="1"/>
    </xf>
    <xf numFmtId="0" fontId="10" fillId="8" borderId="19" xfId="0" applyFont="1" applyFill="1" applyBorder="1" applyAlignment="1">
      <alignment horizontal="center" vertical="center" wrapText="1"/>
    </xf>
    <xf numFmtId="0" fontId="10" fillId="8" borderId="68" xfId="0" applyFont="1" applyFill="1" applyBorder="1" applyAlignment="1">
      <alignment horizontal="center" vertical="center" wrapText="1"/>
    </xf>
    <xf numFmtId="2" fontId="26" fillId="15" borderId="20" xfId="3" applyNumberFormat="1" applyFont="1" applyFill="1" applyBorder="1" applyAlignment="1">
      <alignment horizontal="center" vertical="center" wrapText="1"/>
    </xf>
    <xf numFmtId="2" fontId="26" fillId="15" borderId="22" xfId="3" applyNumberFormat="1" applyFont="1" applyFill="1" applyBorder="1" applyAlignment="1">
      <alignment horizontal="center" vertical="center" wrapText="1"/>
    </xf>
    <xf numFmtId="0" fontId="21" fillId="14" borderId="22" xfId="3" applyFont="1" applyFill="1" applyBorder="1" applyAlignment="1">
      <alignment horizontal="center" vertical="center" wrapText="1"/>
    </xf>
    <xf numFmtId="2" fontId="9" fillId="15" borderId="22" xfId="3" applyNumberFormat="1" applyFont="1" applyFill="1" applyBorder="1" applyAlignment="1">
      <alignment horizontal="center" vertical="center" wrapText="1"/>
    </xf>
    <xf numFmtId="0" fontId="9" fillId="15" borderId="22" xfId="3" applyFont="1" applyFill="1" applyBorder="1" applyAlignment="1">
      <alignment horizontal="center" vertical="center" wrapText="1"/>
    </xf>
    <xf numFmtId="0" fontId="21" fillId="14" borderId="20" xfId="3" applyFont="1" applyFill="1" applyBorder="1" applyAlignment="1">
      <alignment horizontal="center" vertical="center" wrapText="1"/>
    </xf>
    <xf numFmtId="2" fontId="9" fillId="15" borderId="20" xfId="3" applyNumberFormat="1" applyFont="1" applyFill="1" applyBorder="1" applyAlignment="1">
      <alignment horizontal="center" vertical="center" wrapText="1"/>
    </xf>
    <xf numFmtId="0" fontId="9" fillId="15" borderId="20" xfId="3" applyFont="1" applyFill="1" applyBorder="1" applyAlignment="1">
      <alignment horizontal="center" vertical="center" wrapText="1"/>
    </xf>
    <xf numFmtId="168" fontId="9" fillId="13" borderId="77" xfId="3" applyNumberFormat="1" applyFont="1" applyFill="1" applyBorder="1" applyAlignment="1">
      <alignment horizontal="center" vertical="center" wrapText="1"/>
    </xf>
    <xf numFmtId="0" fontId="21" fillId="14" borderId="77" xfId="3" applyFont="1" applyFill="1" applyBorder="1" applyAlignment="1">
      <alignment horizontal="center" vertical="center" wrapText="1"/>
    </xf>
    <xf numFmtId="0" fontId="10" fillId="25" borderId="22" xfId="0" applyFont="1" applyFill="1" applyBorder="1" applyAlignment="1">
      <alignment horizontal="center" vertical="center" wrapText="1"/>
    </xf>
    <xf numFmtId="0" fontId="10" fillId="6" borderId="11" xfId="0" applyFont="1" applyFill="1" applyBorder="1" applyAlignment="1">
      <alignment horizontal="center" vertical="center" wrapText="1"/>
    </xf>
    <xf numFmtId="0" fontId="10" fillId="20" borderId="3" xfId="0" applyFont="1" applyFill="1" applyBorder="1" applyAlignment="1">
      <alignment vertical="center" wrapText="1"/>
    </xf>
    <xf numFmtId="0" fontId="10" fillId="20" borderId="1" xfId="0" applyFont="1" applyFill="1" applyBorder="1" applyAlignment="1">
      <alignment vertical="center" wrapText="1"/>
    </xf>
    <xf numFmtId="0" fontId="10" fillId="20" borderId="17" xfId="0" applyFont="1" applyFill="1" applyBorder="1" applyAlignment="1">
      <alignment vertical="center" wrapText="1"/>
    </xf>
    <xf numFmtId="0" fontId="10" fillId="20" borderId="55" xfId="0" applyFont="1" applyFill="1" applyBorder="1" applyAlignment="1">
      <alignment vertical="center" wrapText="1"/>
    </xf>
    <xf numFmtId="0" fontId="10" fillId="20" borderId="67" xfId="0" applyFont="1" applyFill="1" applyBorder="1" applyAlignment="1">
      <alignment vertical="center" wrapText="1"/>
    </xf>
    <xf numFmtId="0" fontId="10" fillId="5" borderId="0" xfId="0" applyFont="1" applyFill="1" applyAlignment="1">
      <alignment horizontal="center" vertical="center" wrapText="1"/>
    </xf>
    <xf numFmtId="0" fontId="10" fillId="0" borderId="17" xfId="0" applyFont="1" applyBorder="1" applyAlignment="1">
      <alignment horizontal="left" vertical="center" wrapText="1"/>
    </xf>
    <xf numFmtId="0" fontId="10" fillId="0" borderId="64" xfId="0" applyFont="1" applyBorder="1" applyAlignment="1">
      <alignment horizontal="left" vertical="center" wrapText="1"/>
    </xf>
    <xf numFmtId="0" fontId="10" fillId="0" borderId="54" xfId="0" applyFont="1" applyBorder="1" applyAlignment="1">
      <alignment horizontal="left" vertical="center"/>
    </xf>
    <xf numFmtId="0" fontId="10" fillId="0" borderId="53" xfId="0" applyFont="1" applyBorder="1" applyAlignment="1">
      <alignment horizontal="left" vertical="center" wrapText="1"/>
    </xf>
    <xf numFmtId="0" fontId="10" fillId="0" borderId="54" xfId="0" applyFont="1" applyBorder="1" applyAlignment="1">
      <alignment horizontal="left" vertical="center" wrapText="1"/>
    </xf>
    <xf numFmtId="0" fontId="10" fillId="0" borderId="65" xfId="0" applyFont="1" applyBorder="1" applyAlignment="1">
      <alignment horizontal="left" vertical="center" wrapText="1"/>
    </xf>
    <xf numFmtId="0" fontId="9" fillId="4" borderId="72" xfId="0" applyFont="1" applyFill="1" applyBorder="1" applyAlignment="1">
      <alignment horizontal="center" vertical="center" wrapText="1"/>
    </xf>
    <xf numFmtId="0" fontId="25" fillId="6" borderId="0" xfId="0" applyFont="1" applyFill="1" applyAlignment="1">
      <alignment horizontal="center" vertical="center"/>
    </xf>
    <xf numFmtId="0" fontId="25" fillId="6" borderId="22" xfId="0" applyFont="1" applyFill="1" applyBorder="1" applyAlignment="1">
      <alignment vertical="center"/>
    </xf>
    <xf numFmtId="14" fontId="25" fillId="6" borderId="0" xfId="0" applyNumberFormat="1" applyFont="1" applyFill="1" applyAlignment="1">
      <alignment horizontal="center" vertical="center"/>
    </xf>
    <xf numFmtId="0" fontId="20" fillId="4" borderId="77" xfId="24" applyFont="1" applyFill="1" applyBorder="1" applyAlignment="1">
      <alignment horizontal="center" vertical="center"/>
    </xf>
    <xf numFmtId="0" fontId="20" fillId="6" borderId="22" xfId="24" applyFont="1" applyFill="1" applyBorder="1" applyAlignment="1">
      <alignment horizontal="left" vertical="center"/>
    </xf>
    <xf numFmtId="0" fontId="20" fillId="5" borderId="22" xfId="24" applyFont="1" applyFill="1" applyBorder="1" applyAlignment="1">
      <alignment horizontal="left" vertical="center"/>
    </xf>
    <xf numFmtId="0" fontId="20" fillId="25" borderId="22" xfId="24" applyFont="1" applyFill="1" applyBorder="1" applyAlignment="1">
      <alignment horizontal="left" vertical="center"/>
    </xf>
    <xf numFmtId="0" fontId="32" fillId="25" borderId="20" xfId="24" applyFont="1" applyFill="1" applyBorder="1" applyAlignment="1">
      <alignment horizontal="center" vertical="center"/>
    </xf>
    <xf numFmtId="0" fontId="32" fillId="25" borderId="22" xfId="24" applyFont="1" applyFill="1" applyBorder="1" applyAlignment="1">
      <alignment horizontal="center" vertical="center"/>
    </xf>
    <xf numFmtId="0" fontId="32" fillId="25" borderId="58" xfId="24" applyFont="1" applyFill="1" applyBorder="1" applyAlignment="1">
      <alignment horizontal="center" vertical="center"/>
    </xf>
    <xf numFmtId="0" fontId="32" fillId="25" borderId="60" xfId="24" applyFont="1" applyFill="1" applyBorder="1" applyAlignment="1">
      <alignment horizontal="center" vertical="center"/>
    </xf>
    <xf numFmtId="0" fontId="32" fillId="25" borderId="5" xfId="24" applyFont="1" applyFill="1" applyBorder="1" applyAlignment="1">
      <alignment horizontal="center" vertical="center"/>
    </xf>
    <xf numFmtId="0" fontId="46" fillId="23" borderId="0" xfId="0" applyFont="1" applyFill="1" applyAlignment="1">
      <alignment horizontal="center" vertical="center"/>
    </xf>
    <xf numFmtId="1" fontId="22" fillId="6" borderId="12" xfId="0" applyNumberFormat="1" applyFont="1" applyFill="1" applyBorder="1" applyAlignment="1">
      <alignment horizontal="center" vertical="center"/>
    </xf>
    <xf numFmtId="0" fontId="20" fillId="6" borderId="20" xfId="0" applyFont="1" applyFill="1" applyBorder="1" applyAlignment="1">
      <alignment vertical="center" wrapText="1"/>
    </xf>
    <xf numFmtId="0" fontId="20" fillId="6" borderId="22" xfId="0" applyFont="1" applyFill="1" applyBorder="1" applyAlignment="1">
      <alignment vertical="center" wrapText="1"/>
    </xf>
    <xf numFmtId="0" fontId="20" fillId="4" borderId="20" xfId="2" applyFont="1" applyFill="1" applyBorder="1" applyAlignment="1">
      <alignment horizontal="center" vertical="center"/>
    </xf>
    <xf numFmtId="168" fontId="10" fillId="6" borderId="22" xfId="3" applyNumberFormat="1" applyFill="1" applyBorder="1" applyAlignment="1" applyProtection="1">
      <alignment horizontal="center" vertical="center"/>
      <protection locked="0"/>
    </xf>
    <xf numFmtId="0" fontId="9" fillId="6" borderId="43" xfId="3" applyFont="1" applyFill="1" applyBorder="1" applyAlignment="1">
      <alignment vertical="center" wrapText="1"/>
    </xf>
    <xf numFmtId="0" fontId="20" fillId="6" borderId="22" xfId="0" applyFont="1" applyFill="1" applyBorder="1" applyAlignment="1">
      <alignment vertical="center"/>
    </xf>
    <xf numFmtId="0" fontId="20" fillId="18" borderId="22" xfId="0" applyFont="1" applyFill="1" applyBorder="1" applyAlignment="1">
      <alignment vertical="center"/>
    </xf>
    <xf numFmtId="0" fontId="10" fillId="6" borderId="22" xfId="0" applyFont="1" applyFill="1" applyBorder="1"/>
    <xf numFmtId="0" fontId="10" fillId="4" borderId="22" xfId="0" applyFont="1" applyFill="1" applyBorder="1" applyAlignment="1">
      <alignment vertical="center"/>
    </xf>
    <xf numFmtId="0" fontId="10" fillId="25" borderId="22" xfId="3" applyFill="1" applyBorder="1" applyAlignment="1">
      <alignment horizontal="right" vertical="center"/>
    </xf>
    <xf numFmtId="2" fontId="10" fillId="12" borderId="103" xfId="3" applyNumberFormat="1" applyFill="1" applyBorder="1" applyAlignment="1" applyProtection="1">
      <alignment horizontal="right" vertical="center"/>
      <protection hidden="1"/>
    </xf>
    <xf numFmtId="0" fontId="10" fillId="20" borderId="65" xfId="0" applyFont="1" applyFill="1" applyBorder="1" applyAlignment="1">
      <alignment horizontal="left" vertical="center" wrapText="1"/>
    </xf>
    <xf numFmtId="0" fontId="10" fillId="20" borderId="46" xfId="0" quotePrefix="1" applyFont="1" applyFill="1" applyBorder="1" applyAlignment="1">
      <alignment horizontal="center" vertical="center" wrapText="1"/>
    </xf>
    <xf numFmtId="2" fontId="20" fillId="20" borderId="54" xfId="0" applyNumberFormat="1" applyFont="1" applyFill="1" applyBorder="1" applyAlignment="1">
      <alignment horizontal="center" vertical="center"/>
    </xf>
    <xf numFmtId="2" fontId="20" fillId="20" borderId="22" xfId="0" applyNumberFormat="1" applyFont="1" applyFill="1" applyBorder="1" applyAlignment="1">
      <alignment horizontal="center" vertical="center"/>
    </xf>
    <xf numFmtId="2" fontId="10" fillId="20" borderId="22" xfId="0" applyNumberFormat="1" applyFont="1" applyFill="1" applyBorder="1" applyAlignment="1">
      <alignment horizontal="center" vertical="center"/>
    </xf>
    <xf numFmtId="0" fontId="10" fillId="20" borderId="54" xfId="0" applyFont="1" applyFill="1" applyBorder="1" applyAlignment="1">
      <alignment horizontal="center" vertical="center"/>
    </xf>
    <xf numFmtId="0" fontId="10" fillId="20" borderId="54" xfId="0" applyFont="1" applyFill="1" applyBorder="1" applyAlignment="1">
      <alignment horizontal="left" vertical="center" wrapText="1"/>
    </xf>
    <xf numFmtId="0" fontId="10" fillId="20" borderId="54" xfId="0" quotePrefix="1" applyFont="1" applyFill="1" applyBorder="1" applyAlignment="1">
      <alignment horizontal="center" vertical="center" wrapText="1"/>
    </xf>
    <xf numFmtId="0" fontId="10" fillId="20" borderId="53" xfId="0" applyFont="1" applyFill="1" applyBorder="1" applyAlignment="1">
      <alignment horizontal="left" vertical="center" wrapText="1"/>
    </xf>
    <xf numFmtId="0" fontId="10" fillId="20" borderId="104" xfId="0" quotePrefix="1" applyFont="1" applyFill="1" applyBorder="1" applyAlignment="1">
      <alignment horizontal="center" vertical="center" wrapText="1"/>
    </xf>
    <xf numFmtId="0" fontId="10" fillId="5" borderId="44" xfId="0" applyFont="1" applyFill="1" applyBorder="1" applyAlignment="1">
      <alignment horizontal="center" vertical="center" wrapText="1"/>
    </xf>
    <xf numFmtId="2" fontId="20" fillId="20" borderId="65" xfId="0" applyNumberFormat="1" applyFont="1" applyFill="1" applyBorder="1" applyAlignment="1">
      <alignment horizontal="center" vertical="center"/>
    </xf>
    <xf numFmtId="2" fontId="20" fillId="20" borderId="20" xfId="0" applyNumberFormat="1" applyFont="1" applyFill="1" applyBorder="1" applyAlignment="1">
      <alignment horizontal="center" vertical="center"/>
    </xf>
    <xf numFmtId="2" fontId="10" fillId="20" borderId="20" xfId="0" applyNumberFormat="1" applyFont="1" applyFill="1" applyBorder="1" applyAlignment="1">
      <alignment horizontal="center" vertical="center"/>
    </xf>
    <xf numFmtId="0" fontId="10" fillId="20" borderId="65" xfId="0" applyFont="1" applyFill="1" applyBorder="1" applyAlignment="1">
      <alignment horizontal="center" vertical="center"/>
    </xf>
    <xf numFmtId="2" fontId="20" fillId="20" borderId="53" xfId="0" applyNumberFormat="1" applyFont="1" applyFill="1" applyBorder="1" applyAlignment="1">
      <alignment horizontal="center" vertical="center"/>
    </xf>
    <xf numFmtId="2" fontId="20" fillId="20" borderId="58" xfId="0" applyNumberFormat="1" applyFont="1" applyFill="1" applyBorder="1" applyAlignment="1">
      <alignment horizontal="center" vertical="center"/>
    </xf>
    <xf numFmtId="2" fontId="10" fillId="20" borderId="58" xfId="0" applyNumberFormat="1" applyFont="1" applyFill="1" applyBorder="1" applyAlignment="1">
      <alignment horizontal="center" vertical="center"/>
    </xf>
    <xf numFmtId="0" fontId="10" fillId="20" borderId="53" xfId="0" applyFont="1" applyFill="1" applyBorder="1" applyAlignment="1">
      <alignment horizontal="center" vertical="center"/>
    </xf>
    <xf numFmtId="0" fontId="32" fillId="0" borderId="57" xfId="24" applyFont="1" applyBorder="1" applyAlignment="1">
      <alignment vertical="center"/>
    </xf>
    <xf numFmtId="168" fontId="10" fillId="5" borderId="20" xfId="1" applyNumberFormat="1" applyFont="1" applyFill="1" applyBorder="1" applyAlignment="1">
      <alignment horizontal="right" vertical="center"/>
    </xf>
    <xf numFmtId="0" fontId="10" fillId="18" borderId="5" xfId="0" applyFont="1" applyFill="1" applyBorder="1" applyAlignment="1">
      <alignment vertical="center" textRotation="90"/>
    </xf>
    <xf numFmtId="0" fontId="10" fillId="18" borderId="20" xfId="0" applyFont="1" applyFill="1" applyBorder="1" applyAlignment="1">
      <alignment vertical="center" textRotation="90"/>
    </xf>
    <xf numFmtId="0" fontId="10" fillId="6" borderId="0" xfId="0" applyFont="1" applyFill="1" applyAlignment="1">
      <alignment vertical="center" textRotation="90"/>
    </xf>
    <xf numFmtId="0" fontId="10" fillId="18" borderId="18" xfId="0" applyFont="1" applyFill="1" applyBorder="1" applyAlignment="1">
      <alignment horizontal="left" vertical="center"/>
    </xf>
    <xf numFmtId="0" fontId="10" fillId="6" borderId="18" xfId="0" applyFont="1" applyFill="1" applyBorder="1" applyAlignment="1">
      <alignment horizontal="left" vertical="center"/>
    </xf>
    <xf numFmtId="0" fontId="10" fillId="7" borderId="20" xfId="3" applyFill="1" applyBorder="1" applyAlignment="1">
      <alignment horizontal="left" vertical="center"/>
    </xf>
    <xf numFmtId="2" fontId="10" fillId="7" borderId="22" xfId="3" applyNumberFormat="1" applyFill="1" applyBorder="1" applyAlignment="1">
      <alignment horizontal="left" vertical="center"/>
    </xf>
    <xf numFmtId="0" fontId="10" fillId="7" borderId="22" xfId="3" applyFill="1" applyBorder="1" applyAlignment="1">
      <alignment horizontal="left" vertical="center"/>
    </xf>
    <xf numFmtId="0" fontId="10" fillId="7" borderId="22" xfId="3" applyFill="1" applyBorder="1" applyAlignment="1" applyProtection="1">
      <alignment horizontal="left" vertical="center"/>
      <protection locked="0"/>
    </xf>
    <xf numFmtId="0" fontId="10" fillId="0" borderId="0" xfId="3" applyAlignment="1">
      <alignment horizontal="left" vertical="center"/>
    </xf>
    <xf numFmtId="0" fontId="9" fillId="18" borderId="22" xfId="3" applyFont="1" applyFill="1" applyBorder="1" applyAlignment="1" applyProtection="1">
      <alignment vertical="center"/>
      <protection locked="0"/>
    </xf>
    <xf numFmtId="0" fontId="9" fillId="4" borderId="22" xfId="3" applyFont="1" applyFill="1" applyBorder="1" applyAlignment="1" applyProtection="1">
      <alignment horizontal="center" vertical="center"/>
      <protection locked="0"/>
    </xf>
    <xf numFmtId="1" fontId="10" fillId="6" borderId="0" xfId="3" applyNumberFormat="1" applyFill="1" applyAlignment="1">
      <alignment horizontal="center" vertical="center"/>
    </xf>
    <xf numFmtId="0" fontId="10" fillId="4" borderId="25" xfId="0" applyFont="1" applyFill="1" applyBorder="1" applyAlignment="1">
      <alignment horizontal="center" vertical="center"/>
    </xf>
    <xf numFmtId="0" fontId="10" fillId="4" borderId="44" xfId="0" applyFont="1" applyFill="1" applyBorder="1" applyAlignment="1">
      <alignment horizontal="center" vertical="center"/>
    </xf>
    <xf numFmtId="0" fontId="10" fillId="27" borderId="22" xfId="0" applyFont="1" applyFill="1" applyBorder="1" applyAlignment="1">
      <alignment horizontal="center" vertical="center"/>
    </xf>
    <xf numFmtId="2" fontId="10" fillId="27" borderId="22" xfId="0" applyNumberFormat="1" applyFont="1" applyFill="1" applyBorder="1" applyAlignment="1">
      <alignment horizontal="center" vertical="center"/>
    </xf>
    <xf numFmtId="2" fontId="10" fillId="11" borderId="0" xfId="3" applyNumberFormat="1" applyFill="1" applyAlignment="1">
      <alignment horizontal="left" vertical="center"/>
    </xf>
    <xf numFmtId="0" fontId="10" fillId="6" borderId="6" xfId="3" applyFill="1" applyBorder="1" applyAlignment="1" applyProtection="1">
      <alignment horizontal="right" vertical="center"/>
      <protection locked="0"/>
    </xf>
    <xf numFmtId="0" fontId="10" fillId="11" borderId="0" xfId="3" applyFill="1" applyAlignment="1">
      <alignment horizontal="left" vertical="center"/>
    </xf>
    <xf numFmtId="0" fontId="10" fillId="7" borderId="18" xfId="3" applyFill="1" applyBorder="1" applyAlignment="1">
      <alignment horizontal="center" vertical="center"/>
    </xf>
    <xf numFmtId="2" fontId="10" fillId="4" borderId="22" xfId="3" applyNumberFormat="1" applyFill="1" applyBorder="1" applyAlignment="1" applyProtection="1">
      <alignment horizontal="center" vertical="center"/>
      <protection locked="0"/>
    </xf>
    <xf numFmtId="0" fontId="20" fillId="7" borderId="4" xfId="24" applyFont="1" applyFill="1" applyBorder="1" applyAlignment="1">
      <alignment horizontal="center" vertical="center"/>
    </xf>
    <xf numFmtId="0" fontId="10" fillId="0" borderId="26" xfId="24" applyFont="1" applyBorder="1" applyAlignment="1">
      <alignment horizontal="center" vertical="center" wrapText="1"/>
    </xf>
    <xf numFmtId="0" fontId="32" fillId="0" borderId="26" xfId="24" applyFont="1" applyBorder="1" applyAlignment="1">
      <alignment horizontal="center" vertical="center"/>
    </xf>
    <xf numFmtId="0" fontId="10" fillId="6" borderId="26" xfId="24" applyFont="1" applyFill="1" applyBorder="1" applyAlignment="1">
      <alignment horizontal="center" vertical="center" wrapText="1"/>
    </xf>
    <xf numFmtId="0" fontId="10" fillId="0" borderId="26" xfId="24" applyFont="1" applyBorder="1" applyAlignment="1">
      <alignment horizontal="center" vertical="center"/>
    </xf>
    <xf numFmtId="0" fontId="32" fillId="0" borderId="71" xfId="24" applyFont="1" applyBorder="1" applyAlignment="1">
      <alignment horizontal="center" vertical="center"/>
    </xf>
    <xf numFmtId="0" fontId="32" fillId="0" borderId="57" xfId="24" applyFont="1" applyBorder="1" applyAlignment="1">
      <alignment horizontal="center" vertical="center"/>
    </xf>
    <xf numFmtId="165" fontId="10" fillId="0" borderId="26" xfId="1" applyNumberFormat="1" applyFont="1" applyFill="1" applyBorder="1" applyAlignment="1">
      <alignment horizontal="center" vertical="center"/>
    </xf>
    <xf numFmtId="0" fontId="32" fillId="6" borderId="26" xfId="24" applyFont="1" applyFill="1" applyBorder="1" applyAlignment="1">
      <alignment horizontal="center" vertical="center"/>
    </xf>
    <xf numFmtId="0" fontId="15" fillId="0" borderId="26" xfId="24" applyFont="1" applyBorder="1" applyAlignment="1">
      <alignment horizontal="center" vertical="center"/>
    </xf>
    <xf numFmtId="0" fontId="10" fillId="6" borderId="71" xfId="24" applyFont="1" applyFill="1" applyBorder="1" applyAlignment="1">
      <alignment horizontal="center" vertical="center"/>
    </xf>
    <xf numFmtId="166" fontId="32" fillId="0" borderId="63" xfId="24" applyNumberFormat="1" applyFont="1" applyBorder="1" applyAlignment="1">
      <alignment horizontal="center" vertical="center"/>
    </xf>
    <xf numFmtId="166" fontId="32" fillId="0" borderId="26" xfId="24" applyNumberFormat="1" applyFont="1" applyBorder="1" applyAlignment="1">
      <alignment horizontal="center" vertical="center"/>
    </xf>
    <xf numFmtId="165" fontId="32" fillId="0" borderId="26" xfId="24" applyNumberFormat="1" applyFont="1" applyBorder="1" applyAlignment="1">
      <alignment horizontal="center" vertical="center"/>
    </xf>
    <xf numFmtId="164" fontId="32" fillId="0" borderId="26" xfId="24" applyNumberFormat="1" applyFont="1" applyBorder="1" applyAlignment="1">
      <alignment horizontal="center" vertical="center"/>
    </xf>
    <xf numFmtId="0" fontId="20" fillId="4" borderId="105" xfId="24" applyFont="1" applyFill="1" applyBorder="1" applyAlignment="1">
      <alignment horizontal="center" vertical="center"/>
    </xf>
    <xf numFmtId="0" fontId="32" fillId="25" borderId="21" xfId="24" applyFont="1" applyFill="1" applyBorder="1" applyAlignment="1">
      <alignment horizontal="center" vertical="center"/>
    </xf>
    <xf numFmtId="0" fontId="32" fillId="25" borderId="97" xfId="24" applyFont="1" applyFill="1" applyBorder="1" applyAlignment="1">
      <alignment horizontal="center" vertical="center"/>
    </xf>
    <xf numFmtId="0" fontId="32" fillId="25" borderId="98" xfId="24" applyFont="1" applyFill="1" applyBorder="1" applyAlignment="1">
      <alignment horizontal="center" vertical="center"/>
    </xf>
    <xf numFmtId="0" fontId="32" fillId="25" borderId="59" xfId="24" applyFont="1" applyFill="1" applyBorder="1" applyAlignment="1">
      <alignment horizontal="center" vertical="center"/>
    </xf>
    <xf numFmtId="0" fontId="32" fillId="25" borderId="9" xfId="24" applyFont="1" applyFill="1" applyBorder="1" applyAlignment="1">
      <alignment horizontal="center" vertical="center"/>
    </xf>
    <xf numFmtId="0" fontId="32" fillId="0" borderId="39" xfId="24" applyFont="1" applyBorder="1" applyAlignment="1">
      <alignment horizontal="center" vertical="center"/>
    </xf>
    <xf numFmtId="168" fontId="10" fillId="5" borderId="58" xfId="24" applyNumberFormat="1" applyFont="1" applyFill="1" applyBorder="1" applyAlignment="1">
      <alignment horizontal="right" vertical="center"/>
    </xf>
    <xf numFmtId="2" fontId="10" fillId="5" borderId="18" xfId="1" applyNumberFormat="1" applyFont="1" applyFill="1" applyBorder="1" applyAlignment="1">
      <alignment horizontal="right" vertical="center"/>
    </xf>
    <xf numFmtId="166" fontId="10" fillId="5" borderId="20" xfId="1" applyNumberFormat="1" applyFont="1" applyFill="1" applyBorder="1" applyAlignment="1">
      <alignment horizontal="right" vertical="center"/>
    </xf>
    <xf numFmtId="0" fontId="32" fillId="0" borderId="10" xfId="24" applyFont="1" applyBorder="1" applyAlignment="1">
      <alignment horizontal="center" vertical="center"/>
    </xf>
    <xf numFmtId="0" fontId="32" fillId="0" borderId="25" xfId="24" applyFont="1" applyBorder="1" applyAlignment="1">
      <alignment horizontal="center" vertical="center"/>
    </xf>
    <xf numFmtId="0" fontId="32" fillId="0" borderId="18" xfId="24" applyFont="1" applyBorder="1" applyAlignment="1">
      <alignment vertical="center"/>
    </xf>
    <xf numFmtId="0" fontId="32" fillId="6" borderId="41" xfId="24" applyFont="1" applyFill="1" applyBorder="1" applyAlignment="1">
      <alignment horizontal="center" vertical="center"/>
    </xf>
    <xf numFmtId="0" fontId="20" fillId="7" borderId="19" xfId="24" applyFont="1" applyFill="1" applyBorder="1" applyAlignment="1">
      <alignment horizontal="center" vertical="center"/>
    </xf>
    <xf numFmtId="0" fontId="32" fillId="6" borderId="57" xfId="24" applyFont="1" applyFill="1" applyBorder="1" applyAlignment="1">
      <alignment vertical="center"/>
    </xf>
    <xf numFmtId="0" fontId="32" fillId="6" borderId="57" xfId="24" applyFont="1" applyFill="1" applyBorder="1" applyAlignment="1">
      <alignment horizontal="center" vertical="center"/>
    </xf>
    <xf numFmtId="0" fontId="14" fillId="4" borderId="90" xfId="24" applyFont="1" applyFill="1" applyBorder="1" applyAlignment="1">
      <alignment vertical="center"/>
    </xf>
    <xf numFmtId="0" fontId="14" fillId="4" borderId="105" xfId="24" applyFont="1" applyFill="1" applyBorder="1" applyAlignment="1">
      <alignment vertical="center"/>
    </xf>
    <xf numFmtId="0" fontId="14" fillId="7" borderId="4" xfId="24" applyFont="1" applyFill="1" applyBorder="1" applyAlignment="1">
      <alignment vertical="center"/>
    </xf>
    <xf numFmtId="0" fontId="14" fillId="7" borderId="9" xfId="24" applyFont="1" applyFill="1" applyBorder="1" applyAlignment="1">
      <alignment vertical="center"/>
    </xf>
    <xf numFmtId="0" fontId="32" fillId="7" borderId="4" xfId="24" applyFont="1" applyFill="1" applyBorder="1" applyAlignment="1">
      <alignment horizontal="center" vertical="center" wrapText="1"/>
    </xf>
    <xf numFmtId="0" fontId="15" fillId="0" borderId="71" xfId="24" applyFont="1" applyBorder="1" applyAlignment="1">
      <alignment horizontal="center" vertical="center"/>
    </xf>
    <xf numFmtId="0" fontId="10" fillId="6" borderId="41" xfId="0" applyFont="1" applyFill="1" applyBorder="1" applyAlignment="1">
      <alignment horizontal="left" vertical="center"/>
    </xf>
    <xf numFmtId="0" fontId="0" fillId="23" borderId="0" xfId="0" applyFill="1" applyAlignment="1">
      <alignment vertical="center"/>
    </xf>
    <xf numFmtId="0" fontId="32" fillId="20" borderId="22" xfId="2" applyFont="1" applyFill="1" applyBorder="1" applyAlignment="1">
      <alignment horizontal="center" vertical="center"/>
    </xf>
    <xf numFmtId="1" fontId="10" fillId="20" borderId="26" xfId="1" applyNumberFormat="1" applyFont="1" applyFill="1" applyBorder="1" applyAlignment="1">
      <alignment horizontal="center" vertical="center"/>
    </xf>
    <xf numFmtId="0" fontId="32" fillId="20" borderId="44" xfId="2" applyFont="1" applyFill="1" applyBorder="1" applyAlignment="1">
      <alignment horizontal="center" vertical="center"/>
    </xf>
    <xf numFmtId="0" fontId="20" fillId="6" borderId="0" xfId="2" applyFont="1" applyFill="1" applyAlignment="1">
      <alignment horizontal="center" vertical="center"/>
    </xf>
    <xf numFmtId="0" fontId="32" fillId="6" borderId="0" xfId="2" applyFont="1" applyFill="1" applyAlignment="1">
      <alignment horizontal="center" vertical="center"/>
    </xf>
    <xf numFmtId="0" fontId="20" fillId="4" borderId="0" xfId="2" applyFont="1" applyFill="1" applyAlignment="1">
      <alignment horizontal="center" vertical="center" wrapText="1"/>
    </xf>
    <xf numFmtId="0" fontId="20" fillId="4" borderId="86" xfId="2" applyFont="1" applyFill="1" applyBorder="1" applyAlignment="1">
      <alignment horizontal="center" vertical="center"/>
    </xf>
    <xf numFmtId="0" fontId="20" fillId="4" borderId="87" xfId="2" applyFont="1" applyFill="1" applyBorder="1" applyAlignment="1">
      <alignment horizontal="center" vertical="center"/>
    </xf>
    <xf numFmtId="0" fontId="32" fillId="6" borderId="20" xfId="2" applyFont="1" applyFill="1" applyBorder="1" applyAlignment="1">
      <alignment horizontal="left" vertical="center"/>
    </xf>
    <xf numFmtId="0" fontId="32" fillId="6" borderId="22" xfId="2" applyFont="1" applyFill="1" applyBorder="1" applyAlignment="1">
      <alignment horizontal="left" vertical="center"/>
    </xf>
    <xf numFmtId="0" fontId="32" fillId="4" borderId="86" xfId="2" applyFont="1" applyFill="1" applyBorder="1" applyAlignment="1">
      <alignment horizontal="center" vertical="center"/>
    </xf>
    <xf numFmtId="0" fontId="32" fillId="4" borderId="90" xfId="2" applyFont="1" applyFill="1" applyBorder="1" applyAlignment="1">
      <alignment horizontal="center" vertical="center"/>
    </xf>
    <xf numFmtId="0" fontId="32" fillId="4" borderId="87" xfId="2" applyFont="1" applyFill="1" applyBorder="1" applyAlignment="1">
      <alignment horizontal="center" vertical="center"/>
    </xf>
    <xf numFmtId="0" fontId="32" fillId="6" borderId="25" xfId="2" applyFont="1" applyFill="1" applyBorder="1" applyAlignment="1">
      <alignment horizontal="left" vertical="center"/>
    </xf>
    <xf numFmtId="0" fontId="32" fillId="6" borderId="44" xfId="2" applyFont="1" applyFill="1" applyBorder="1" applyAlignment="1">
      <alignment horizontal="left" vertical="center"/>
    </xf>
    <xf numFmtId="0" fontId="32" fillId="6" borderId="83" xfId="2" applyFont="1" applyFill="1" applyBorder="1" applyAlignment="1">
      <alignment horizontal="center" vertical="center"/>
    </xf>
    <xf numFmtId="0" fontId="32" fillId="6" borderId="91" xfId="2" applyFont="1" applyFill="1" applyBorder="1" applyAlignment="1">
      <alignment horizontal="center" vertical="center"/>
    </xf>
    <xf numFmtId="0" fontId="37" fillId="4" borderId="22" xfId="0" applyFont="1" applyFill="1" applyBorder="1" applyAlignment="1">
      <alignment horizontal="center" vertical="center"/>
    </xf>
    <xf numFmtId="0" fontId="25" fillId="6" borderId="25" xfId="0" applyFont="1" applyFill="1" applyBorder="1" applyAlignment="1">
      <alignment horizontal="left" vertical="center"/>
    </xf>
    <xf numFmtId="0" fontId="25" fillId="6" borderId="26" xfId="0" applyFont="1" applyFill="1" applyBorder="1" applyAlignment="1">
      <alignment horizontal="left" vertical="center"/>
    </xf>
    <xf numFmtId="0" fontId="25" fillId="6" borderId="44" xfId="0" applyFont="1" applyFill="1" applyBorder="1" applyAlignment="1">
      <alignment horizontal="left" vertical="center"/>
    </xf>
    <xf numFmtId="0" fontId="37" fillId="6" borderId="26" xfId="0" applyFont="1" applyFill="1" applyBorder="1" applyAlignment="1">
      <alignment horizontal="left" vertical="center"/>
    </xf>
    <xf numFmtId="0" fontId="37" fillId="6" borderId="44" xfId="0" applyFont="1" applyFill="1" applyBorder="1" applyAlignment="1">
      <alignment horizontal="left" vertical="center"/>
    </xf>
    <xf numFmtId="0" fontId="25" fillId="6" borderId="22" xfId="0" applyFont="1" applyFill="1" applyBorder="1" applyAlignment="1">
      <alignment horizontal="left" vertical="center"/>
    </xf>
    <xf numFmtId="0" fontId="25" fillId="0" borderId="25" xfId="0" applyFont="1" applyBorder="1" applyAlignment="1">
      <alignment horizontal="left" vertical="center"/>
    </xf>
    <xf numFmtId="0" fontId="25" fillId="0" borderId="26" xfId="0" applyFont="1" applyBorder="1" applyAlignment="1">
      <alignment horizontal="left" vertical="center"/>
    </xf>
    <xf numFmtId="0" fontId="25" fillId="0" borderId="44" xfId="0" applyFont="1" applyBorder="1" applyAlignment="1">
      <alignment horizontal="left" vertical="center"/>
    </xf>
    <xf numFmtId="0" fontId="25" fillId="6" borderId="25" xfId="0" applyFont="1" applyFill="1" applyBorder="1" applyAlignment="1">
      <alignment horizontal="left" vertical="center" wrapText="1"/>
    </xf>
    <xf numFmtId="0" fontId="25" fillId="6" borderId="26" xfId="0" applyFont="1" applyFill="1" applyBorder="1" applyAlignment="1">
      <alignment horizontal="left" vertical="center" wrapText="1"/>
    </xf>
    <xf numFmtId="0" fontId="25" fillId="6" borderId="44" xfId="0" applyFont="1" applyFill="1" applyBorder="1" applyAlignment="1">
      <alignment horizontal="left" vertical="center" wrapText="1"/>
    </xf>
    <xf numFmtId="0" fontId="25" fillId="0" borderId="22" xfId="0" applyFont="1" applyBorder="1" applyAlignment="1">
      <alignment horizontal="left" vertical="center"/>
    </xf>
    <xf numFmtId="0" fontId="25" fillId="0" borderId="25" xfId="3" applyFont="1" applyBorder="1" applyAlignment="1">
      <alignment horizontal="left" vertical="center"/>
    </xf>
    <xf numFmtId="0" fontId="25" fillId="0" borderId="26" xfId="3" applyFont="1" applyBorder="1" applyAlignment="1">
      <alignment horizontal="left" vertical="center"/>
    </xf>
    <xf numFmtId="0" fontId="25" fillId="0" borderId="44" xfId="3" applyFont="1" applyBorder="1" applyAlignment="1">
      <alignment horizontal="left" vertical="center"/>
    </xf>
    <xf numFmtId="0" fontId="37" fillId="4" borderId="18" xfId="0" applyFont="1" applyFill="1" applyBorder="1" applyAlignment="1">
      <alignment horizontal="center" vertical="center"/>
    </xf>
    <xf numFmtId="0" fontId="25" fillId="0" borderId="25" xfId="3" applyFont="1" applyBorder="1" applyAlignment="1">
      <alignment horizontal="left" vertical="center" wrapText="1"/>
    </xf>
    <xf numFmtId="0" fontId="25" fillId="0" borderId="26" xfId="3" applyFont="1" applyBorder="1" applyAlignment="1">
      <alignment horizontal="left" vertical="center" wrapText="1"/>
    </xf>
    <xf numFmtId="0" fontId="25" fillId="0" borderId="44" xfId="3" applyFont="1" applyBorder="1" applyAlignment="1">
      <alignment horizontal="left" vertical="center" wrapText="1"/>
    </xf>
    <xf numFmtId="0" fontId="10" fillId="26" borderId="66" xfId="0" applyFont="1" applyFill="1" applyBorder="1" applyAlignment="1">
      <alignment horizontal="center" vertical="center" wrapText="1"/>
    </xf>
    <xf numFmtId="0" fontId="10" fillId="26" borderId="58" xfId="0" applyFont="1" applyFill="1" applyBorder="1" applyAlignment="1">
      <alignment horizontal="center" vertical="center" wrapText="1"/>
    </xf>
    <xf numFmtId="0" fontId="10" fillId="26" borderId="39" xfId="0" applyFont="1" applyFill="1" applyBorder="1" applyAlignment="1">
      <alignment horizontal="center" vertical="center" wrapText="1"/>
    </xf>
    <xf numFmtId="0" fontId="10" fillId="18" borderId="22" xfId="0" applyFont="1" applyFill="1" applyBorder="1" applyAlignment="1">
      <alignment horizontal="center" vertical="center" wrapText="1"/>
    </xf>
    <xf numFmtId="0" fontId="0" fillId="18" borderId="22" xfId="0" applyFill="1" applyBorder="1" applyAlignment="1">
      <alignment horizontal="center" vertical="center" wrapText="1"/>
    </xf>
    <xf numFmtId="0" fontId="10" fillId="26" borderId="44" xfId="0" applyFont="1" applyFill="1" applyBorder="1" applyAlignment="1">
      <alignment horizontal="center" vertical="center" wrapText="1"/>
    </xf>
    <xf numFmtId="0" fontId="10" fillId="26" borderId="22" xfId="0" applyFont="1" applyFill="1" applyBorder="1" applyAlignment="1">
      <alignment horizontal="center" vertical="center" wrapText="1"/>
    </xf>
    <xf numFmtId="0" fontId="10" fillId="18" borderId="22" xfId="0" applyFont="1" applyFill="1" applyBorder="1" applyAlignment="1">
      <alignment horizontal="center" vertical="center"/>
    </xf>
    <xf numFmtId="0" fontId="0" fillId="18" borderId="23" xfId="0" applyFill="1" applyBorder="1" applyAlignment="1">
      <alignment horizontal="center" vertical="center"/>
    </xf>
    <xf numFmtId="0" fontId="9" fillId="4" borderId="59" xfId="0" applyFont="1" applyFill="1" applyBorder="1" applyAlignment="1">
      <alignment horizontal="center" vertical="center"/>
    </xf>
    <xf numFmtId="0" fontId="9" fillId="4" borderId="56" xfId="0" applyFont="1" applyFill="1" applyBorder="1" applyAlignment="1">
      <alignment horizontal="center" vertical="center"/>
    </xf>
    <xf numFmtId="0" fontId="10" fillId="26" borderId="100" xfId="0" applyFont="1" applyFill="1" applyBorder="1" applyAlignment="1">
      <alignment horizontal="center" vertical="center" wrapText="1"/>
    </xf>
    <xf numFmtId="0" fontId="10" fillId="26" borderId="91" xfId="0" applyFont="1" applyFill="1" applyBorder="1" applyAlignment="1">
      <alignment horizontal="center" vertical="center" wrapText="1"/>
    </xf>
    <xf numFmtId="0" fontId="9" fillId="4" borderId="81" xfId="0" applyFont="1" applyFill="1" applyBorder="1" applyAlignment="1">
      <alignment horizontal="center" vertical="center"/>
    </xf>
    <xf numFmtId="0" fontId="9" fillId="4" borderId="99" xfId="0" applyFont="1" applyFill="1" applyBorder="1" applyAlignment="1">
      <alignment horizontal="center" vertical="center"/>
    </xf>
    <xf numFmtId="0" fontId="9" fillId="4" borderId="101" xfId="0" applyFont="1" applyFill="1" applyBorder="1" applyAlignment="1">
      <alignment horizontal="center" vertical="center"/>
    </xf>
    <xf numFmtId="0" fontId="9" fillId="4" borderId="75" xfId="0" applyFont="1" applyFill="1" applyBorder="1" applyAlignment="1">
      <alignment horizontal="center" vertical="center"/>
    </xf>
    <xf numFmtId="0" fontId="10" fillId="26" borderId="83" xfId="0" applyFont="1" applyFill="1" applyBorder="1" applyAlignment="1">
      <alignment horizontal="center" vertical="center" wrapText="1"/>
    </xf>
    <xf numFmtId="0" fontId="10" fillId="26" borderId="102" xfId="0" applyFont="1" applyFill="1" applyBorder="1" applyAlignment="1">
      <alignment horizontal="center" vertical="center" wrapText="1"/>
    </xf>
    <xf numFmtId="0" fontId="20" fillId="4" borderId="22" xfId="24" applyFont="1" applyFill="1" applyBorder="1" applyAlignment="1">
      <alignment horizontal="center" vertical="center"/>
    </xf>
    <xf numFmtId="0" fontId="32" fillId="6" borderId="27" xfId="24" applyFont="1" applyFill="1" applyBorder="1" applyAlignment="1">
      <alignment horizontal="left" vertical="center"/>
    </xf>
    <xf numFmtId="0" fontId="33" fillId="4" borderId="52" xfId="24" applyFont="1" applyFill="1" applyBorder="1" applyAlignment="1">
      <alignment horizontal="center" vertical="center"/>
    </xf>
    <xf numFmtId="0" fontId="33" fillId="4" borderId="60" xfId="24" applyFont="1" applyFill="1" applyBorder="1" applyAlignment="1">
      <alignment horizontal="center" vertical="center"/>
    </xf>
    <xf numFmtId="0" fontId="33" fillId="4" borderId="62" xfId="24" applyFont="1" applyFill="1" applyBorder="1" applyAlignment="1">
      <alignment horizontal="center" vertical="center"/>
    </xf>
    <xf numFmtId="0" fontId="33" fillId="4" borderId="47" xfId="24" applyFont="1" applyFill="1" applyBorder="1" applyAlignment="1">
      <alignment horizontal="center" vertical="center"/>
    </xf>
    <xf numFmtId="0" fontId="32" fillId="0" borderId="18" xfId="2" applyFont="1" applyBorder="1" applyAlignment="1">
      <alignment horizontal="center" vertical="center"/>
    </xf>
    <xf numFmtId="0" fontId="32" fillId="0" borderId="20" xfId="2" applyFont="1" applyBorder="1" applyAlignment="1">
      <alignment horizontal="center" vertical="center"/>
    </xf>
    <xf numFmtId="0" fontId="20" fillId="4" borderId="90" xfId="2" applyFont="1" applyFill="1" applyBorder="1" applyAlignment="1">
      <alignment horizontal="center" vertical="center"/>
    </xf>
    <xf numFmtId="0" fontId="32" fillId="6" borderId="45" xfId="2" applyFont="1" applyFill="1" applyBorder="1" applyAlignment="1">
      <alignment horizontal="center" vertical="center"/>
    </xf>
    <xf numFmtId="0" fontId="32" fillId="0" borderId="5" xfId="2" applyFont="1" applyBorder="1" applyAlignment="1">
      <alignment horizontal="center" vertical="center"/>
    </xf>
    <xf numFmtId="0" fontId="20" fillId="4" borderId="22" xfId="2" applyFont="1" applyFill="1" applyBorder="1" applyAlignment="1">
      <alignment horizontal="center" vertical="center"/>
    </xf>
    <xf numFmtId="0" fontId="10" fillId="7" borderId="86" xfId="3" applyFill="1" applyBorder="1" applyAlignment="1">
      <alignment horizontal="center" vertical="center"/>
    </xf>
    <xf numFmtId="0" fontId="10" fillId="7" borderId="87" xfId="3" applyFill="1" applyBorder="1" applyAlignment="1">
      <alignment horizontal="center" vertical="center"/>
    </xf>
    <xf numFmtId="0" fontId="9" fillId="4" borderId="22" xfId="0" applyFont="1" applyFill="1" applyBorder="1" applyAlignment="1">
      <alignment horizontal="center" vertical="center"/>
    </xf>
    <xf numFmtId="0" fontId="9" fillId="4" borderId="22" xfId="0" applyFont="1" applyFill="1" applyBorder="1" applyAlignment="1">
      <alignment horizontal="center" vertical="center" wrapText="1"/>
    </xf>
    <xf numFmtId="2" fontId="9" fillId="4" borderId="22" xfId="0" applyNumberFormat="1" applyFont="1" applyFill="1" applyBorder="1" applyAlignment="1">
      <alignment horizontal="center" vertical="center" wrapText="1"/>
    </xf>
    <xf numFmtId="0" fontId="18" fillId="4" borderId="1" xfId="0" applyFont="1" applyFill="1" applyBorder="1" applyAlignment="1">
      <alignment horizontal="center" vertical="center"/>
    </xf>
    <xf numFmtId="0" fontId="18" fillId="4" borderId="3" xfId="0" applyFont="1" applyFill="1" applyBorder="1" applyAlignment="1">
      <alignment horizontal="center" vertical="center"/>
    </xf>
    <xf numFmtId="0" fontId="10" fillId="4" borderId="22" xfId="0" applyFont="1" applyFill="1" applyBorder="1" applyAlignment="1">
      <alignment horizontal="center" vertical="center"/>
    </xf>
    <xf numFmtId="0" fontId="10" fillId="18" borderId="18" xfId="0" applyFont="1" applyFill="1" applyBorder="1" applyAlignment="1">
      <alignment horizontal="center" vertical="center" textRotation="90"/>
    </xf>
    <xf numFmtId="0" fontId="10" fillId="18" borderId="5" xfId="0" applyFont="1" applyFill="1" applyBorder="1" applyAlignment="1">
      <alignment horizontal="center" vertical="center" textRotation="90"/>
    </xf>
    <xf numFmtId="0" fontId="10" fillId="19" borderId="18" xfId="0" applyFont="1" applyFill="1" applyBorder="1" applyAlignment="1">
      <alignment horizontal="center" vertical="center" textRotation="90"/>
    </xf>
    <xf numFmtId="0" fontId="10" fillId="19" borderId="5" xfId="0" applyFont="1" applyFill="1" applyBorder="1" applyAlignment="1">
      <alignment horizontal="center" vertical="center" textRotation="90"/>
    </xf>
    <xf numFmtId="0" fontId="10" fillId="19" borderId="20" xfId="0" applyFont="1" applyFill="1" applyBorder="1" applyAlignment="1">
      <alignment horizontal="center" vertical="center" textRotation="90"/>
    </xf>
    <xf numFmtId="0" fontId="10" fillId="4" borderId="25" xfId="0" applyFont="1" applyFill="1" applyBorder="1" applyAlignment="1">
      <alignment horizontal="center" vertical="center"/>
    </xf>
    <xf numFmtId="0" fontId="10" fillId="4" borderId="44" xfId="0" applyFont="1" applyFill="1" applyBorder="1" applyAlignment="1">
      <alignment horizontal="center" vertical="center"/>
    </xf>
    <xf numFmtId="0" fontId="10" fillId="18" borderId="20" xfId="0" applyFont="1" applyFill="1" applyBorder="1" applyAlignment="1">
      <alignment horizontal="center" vertical="center" textRotation="90"/>
    </xf>
    <xf numFmtId="0" fontId="10" fillId="4" borderId="26" xfId="0" applyFont="1" applyFill="1" applyBorder="1" applyAlignment="1">
      <alignment horizontal="center" vertical="center"/>
    </xf>
    <xf numFmtId="0" fontId="10" fillId="19" borderId="22" xfId="0" applyFont="1" applyFill="1" applyBorder="1" applyAlignment="1">
      <alignment horizontal="center" vertical="center" textRotation="90"/>
    </xf>
    <xf numFmtId="0" fontId="20" fillId="4" borderId="89" xfId="0" applyFont="1" applyFill="1" applyBorder="1" applyAlignment="1">
      <alignment horizontal="center" vertical="center"/>
    </xf>
    <xf numFmtId="0" fontId="20" fillId="4" borderId="20" xfId="0" applyFont="1" applyFill="1" applyBorder="1" applyAlignment="1">
      <alignment horizontal="center" vertical="center"/>
    </xf>
    <xf numFmtId="0" fontId="10" fillId="6" borderId="27" xfId="3" applyFill="1" applyBorder="1" applyAlignment="1" applyProtection="1">
      <alignment horizontal="left" vertical="center" wrapText="1"/>
      <protection locked="0"/>
    </xf>
    <xf numFmtId="0" fontId="10" fillId="6" borderId="89" xfId="3" applyFill="1" applyBorder="1" applyAlignment="1" applyProtection="1">
      <alignment horizontal="center" vertical="center" wrapText="1"/>
      <protection locked="0"/>
    </xf>
    <xf numFmtId="0" fontId="10" fillId="6" borderId="5" xfId="3" applyFill="1" applyBorder="1" applyAlignment="1" applyProtection="1">
      <alignment horizontal="center" vertical="center" wrapText="1"/>
      <protection locked="0"/>
    </xf>
    <xf numFmtId="0" fontId="10" fillId="6" borderId="20" xfId="3" applyFill="1" applyBorder="1" applyAlignment="1" applyProtection="1">
      <alignment horizontal="center" vertical="center" wrapText="1"/>
      <protection locked="0"/>
    </xf>
    <xf numFmtId="0" fontId="20" fillId="4" borderId="86" xfId="0" applyFont="1" applyFill="1" applyBorder="1" applyAlignment="1">
      <alignment horizontal="center" vertical="center"/>
    </xf>
    <xf numFmtId="0" fontId="20" fillId="4" borderId="90" xfId="0" applyFont="1" applyFill="1" applyBorder="1" applyAlignment="1">
      <alignment horizontal="center" vertical="center"/>
    </xf>
    <xf numFmtId="0" fontId="20" fillId="4" borderId="87" xfId="0" applyFont="1" applyFill="1" applyBorder="1" applyAlignment="1">
      <alignment horizontal="center" vertical="center"/>
    </xf>
    <xf numFmtId="0" fontId="9" fillId="4" borderId="89" xfId="3" applyFont="1" applyFill="1" applyBorder="1" applyAlignment="1" applyProtection="1">
      <alignment horizontal="center" vertical="center"/>
      <protection locked="0"/>
    </xf>
    <xf numFmtId="0" fontId="9" fillId="4" borderId="20" xfId="3" applyFont="1" applyFill="1" applyBorder="1" applyAlignment="1" applyProtection="1">
      <alignment horizontal="center" vertical="center"/>
      <protection locked="0"/>
    </xf>
    <xf numFmtId="0" fontId="10" fillId="0" borderId="1" xfId="0" applyFont="1" applyBorder="1" applyAlignment="1">
      <alignment horizontal="center" vertical="center" wrapText="1"/>
    </xf>
    <xf numFmtId="0" fontId="10" fillId="0" borderId="17" xfId="0" applyFont="1" applyBorder="1" applyAlignment="1">
      <alignment horizontal="center" vertical="center" wrapText="1"/>
    </xf>
    <xf numFmtId="0" fontId="10" fillId="0" borderId="3" xfId="0" applyFont="1" applyBorder="1" applyAlignment="1">
      <alignment horizontal="center" vertical="center" wrapText="1"/>
    </xf>
    <xf numFmtId="0" fontId="10" fillId="20" borderId="13" xfId="0" applyFont="1" applyFill="1" applyBorder="1" applyAlignment="1">
      <alignment horizontal="center" vertical="center" wrapText="1"/>
    </xf>
    <xf numFmtId="0" fontId="10" fillId="20" borderId="50" xfId="0" applyFont="1" applyFill="1" applyBorder="1" applyAlignment="1">
      <alignment horizontal="center" vertical="center" wrapText="1"/>
    </xf>
    <xf numFmtId="0" fontId="10" fillId="0" borderId="65" xfId="0" applyFont="1" applyBorder="1" applyAlignment="1">
      <alignment horizontal="center" vertical="center" wrapText="1"/>
    </xf>
    <xf numFmtId="0" fontId="9" fillId="4" borderId="81" xfId="0" applyFont="1" applyFill="1" applyBorder="1" applyAlignment="1">
      <alignment horizontal="center" vertical="center" wrapText="1"/>
    </xf>
    <xf numFmtId="0" fontId="9" fillId="4" borderId="75" xfId="0" applyFont="1" applyFill="1" applyBorder="1" applyAlignment="1">
      <alignment horizontal="center" vertical="center" wrapText="1"/>
    </xf>
    <xf numFmtId="0" fontId="9" fillId="4" borderId="15" xfId="0" applyFont="1" applyFill="1" applyBorder="1" applyAlignment="1">
      <alignment horizontal="center" vertical="center"/>
    </xf>
    <xf numFmtId="0" fontId="9" fillId="4" borderId="16" xfId="0" applyFont="1" applyFill="1" applyBorder="1" applyAlignment="1">
      <alignment horizontal="center" vertical="center"/>
    </xf>
    <xf numFmtId="0" fontId="9" fillId="4" borderId="14" xfId="0" applyFont="1" applyFill="1" applyBorder="1" applyAlignment="1">
      <alignment horizontal="center" vertical="center"/>
    </xf>
    <xf numFmtId="0" fontId="10" fillId="6" borderId="24" xfId="0" applyFont="1" applyFill="1" applyBorder="1" applyAlignment="1">
      <alignment horizontal="center" vertical="center" wrapText="1"/>
    </xf>
    <xf numFmtId="0" fontId="10" fillId="6" borderId="9" xfId="0" applyFont="1" applyFill="1" applyBorder="1" applyAlignment="1">
      <alignment horizontal="center" vertical="center" wrapText="1"/>
    </xf>
    <xf numFmtId="0" fontId="10" fillId="6" borderId="11" xfId="0" applyFont="1" applyFill="1" applyBorder="1" applyAlignment="1">
      <alignment horizontal="center" vertical="center" wrapText="1"/>
    </xf>
    <xf numFmtId="0" fontId="10" fillId="0" borderId="56" xfId="0" applyFont="1" applyBorder="1" applyAlignment="1">
      <alignment horizontal="center" vertical="center" wrapText="1"/>
    </xf>
    <xf numFmtId="0" fontId="10" fillId="0" borderId="55" xfId="0" applyFont="1" applyBorder="1" applyAlignment="1">
      <alignment horizontal="center" vertical="center" wrapText="1"/>
    </xf>
    <xf numFmtId="0" fontId="10" fillId="0" borderId="67" xfId="0" applyFont="1" applyBorder="1" applyAlignment="1">
      <alignment horizontal="center" vertical="center" wrapText="1"/>
    </xf>
    <xf numFmtId="0" fontId="10" fillId="0" borderId="70" xfId="0" applyFont="1" applyBorder="1" applyAlignment="1">
      <alignment horizontal="center" vertical="center" wrapText="1"/>
    </xf>
    <xf numFmtId="0" fontId="22" fillId="6" borderId="0" xfId="3" quotePrefix="1" applyFont="1" applyFill="1" applyAlignment="1">
      <alignment horizontal="left" vertical="center"/>
    </xf>
    <xf numFmtId="0" fontId="22" fillId="6" borderId="0" xfId="3" applyFont="1" applyFill="1" applyAlignment="1">
      <alignment horizontal="left" vertical="center"/>
    </xf>
    <xf numFmtId="2" fontId="10" fillId="15" borderId="25" xfId="3" applyNumberFormat="1" applyFill="1" applyBorder="1" applyAlignment="1">
      <alignment horizontal="center" vertical="center" wrapText="1"/>
    </xf>
    <xf numFmtId="2" fontId="10" fillId="15" borderId="26" xfId="3" applyNumberFormat="1" applyFill="1" applyBorder="1" applyAlignment="1">
      <alignment horizontal="center" vertical="center" wrapText="1"/>
    </xf>
    <xf numFmtId="2" fontId="10" fillId="15" borderId="44" xfId="3" applyNumberFormat="1" applyFill="1" applyBorder="1" applyAlignment="1">
      <alignment horizontal="center" vertical="center" wrapText="1"/>
    </xf>
    <xf numFmtId="0" fontId="27" fillId="6" borderId="0" xfId="3" applyFont="1" applyFill="1" applyAlignment="1">
      <alignment horizontal="left" vertical="center"/>
    </xf>
    <xf numFmtId="0" fontId="28" fillId="6" borderId="0" xfId="3" quotePrefix="1" applyFont="1" applyFill="1" applyAlignment="1">
      <alignment horizontal="left" vertical="center"/>
    </xf>
    <xf numFmtId="0" fontId="28" fillId="6" borderId="0" xfId="3" applyFont="1" applyFill="1" applyAlignment="1">
      <alignment horizontal="left" vertical="center"/>
    </xf>
    <xf numFmtId="0" fontId="24" fillId="6" borderId="0" xfId="3" quotePrefix="1" applyFont="1" applyFill="1" applyAlignment="1">
      <alignment horizontal="left" vertical="center"/>
    </xf>
    <xf numFmtId="0" fontId="24" fillId="6" borderId="0" xfId="3" applyFont="1" applyFill="1" applyAlignment="1">
      <alignment horizontal="left" vertical="center"/>
    </xf>
    <xf numFmtId="0" fontId="30" fillId="6" borderId="0" xfId="3" quotePrefix="1" applyFont="1" applyFill="1" applyAlignment="1">
      <alignment horizontal="left" vertical="center"/>
    </xf>
    <xf numFmtId="0" fontId="30" fillId="6" borderId="0" xfId="3" applyFont="1" applyFill="1" applyAlignment="1">
      <alignment horizontal="left" vertical="center"/>
    </xf>
    <xf numFmtId="0" fontId="21" fillId="4" borderId="22" xfId="3" applyFont="1" applyFill="1" applyBorder="1" applyAlignment="1">
      <alignment horizontal="center" vertical="center" wrapText="1"/>
    </xf>
    <xf numFmtId="0" fontId="21" fillId="13" borderId="22" xfId="3" applyFont="1" applyFill="1" applyBorder="1" applyAlignment="1">
      <alignment horizontal="center" vertical="center"/>
    </xf>
    <xf numFmtId="0" fontId="21" fillId="14" borderId="22" xfId="3" applyFont="1" applyFill="1" applyBorder="1" applyAlignment="1">
      <alignment horizontal="center" vertical="center" wrapText="1"/>
    </xf>
    <xf numFmtId="0" fontId="21" fillId="13" borderId="22" xfId="3" applyFont="1" applyFill="1" applyBorder="1" applyAlignment="1">
      <alignment horizontal="center" vertical="center" wrapText="1"/>
    </xf>
  </cellXfs>
  <cellStyles count="57">
    <cellStyle name="Comma 2" xfId="4" xr:uid="{00000000-0005-0000-0000-000000000000}"/>
    <cellStyle name="Comma 2 2" xfId="15" xr:uid="{00000000-0005-0000-0000-000001000000}"/>
    <cellStyle name="Comma 2 2 2" xfId="31" xr:uid="{00000000-0005-0000-0000-000002000000}"/>
    <cellStyle name="Comma 2 2 3" xfId="46" xr:uid="{00000000-0005-0000-0000-000003000000}"/>
    <cellStyle name="Comma 2 3" xfId="21" xr:uid="{00000000-0005-0000-0000-000004000000}"/>
    <cellStyle name="Comma 2 3 2" xfId="36" xr:uid="{00000000-0005-0000-0000-000005000000}"/>
    <cellStyle name="Comma 2 3 3" xfId="51" xr:uid="{00000000-0005-0000-0000-000006000000}"/>
    <cellStyle name="Comma 2 4" xfId="27" xr:uid="{00000000-0005-0000-0000-000007000000}"/>
    <cellStyle name="Comma 2 5" xfId="42" xr:uid="{00000000-0005-0000-0000-000008000000}"/>
    <cellStyle name="Good" xfId="1" builtinId="26"/>
    <cellStyle name="Hyperlink" xfId="56" builtinId="8"/>
    <cellStyle name="Normal" xfId="0" builtinId="0"/>
    <cellStyle name="Normal 2" xfId="2" xr:uid="{00000000-0005-0000-0000-00000C000000}"/>
    <cellStyle name="Normal 2 10" xfId="3" xr:uid="{00000000-0005-0000-0000-00000D000000}"/>
    <cellStyle name="Normal 2 2" xfId="5" xr:uid="{00000000-0005-0000-0000-00000E000000}"/>
    <cellStyle name="Normal 2 3" xfId="6" xr:uid="{00000000-0005-0000-0000-00000F000000}"/>
    <cellStyle name="Normal 2 3 2" xfId="16" xr:uid="{00000000-0005-0000-0000-000010000000}"/>
    <cellStyle name="Normal 2 3 2 2" xfId="32" xr:uid="{00000000-0005-0000-0000-000011000000}"/>
    <cellStyle name="Normal 2 3 2 3" xfId="47" xr:uid="{00000000-0005-0000-0000-000012000000}"/>
    <cellStyle name="Normal 2 3 3" xfId="22" xr:uid="{00000000-0005-0000-0000-000013000000}"/>
    <cellStyle name="Normal 2 3 3 2" xfId="37" xr:uid="{00000000-0005-0000-0000-000014000000}"/>
    <cellStyle name="Normal 2 3 3 3" xfId="52" xr:uid="{00000000-0005-0000-0000-000015000000}"/>
    <cellStyle name="Normal 2 3 4" xfId="28" xr:uid="{00000000-0005-0000-0000-000016000000}"/>
    <cellStyle name="Normal 2 3 5" xfId="43" xr:uid="{00000000-0005-0000-0000-000017000000}"/>
    <cellStyle name="Normal 2 4" xfId="14" xr:uid="{00000000-0005-0000-0000-000018000000}"/>
    <cellStyle name="Normal 2 4 2" xfId="30" xr:uid="{00000000-0005-0000-0000-000019000000}"/>
    <cellStyle name="Normal 2 4 3" xfId="45" xr:uid="{00000000-0005-0000-0000-00001A000000}"/>
    <cellStyle name="Normal 2 5" xfId="19" xr:uid="{00000000-0005-0000-0000-00001B000000}"/>
    <cellStyle name="Normal 2 5 2" xfId="35" xr:uid="{00000000-0005-0000-0000-00001C000000}"/>
    <cellStyle name="Normal 2 5 3" xfId="50" xr:uid="{00000000-0005-0000-0000-00001D000000}"/>
    <cellStyle name="Normal 2 6" xfId="25" xr:uid="{00000000-0005-0000-0000-00001E000000}"/>
    <cellStyle name="Normal 2 6 2" xfId="40" xr:uid="{00000000-0005-0000-0000-00001F000000}"/>
    <cellStyle name="Normal 2 6 3" xfId="55" xr:uid="{00000000-0005-0000-0000-000020000000}"/>
    <cellStyle name="Normal 2 7" xfId="7" xr:uid="{00000000-0005-0000-0000-000021000000}"/>
    <cellStyle name="Normal 2 8" xfId="26" xr:uid="{00000000-0005-0000-0000-000022000000}"/>
    <cellStyle name="Normal 2 9" xfId="41" xr:uid="{00000000-0005-0000-0000-000023000000}"/>
    <cellStyle name="Normal 3" xfId="8" xr:uid="{00000000-0005-0000-0000-000024000000}"/>
    <cellStyle name="Normal 4" xfId="9" xr:uid="{00000000-0005-0000-0000-000025000000}"/>
    <cellStyle name="Normal 5" xfId="13" xr:uid="{00000000-0005-0000-0000-000026000000}"/>
    <cellStyle name="Normal 5 2" xfId="17" xr:uid="{00000000-0005-0000-0000-000027000000}"/>
    <cellStyle name="Normal 5 2 2" xfId="33" xr:uid="{00000000-0005-0000-0000-000028000000}"/>
    <cellStyle name="Normal 5 2 3" xfId="48" xr:uid="{00000000-0005-0000-0000-000029000000}"/>
    <cellStyle name="Normal 5 3" xfId="23" xr:uid="{00000000-0005-0000-0000-00002A000000}"/>
    <cellStyle name="Normal 5 3 2" xfId="38" xr:uid="{00000000-0005-0000-0000-00002B000000}"/>
    <cellStyle name="Normal 5 3 3" xfId="53" xr:uid="{00000000-0005-0000-0000-00002C000000}"/>
    <cellStyle name="Normal 5 4" xfId="29" xr:uid="{00000000-0005-0000-0000-00002D000000}"/>
    <cellStyle name="Normal 5 5" xfId="44" xr:uid="{00000000-0005-0000-0000-00002E000000}"/>
    <cellStyle name="Normal 6" xfId="10" xr:uid="{00000000-0005-0000-0000-00002F000000}"/>
    <cellStyle name="Normal 7" xfId="20" xr:uid="{00000000-0005-0000-0000-000030000000}"/>
    <cellStyle name="Normal 8" xfId="18" xr:uid="{00000000-0005-0000-0000-000031000000}"/>
    <cellStyle name="Normal 8 2" xfId="34" xr:uid="{00000000-0005-0000-0000-000032000000}"/>
    <cellStyle name="Normal 8 3" xfId="49" xr:uid="{00000000-0005-0000-0000-000033000000}"/>
    <cellStyle name="Normal 9" xfId="24" xr:uid="{00000000-0005-0000-0000-000034000000}"/>
    <cellStyle name="Normal 9 2" xfId="39" xr:uid="{00000000-0005-0000-0000-000035000000}"/>
    <cellStyle name="Normal 9 3" xfId="54" xr:uid="{00000000-0005-0000-0000-000036000000}"/>
    <cellStyle name="Percent 2" xfId="11" xr:uid="{00000000-0005-0000-0000-000037000000}"/>
    <cellStyle name="Percent 3" xfId="12" xr:uid="{00000000-0005-0000-0000-000038000000}"/>
  </cellStyles>
  <dxfs count="108">
    <dxf>
      <font>
        <b/>
        <i val="0"/>
        <color rgb="FFFF0000"/>
      </font>
    </dxf>
    <dxf>
      <font>
        <b/>
        <i val="0"/>
        <color rgb="FF00B0F0"/>
      </font>
    </dxf>
    <dxf>
      <font>
        <b/>
        <i val="0"/>
        <color rgb="FFFF0000"/>
      </font>
    </dxf>
    <dxf>
      <font>
        <b/>
        <i val="0"/>
        <color rgb="FF00B0F0"/>
      </font>
    </dxf>
    <dxf>
      <font>
        <color theme="1"/>
      </font>
    </dxf>
    <dxf>
      <font>
        <b/>
        <i val="0"/>
        <color rgb="FFFF0000"/>
      </font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FFC000"/>
        </patternFill>
      </fill>
    </dxf>
    <dxf>
      <font>
        <b/>
        <i val="0"/>
      </font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FFC000"/>
        </patternFill>
      </fill>
    </dxf>
    <dxf>
      <fill>
        <patternFill patternType="darkGrid"/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darkGrid"/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strike val="0"/>
        <outline val="0"/>
        <shadow val="0"/>
        <u val="none"/>
        <vertAlign val="baseline"/>
        <sz val="10"/>
        <name val="Arial"/>
        <family val="2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</border>
    </dxf>
    <dxf>
      <font>
        <strike val="0"/>
        <outline val="0"/>
        <shadow val="0"/>
        <u val="none"/>
        <vertAlign val="baseline"/>
        <sz val="10"/>
        <name val="Arial"/>
        <family val="2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name val="Arial"/>
        <family val="2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</border>
    </dxf>
    <dxf>
      <border outline="0">
        <top style="thin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sz val="1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border outline="0">
        <bottom style="double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solid">
          <fgColor indexed="64"/>
          <bgColor theme="0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solid">
          <fgColor indexed="64"/>
          <bgColor theme="0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top style="thin">
          <color auto="1"/>
        </top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0" formatCode="General"/>
      <fill>
        <patternFill patternType="solid">
          <fgColor indexed="64"/>
          <bgColor theme="9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0" formatCode="General"/>
      <fill>
        <patternFill patternType="solid">
          <fgColor indexed="64"/>
          <bgColor theme="9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auto="1"/>
        </top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solid">
          <fgColor indexed="64"/>
          <bgColor theme="9" tint="0.79998168889431442"/>
        </patternFill>
      </fill>
    </dxf>
    <dxf>
      <border outline="0"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indexed="64"/>
          <bgColor theme="0" tint="-0.249977111117893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1" formatCode="0"/>
      <fill>
        <patternFill patternType="solid">
          <fgColor indexed="64"/>
          <bgColor rgb="FFFFFFCC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1" formatCode="0"/>
      <fill>
        <patternFill patternType="solid">
          <fgColor indexed="64"/>
          <bgColor rgb="FFFFFFCC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left style="thin">
          <color auto="1"/>
        </left>
        <right style="thin">
          <color auto="1"/>
        </right>
        <top style="thin">
          <color indexed="64"/>
        </top>
        <bottom style="thin">
          <color auto="1"/>
        </bottom>
      </border>
    </dxf>
    <dxf>
      <border outline="0">
        <bottom style="double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7" formatCode="0.000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7" formatCode="0.0000"/>
      <fill>
        <patternFill patternType="solid">
          <fgColor indexed="64"/>
          <bgColor rgb="FFFFFFCC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medium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7" formatCode="0.0000"/>
      <fill>
        <patternFill patternType="solid">
          <fgColor indexed="64"/>
          <bgColor rgb="FFFFFFCC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auto="1"/>
        </top>
        <bottom/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double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7" formatCode="0.000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7" formatCode="0.0000"/>
      <fill>
        <patternFill patternType="solid">
          <fgColor indexed="64"/>
          <bgColor rgb="FFFFFFCC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medium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7" formatCode="0.0000"/>
      <fill>
        <patternFill patternType="solid">
          <fgColor indexed="64"/>
          <bgColor rgb="FFFFFFCC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auto="1"/>
        </top>
        <bottom/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7" formatCode="0.000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7" formatCode="0.0000"/>
      <fill>
        <patternFill patternType="solid">
          <fgColor indexed="64"/>
          <bgColor rgb="FFFFFFCC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medium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7" formatCode="0.0000"/>
      <fill>
        <patternFill patternType="solid">
          <fgColor indexed="64"/>
          <bgColor rgb="FFFFFFCC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auto="1"/>
        </top>
        <bottom/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double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double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7" formatCode="0.000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167" formatCode="0.000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double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7" formatCode="0.000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167" formatCode="0.000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double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7" formatCode="0.000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167" formatCode="0.000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double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</dxf>
  </dxfs>
  <tableStyles count="0" defaultTableStyle="TableStyleMedium9" defaultPivotStyle="PivotStyleLight16"/>
  <colors>
    <mruColors>
      <color rgb="FFFFFFCC"/>
      <color rgb="FFFFE699"/>
      <color rgb="FFFFCC66"/>
      <color rgb="FFFFFF7D"/>
      <color rgb="FF512D6D"/>
      <color rgb="FF00A3E0"/>
      <color rgb="FFFFFF99"/>
      <color rgb="FFFF7D7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eetMetadata" Target="metadata.xml"/><Relationship Id="rId27" Type="http://schemas.microsoft.com/office/2023/09/relationships/Python" Target="pytho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000">
                <a:latin typeface="Arial" panose="020B0604020202020204" pitchFamily="34" charset="0"/>
                <a:cs typeface="Arial" panose="020B0604020202020204" pitchFamily="34" charset="0"/>
              </a:rPr>
              <a:t>Curva de</a:t>
            </a:r>
            <a:r>
              <a:rPr lang="pt-BR" sz="1000" baseline="0">
                <a:latin typeface="Arial" panose="020B0604020202020204" pitchFamily="34" charset="0"/>
                <a:cs typeface="Arial" panose="020B0604020202020204" pitchFamily="34" charset="0"/>
              </a:rPr>
              <a:t> Lançamento</a:t>
            </a:r>
            <a:endParaRPr lang="pt-BR" sz="1000">
              <a:latin typeface="Arial" panose="020B0604020202020204" pitchFamily="34" charset="0"/>
              <a:cs typeface="Arial" panose="020B0604020202020204" pitchFamily="34" charset="0"/>
            </a:endParaRPr>
          </a:p>
        </c:rich>
      </c:tx>
      <c:layout>
        <c:manualLayout>
          <c:xMode val="edge"/>
          <c:yMode val="edge"/>
          <c:x val="0.33048963128846587"/>
          <c:y val="7.5680414396193611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5.497323250660905E-2"/>
          <c:y val="0.14486416598372129"/>
          <c:w val="0.91650267136649111"/>
          <c:h val="0.63090917420451709"/>
        </c:manualLayout>
      </c:layout>
      <c:scatterChart>
        <c:scatterStyle val="lineMarker"/>
        <c:varyColors val="0"/>
        <c:ser>
          <c:idx val="0"/>
          <c:order val="0"/>
          <c:tx>
            <c:v>Original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tint val="77000"/>
                </a:schemeClr>
              </a:solidFill>
              <a:ln w="9525">
                <a:solidFill>
                  <a:schemeClr val="accent4">
                    <a:tint val="77000"/>
                  </a:schemeClr>
                </a:solidFill>
              </a:ln>
              <a:effectLst/>
            </c:spPr>
          </c:marker>
          <c:xVal>
            <c:numRef>
              <c:f>'Bending Stiffness'!$B$18:$B$1267</c:f>
              <c:numCache>
                <c:formatCode>0.0000</c:formatCode>
                <c:ptCount val="1250"/>
                <c:pt idx="0">
                  <c:v>0</c:v>
                </c:pt>
                <c:pt idx="1">
                  <c:v>8.6705850000000004E-4</c:v>
                </c:pt>
                <c:pt idx="2">
                  <c:v>1.7341170000000001E-3</c:v>
                </c:pt>
                <c:pt idx="3">
                  <c:v>2.6011749999999998E-3</c:v>
                </c:pt>
                <c:pt idx="4">
                  <c:v>3.4682340000000002E-3</c:v>
                </c:pt>
                <c:pt idx="5">
                  <c:v>4.3352920000000001E-3</c:v>
                </c:pt>
                <c:pt idx="6">
                  <c:v>5.202351E-3</c:v>
                </c:pt>
                <c:pt idx="7">
                  <c:v>6.0694089999999996E-3</c:v>
                </c:pt>
                <c:pt idx="8">
                  <c:v>6.9364680000000003E-3</c:v>
                </c:pt>
                <c:pt idx="9">
                  <c:v>7.8035259999999999E-3</c:v>
                </c:pt>
                <c:pt idx="10">
                  <c:v>8.6705849999999998E-3</c:v>
                </c:pt>
                <c:pt idx="11">
                  <c:v>9.5376430000000002E-3</c:v>
                </c:pt>
                <c:pt idx="12">
                  <c:v>1.0404699999999999E-2</c:v>
                </c:pt>
                <c:pt idx="13">
                  <c:v>1.127176E-2</c:v>
                </c:pt>
                <c:pt idx="14">
                  <c:v>1.213882E-2</c:v>
                </c:pt>
                <c:pt idx="15">
                  <c:v>1.3005879999999999E-2</c:v>
                </c:pt>
                <c:pt idx="16">
                  <c:v>1.387294E-2</c:v>
                </c:pt>
                <c:pt idx="17">
                  <c:v>1.473999E-2</c:v>
                </c:pt>
                <c:pt idx="18">
                  <c:v>1.5607050000000001E-2</c:v>
                </c:pt>
                <c:pt idx="19">
                  <c:v>1.647411E-2</c:v>
                </c:pt>
                <c:pt idx="20">
                  <c:v>1.734117E-2</c:v>
                </c:pt>
                <c:pt idx="21">
                  <c:v>1.8208229999999999E-2</c:v>
                </c:pt>
                <c:pt idx="22">
                  <c:v>1.9075290000000002E-2</c:v>
                </c:pt>
                <c:pt idx="23">
                  <c:v>1.9942350000000001E-2</c:v>
                </c:pt>
                <c:pt idx="24">
                  <c:v>2.0809399999999999E-2</c:v>
                </c:pt>
                <c:pt idx="25">
                  <c:v>2.1676460000000002E-2</c:v>
                </c:pt>
                <c:pt idx="26">
                  <c:v>2.2543520000000001E-2</c:v>
                </c:pt>
                <c:pt idx="27">
                  <c:v>2.341058E-2</c:v>
                </c:pt>
                <c:pt idx="28">
                  <c:v>2.427764E-2</c:v>
                </c:pt>
                <c:pt idx="29">
                  <c:v>2.5144699999999999E-2</c:v>
                </c:pt>
                <c:pt idx="30">
                  <c:v>2.601175E-2</c:v>
                </c:pt>
                <c:pt idx="31">
                  <c:v>2.687881E-2</c:v>
                </c:pt>
                <c:pt idx="32">
                  <c:v>2.7745869999999999E-2</c:v>
                </c:pt>
                <c:pt idx="33">
                  <c:v>2.8612930000000002E-2</c:v>
                </c:pt>
                <c:pt idx="34">
                  <c:v>2.9479990000000001E-2</c:v>
                </c:pt>
                <c:pt idx="35">
                  <c:v>3.034705E-2</c:v>
                </c:pt>
                <c:pt idx="36">
                  <c:v>3.121411E-2</c:v>
                </c:pt>
                <c:pt idx="37">
                  <c:v>3.2081159999999997E-2</c:v>
                </c:pt>
                <c:pt idx="38">
                  <c:v>3.294822E-2</c:v>
                </c:pt>
                <c:pt idx="39">
                  <c:v>3.3815280000000003E-2</c:v>
                </c:pt>
                <c:pt idx="40">
                  <c:v>3.4682339999999999E-2</c:v>
                </c:pt>
                <c:pt idx="41">
                  <c:v>3.5549400000000002E-2</c:v>
                </c:pt>
                <c:pt idx="42">
                  <c:v>3.6416459999999998E-2</c:v>
                </c:pt>
                <c:pt idx="43">
                  <c:v>3.7283520000000001E-2</c:v>
                </c:pt>
                <c:pt idx="44">
                  <c:v>3.8150570000000002E-2</c:v>
                </c:pt>
                <c:pt idx="45">
                  <c:v>3.9017629999999998E-2</c:v>
                </c:pt>
                <c:pt idx="46">
                  <c:v>3.988469E-2</c:v>
                </c:pt>
                <c:pt idx="47">
                  <c:v>4.0751750000000003E-2</c:v>
                </c:pt>
                <c:pt idx="48">
                  <c:v>4.1618809999999999E-2</c:v>
                </c:pt>
                <c:pt idx="49">
                  <c:v>4.2485870000000002E-2</c:v>
                </c:pt>
                <c:pt idx="50">
                  <c:v>4.3352920000000003E-2</c:v>
                </c:pt>
                <c:pt idx="51">
                  <c:v>4.4219979999999999E-2</c:v>
                </c:pt>
                <c:pt idx="52">
                  <c:v>4.5087040000000002E-2</c:v>
                </c:pt>
                <c:pt idx="53">
                  <c:v>4.5954099999999998E-2</c:v>
                </c:pt>
                <c:pt idx="54">
                  <c:v>4.6821160000000001E-2</c:v>
                </c:pt>
                <c:pt idx="55">
                  <c:v>4.7688220000000003E-2</c:v>
                </c:pt>
                <c:pt idx="56">
                  <c:v>4.8555279999999999E-2</c:v>
                </c:pt>
                <c:pt idx="57">
                  <c:v>4.942233E-2</c:v>
                </c:pt>
                <c:pt idx="58">
                  <c:v>5.0289390000000003E-2</c:v>
                </c:pt>
                <c:pt idx="59">
                  <c:v>5.1156449999999999E-2</c:v>
                </c:pt>
                <c:pt idx="60">
                  <c:v>5.2023510000000002E-2</c:v>
                </c:pt>
                <c:pt idx="61">
                  <c:v>5.2890569999999998E-2</c:v>
                </c:pt>
                <c:pt idx="62">
                  <c:v>5.3757630000000001E-2</c:v>
                </c:pt>
                <c:pt idx="63">
                  <c:v>5.4624689999999997E-2</c:v>
                </c:pt>
                <c:pt idx="64">
                  <c:v>5.5491739999999998E-2</c:v>
                </c:pt>
                <c:pt idx="65">
                  <c:v>5.6358800000000001E-2</c:v>
                </c:pt>
                <c:pt idx="66">
                  <c:v>5.7225860000000003E-2</c:v>
                </c:pt>
                <c:pt idx="67">
                  <c:v>5.8092919999999999E-2</c:v>
                </c:pt>
                <c:pt idx="68">
                  <c:v>5.8959980000000002E-2</c:v>
                </c:pt>
                <c:pt idx="69">
                  <c:v>5.9827039999999998E-2</c:v>
                </c:pt>
                <c:pt idx="70">
                  <c:v>6.0694089999999999E-2</c:v>
                </c:pt>
                <c:pt idx="71">
                  <c:v>6.1561150000000002E-2</c:v>
                </c:pt>
                <c:pt idx="72">
                  <c:v>6.2428209999999998E-2</c:v>
                </c:pt>
                <c:pt idx="73">
                  <c:v>6.3295270000000001E-2</c:v>
                </c:pt>
                <c:pt idx="74">
                  <c:v>6.4162330000000004E-2</c:v>
                </c:pt>
                <c:pt idx="75">
                  <c:v>6.5029390000000006E-2</c:v>
                </c:pt>
                <c:pt idx="76">
                  <c:v>6.5896449999999995E-2</c:v>
                </c:pt>
                <c:pt idx="77">
                  <c:v>6.6763500000000003E-2</c:v>
                </c:pt>
                <c:pt idx="78">
                  <c:v>6.7630560000000006E-2</c:v>
                </c:pt>
                <c:pt idx="79">
                  <c:v>6.8497619999999995E-2</c:v>
                </c:pt>
                <c:pt idx="80">
                  <c:v>6.9364679999999998E-2</c:v>
                </c:pt>
                <c:pt idx="81">
                  <c:v>7.0231740000000001E-2</c:v>
                </c:pt>
                <c:pt idx="82">
                  <c:v>7.1098800000000004E-2</c:v>
                </c:pt>
                <c:pt idx="83">
                  <c:v>7.1965860000000006E-2</c:v>
                </c:pt>
                <c:pt idx="84">
                  <c:v>7.2832910000000001E-2</c:v>
                </c:pt>
                <c:pt idx="85">
                  <c:v>7.3699970000000004E-2</c:v>
                </c:pt>
                <c:pt idx="86">
                  <c:v>7.4567030000000006E-2</c:v>
                </c:pt>
                <c:pt idx="87">
                  <c:v>7.5434089999999995E-2</c:v>
                </c:pt>
                <c:pt idx="88">
                  <c:v>7.6301149999999998E-2</c:v>
                </c:pt>
                <c:pt idx="89">
                  <c:v>7.7168210000000001E-2</c:v>
                </c:pt>
                <c:pt idx="90">
                  <c:v>7.8035259999999995E-2</c:v>
                </c:pt>
                <c:pt idx="91">
                  <c:v>7.8902319999999998E-2</c:v>
                </c:pt>
                <c:pt idx="92">
                  <c:v>7.9769380000000001E-2</c:v>
                </c:pt>
                <c:pt idx="93">
                  <c:v>8.0636440000000004E-2</c:v>
                </c:pt>
                <c:pt idx="94">
                  <c:v>8.1503500000000006E-2</c:v>
                </c:pt>
                <c:pt idx="95">
                  <c:v>8.2370559999999995E-2</c:v>
                </c:pt>
                <c:pt idx="96">
                  <c:v>8.3237619999999998E-2</c:v>
                </c:pt>
                <c:pt idx="97">
                  <c:v>8.4104670000000006E-2</c:v>
                </c:pt>
                <c:pt idx="98">
                  <c:v>8.4971729999999995E-2</c:v>
                </c:pt>
                <c:pt idx="99">
                  <c:v>8.5838789999999998E-2</c:v>
                </c:pt>
                <c:pt idx="100">
                  <c:v>8.6705850000000001E-2</c:v>
                </c:pt>
                <c:pt idx="101">
                  <c:v>8.7572910000000004E-2</c:v>
                </c:pt>
                <c:pt idx="102">
                  <c:v>8.8439970000000007E-2</c:v>
                </c:pt>
                <c:pt idx="103">
                  <c:v>8.9307029999999996E-2</c:v>
                </c:pt>
                <c:pt idx="104">
                  <c:v>9.0174080000000004E-2</c:v>
                </c:pt>
                <c:pt idx="105">
                  <c:v>9.1041140000000007E-2</c:v>
                </c:pt>
                <c:pt idx="106">
                  <c:v>9.1908199999999995E-2</c:v>
                </c:pt>
                <c:pt idx="107">
                  <c:v>9.2775259999999998E-2</c:v>
                </c:pt>
                <c:pt idx="108">
                  <c:v>9.3642320000000001E-2</c:v>
                </c:pt>
                <c:pt idx="109">
                  <c:v>9.4509380000000004E-2</c:v>
                </c:pt>
                <c:pt idx="110">
                  <c:v>9.5376429999999998E-2</c:v>
                </c:pt>
                <c:pt idx="111">
                  <c:v>9.6243490000000001E-2</c:v>
                </c:pt>
                <c:pt idx="112">
                  <c:v>9.7110550000000004E-2</c:v>
                </c:pt>
                <c:pt idx="113">
                  <c:v>9.7977610000000007E-2</c:v>
                </c:pt>
                <c:pt idx="114">
                  <c:v>9.8844669999999996E-2</c:v>
                </c:pt>
                <c:pt idx="115">
                  <c:v>9.9711729999999998E-2</c:v>
                </c:pt>
                <c:pt idx="116">
                  <c:v>0.1005788</c:v>
                </c:pt>
                <c:pt idx="117">
                  <c:v>0.1014458</c:v>
                </c:pt>
                <c:pt idx="118">
                  <c:v>0.1023129</c:v>
                </c:pt>
                <c:pt idx="119">
                  <c:v>0.10317999999999999</c:v>
                </c:pt>
                <c:pt idx="120">
                  <c:v>0.104047</c:v>
                </c:pt>
                <c:pt idx="121">
                  <c:v>0.1049141</c:v>
                </c:pt>
                <c:pt idx="122">
                  <c:v>0.1057811</c:v>
                </c:pt>
                <c:pt idx="123">
                  <c:v>0.1066482</c:v>
                </c:pt>
                <c:pt idx="124">
                  <c:v>0.10751529999999999</c:v>
                </c:pt>
                <c:pt idx="125">
                  <c:v>0.1083823</c:v>
                </c:pt>
                <c:pt idx="126">
                  <c:v>0.1092494</c:v>
                </c:pt>
                <c:pt idx="127">
                  <c:v>0.1101164</c:v>
                </c:pt>
                <c:pt idx="128">
                  <c:v>0.1109835</c:v>
                </c:pt>
                <c:pt idx="129">
                  <c:v>0.11185050000000001</c:v>
                </c:pt>
                <c:pt idx="130">
                  <c:v>0.1127176</c:v>
                </c:pt>
                <c:pt idx="131">
                  <c:v>0.1135847</c:v>
                </c:pt>
                <c:pt idx="132">
                  <c:v>0.1144517</c:v>
                </c:pt>
                <c:pt idx="133">
                  <c:v>0.1153188</c:v>
                </c:pt>
                <c:pt idx="134">
                  <c:v>0.11618580000000001</c:v>
                </c:pt>
                <c:pt idx="135">
                  <c:v>0.1170529</c:v>
                </c:pt>
                <c:pt idx="136">
                  <c:v>0.11792</c:v>
                </c:pt>
                <c:pt idx="137">
                  <c:v>0.118787</c:v>
                </c:pt>
                <c:pt idx="138">
                  <c:v>0.1196541</c:v>
                </c:pt>
                <c:pt idx="139">
                  <c:v>0.12052110000000001</c:v>
                </c:pt>
                <c:pt idx="140">
                  <c:v>0.1213882</c:v>
                </c:pt>
                <c:pt idx="141">
                  <c:v>0.12225519999999999</c:v>
                </c:pt>
                <c:pt idx="142">
                  <c:v>0.1231223</c:v>
                </c:pt>
                <c:pt idx="143">
                  <c:v>0.1239894</c:v>
                </c:pt>
                <c:pt idx="144">
                  <c:v>0.12485640000000001</c:v>
                </c:pt>
                <c:pt idx="145">
                  <c:v>0.12572349999999999</c:v>
                </c:pt>
                <c:pt idx="146">
                  <c:v>0.12659049999999999</c:v>
                </c:pt>
                <c:pt idx="147">
                  <c:v>0.1274576</c:v>
                </c:pt>
                <c:pt idx="148">
                  <c:v>0.12832470000000001</c:v>
                </c:pt>
                <c:pt idx="149">
                  <c:v>0.12919169999999999</c:v>
                </c:pt>
                <c:pt idx="150">
                  <c:v>0.1300588</c:v>
                </c:pt>
                <c:pt idx="151">
                  <c:v>0.13092580000000001</c:v>
                </c:pt>
                <c:pt idx="152">
                  <c:v>0.13179289999999999</c:v>
                </c:pt>
                <c:pt idx="153">
                  <c:v>0.13266</c:v>
                </c:pt>
                <c:pt idx="154">
                  <c:v>0.13352700000000001</c:v>
                </c:pt>
                <c:pt idx="155">
                  <c:v>0.13439409999999999</c:v>
                </c:pt>
                <c:pt idx="156">
                  <c:v>0.1352611</c:v>
                </c:pt>
                <c:pt idx="157">
                  <c:v>0.1361282</c:v>
                </c:pt>
                <c:pt idx="158">
                  <c:v>0.13699520000000001</c:v>
                </c:pt>
                <c:pt idx="159">
                  <c:v>0.13786229999999999</c:v>
                </c:pt>
                <c:pt idx="160">
                  <c:v>0.1387294</c:v>
                </c:pt>
                <c:pt idx="161">
                  <c:v>0.13959640000000001</c:v>
                </c:pt>
                <c:pt idx="162">
                  <c:v>0.14046349999999999</c:v>
                </c:pt>
                <c:pt idx="163">
                  <c:v>0.1413305</c:v>
                </c:pt>
                <c:pt idx="164">
                  <c:v>0.14219760000000001</c:v>
                </c:pt>
                <c:pt idx="165">
                  <c:v>0.14306469999999999</c:v>
                </c:pt>
                <c:pt idx="166">
                  <c:v>0.1439317</c:v>
                </c:pt>
                <c:pt idx="167">
                  <c:v>0.14479880000000001</c:v>
                </c:pt>
                <c:pt idx="168">
                  <c:v>0.14566580000000001</c:v>
                </c:pt>
                <c:pt idx="169">
                  <c:v>0.14653289999999999</c:v>
                </c:pt>
                <c:pt idx="170">
                  <c:v>0.1473999</c:v>
                </c:pt>
                <c:pt idx="171">
                  <c:v>0.14826700000000001</c:v>
                </c:pt>
                <c:pt idx="172">
                  <c:v>0.14913409999999999</c:v>
                </c:pt>
                <c:pt idx="173">
                  <c:v>0.1500011</c:v>
                </c:pt>
                <c:pt idx="174">
                  <c:v>0.15086820000000001</c:v>
                </c:pt>
                <c:pt idx="175">
                  <c:v>0.15173519999999999</c:v>
                </c:pt>
                <c:pt idx="176">
                  <c:v>0.1526023</c:v>
                </c:pt>
                <c:pt idx="177">
                  <c:v>0.15346940000000001</c:v>
                </c:pt>
                <c:pt idx="178">
                  <c:v>0.15433640000000001</c:v>
                </c:pt>
                <c:pt idx="179">
                  <c:v>0.15520349999999999</c:v>
                </c:pt>
                <c:pt idx="180">
                  <c:v>0.1560705</c:v>
                </c:pt>
                <c:pt idx="181">
                  <c:v>0.15693760000000001</c:v>
                </c:pt>
                <c:pt idx="182">
                  <c:v>0.15780459999999999</c:v>
                </c:pt>
                <c:pt idx="183">
                  <c:v>0.1586717</c:v>
                </c:pt>
                <c:pt idx="184">
                  <c:v>0.15953880000000001</c:v>
                </c:pt>
                <c:pt idx="185">
                  <c:v>0.16040579999999999</c:v>
                </c:pt>
                <c:pt idx="186">
                  <c:v>0.1612729</c:v>
                </c:pt>
                <c:pt idx="187">
                  <c:v>0.1621399</c:v>
                </c:pt>
                <c:pt idx="188">
                  <c:v>0.16300700000000001</c:v>
                </c:pt>
                <c:pt idx="189">
                  <c:v>0.16387409999999999</c:v>
                </c:pt>
                <c:pt idx="190">
                  <c:v>0.1647411</c:v>
                </c:pt>
                <c:pt idx="191">
                  <c:v>0.16560820000000001</c:v>
                </c:pt>
                <c:pt idx="192">
                  <c:v>0.16647519999999999</c:v>
                </c:pt>
                <c:pt idx="193">
                  <c:v>0.1673423</c:v>
                </c:pt>
                <c:pt idx="194">
                  <c:v>0.16820930000000001</c:v>
                </c:pt>
                <c:pt idx="195">
                  <c:v>0.16907639999999999</c:v>
                </c:pt>
                <c:pt idx="196">
                  <c:v>0.1699435</c:v>
                </c:pt>
                <c:pt idx="197">
                  <c:v>0.1708105</c:v>
                </c:pt>
                <c:pt idx="198">
                  <c:v>0.17167760000000001</c:v>
                </c:pt>
                <c:pt idx="199">
                  <c:v>0.17254459999999999</c:v>
                </c:pt>
                <c:pt idx="200">
                  <c:v>0.1734117</c:v>
                </c:pt>
                <c:pt idx="201">
                  <c:v>0.17427880000000001</c:v>
                </c:pt>
                <c:pt idx="202">
                  <c:v>0.17514579999999999</c:v>
                </c:pt>
                <c:pt idx="203">
                  <c:v>0.1760129</c:v>
                </c:pt>
                <c:pt idx="204">
                  <c:v>0.17687990000000001</c:v>
                </c:pt>
                <c:pt idx="205">
                  <c:v>0.17774699999999999</c:v>
                </c:pt>
                <c:pt idx="206">
                  <c:v>0.1786141</c:v>
                </c:pt>
                <c:pt idx="207">
                  <c:v>0.1794811</c:v>
                </c:pt>
                <c:pt idx="208">
                  <c:v>0.18034819999999999</c:v>
                </c:pt>
                <c:pt idx="209">
                  <c:v>0.18121519999999999</c:v>
                </c:pt>
                <c:pt idx="210">
                  <c:v>0.1820823</c:v>
                </c:pt>
                <c:pt idx="211">
                  <c:v>0.18294930000000001</c:v>
                </c:pt>
                <c:pt idx="212">
                  <c:v>0.18381639999999999</c:v>
                </c:pt>
                <c:pt idx="213">
                  <c:v>0.1846835</c:v>
                </c:pt>
                <c:pt idx="214">
                  <c:v>0.18555050000000001</c:v>
                </c:pt>
                <c:pt idx="215">
                  <c:v>0.18641759999999999</c:v>
                </c:pt>
                <c:pt idx="216">
                  <c:v>0.1872846</c:v>
                </c:pt>
                <c:pt idx="217">
                  <c:v>0.18815170000000001</c:v>
                </c:pt>
                <c:pt idx="218">
                  <c:v>0.18901879999999999</c:v>
                </c:pt>
                <c:pt idx="219">
                  <c:v>0.18988579999999999</c:v>
                </c:pt>
                <c:pt idx="220">
                  <c:v>0.1907529</c:v>
                </c:pt>
                <c:pt idx="221">
                  <c:v>0.19161990000000001</c:v>
                </c:pt>
                <c:pt idx="222">
                  <c:v>0.19248699999999999</c:v>
                </c:pt>
                <c:pt idx="223">
                  <c:v>0.193354</c:v>
                </c:pt>
                <c:pt idx="224">
                  <c:v>0.19422110000000001</c:v>
                </c:pt>
                <c:pt idx="225">
                  <c:v>0.19508819999999999</c:v>
                </c:pt>
                <c:pt idx="226">
                  <c:v>0.1959552</c:v>
                </c:pt>
                <c:pt idx="227">
                  <c:v>0.19682230000000001</c:v>
                </c:pt>
                <c:pt idx="228">
                  <c:v>0.19768930000000001</c:v>
                </c:pt>
                <c:pt idx="229">
                  <c:v>0.19855639999999999</c:v>
                </c:pt>
                <c:pt idx="230">
                  <c:v>0.1994235</c:v>
                </c:pt>
                <c:pt idx="231">
                  <c:v>0.20029050000000001</c:v>
                </c:pt>
                <c:pt idx="232">
                  <c:v>0.20115759999999999</c:v>
                </c:pt>
                <c:pt idx="233">
                  <c:v>0.2020246</c:v>
                </c:pt>
                <c:pt idx="234">
                  <c:v>0.20289170000000001</c:v>
                </c:pt>
                <c:pt idx="235">
                  <c:v>0.20375869999999999</c:v>
                </c:pt>
                <c:pt idx="236">
                  <c:v>0.2046258</c:v>
                </c:pt>
                <c:pt idx="237">
                  <c:v>0.20549290000000001</c:v>
                </c:pt>
                <c:pt idx="238">
                  <c:v>0.20635990000000001</c:v>
                </c:pt>
                <c:pt idx="239">
                  <c:v>0.20722699999999999</c:v>
                </c:pt>
                <c:pt idx="240">
                  <c:v>0.208094</c:v>
                </c:pt>
                <c:pt idx="241">
                  <c:v>0.20896110000000001</c:v>
                </c:pt>
                <c:pt idx="242">
                  <c:v>0.20982819999999999</c:v>
                </c:pt>
                <c:pt idx="243">
                  <c:v>0.2106952</c:v>
                </c:pt>
                <c:pt idx="244">
                  <c:v>0.21156230000000001</c:v>
                </c:pt>
                <c:pt idx="245">
                  <c:v>0.21242929999999999</c:v>
                </c:pt>
                <c:pt idx="246">
                  <c:v>0.2132964</c:v>
                </c:pt>
                <c:pt idx="247">
                  <c:v>0.2141634</c:v>
                </c:pt>
                <c:pt idx="248">
                  <c:v>0.21503050000000001</c:v>
                </c:pt>
                <c:pt idx="249">
                  <c:v>0.2158976</c:v>
                </c:pt>
                <c:pt idx="250">
                  <c:v>0.2167646</c:v>
                </c:pt>
                <c:pt idx="251">
                  <c:v>0.21763170000000001</c:v>
                </c:pt>
                <c:pt idx="252">
                  <c:v>0.21849869999999999</c:v>
                </c:pt>
                <c:pt idx="253">
                  <c:v>0.2193658</c:v>
                </c:pt>
                <c:pt idx="254">
                  <c:v>0.22023290000000001</c:v>
                </c:pt>
                <c:pt idx="255">
                  <c:v>0.22109989999999999</c:v>
                </c:pt>
                <c:pt idx="256">
                  <c:v>0.221967</c:v>
                </c:pt>
                <c:pt idx="257">
                  <c:v>0.222834</c:v>
                </c:pt>
                <c:pt idx="258">
                  <c:v>0.22370110000000001</c:v>
                </c:pt>
                <c:pt idx="259">
                  <c:v>0.2245682</c:v>
                </c:pt>
                <c:pt idx="260">
                  <c:v>0.2254352</c:v>
                </c:pt>
                <c:pt idx="261">
                  <c:v>0.22630230000000001</c:v>
                </c:pt>
                <c:pt idx="262">
                  <c:v>0.22716929999999999</c:v>
                </c:pt>
                <c:pt idx="263">
                  <c:v>0.2280364</c:v>
                </c:pt>
                <c:pt idx="264">
                  <c:v>0.22890340000000001</c:v>
                </c:pt>
                <c:pt idx="265">
                  <c:v>0.22977049999999999</c:v>
                </c:pt>
                <c:pt idx="266">
                  <c:v>0.2306376</c:v>
                </c:pt>
                <c:pt idx="267">
                  <c:v>0.2315046</c:v>
                </c:pt>
                <c:pt idx="268">
                  <c:v>0.23237169999999999</c:v>
                </c:pt>
                <c:pt idx="269">
                  <c:v>0.23323869999999999</c:v>
                </c:pt>
                <c:pt idx="270">
                  <c:v>0.2341058</c:v>
                </c:pt>
                <c:pt idx="271">
                  <c:v>0.23497290000000001</c:v>
                </c:pt>
                <c:pt idx="272">
                  <c:v>0.23583989999999999</c:v>
                </c:pt>
                <c:pt idx="273">
                  <c:v>0.236707</c:v>
                </c:pt>
                <c:pt idx="274">
                  <c:v>0.23757400000000001</c:v>
                </c:pt>
                <c:pt idx="275">
                  <c:v>0.23844109999999999</c:v>
                </c:pt>
                <c:pt idx="276">
                  <c:v>0.2393081</c:v>
                </c:pt>
                <c:pt idx="277">
                  <c:v>0.24017520000000001</c:v>
                </c:pt>
                <c:pt idx="278">
                  <c:v>0.24104229999999999</c:v>
                </c:pt>
                <c:pt idx="279">
                  <c:v>0.24190929999999999</c:v>
                </c:pt>
                <c:pt idx="280">
                  <c:v>0.2427764</c:v>
                </c:pt>
                <c:pt idx="281">
                  <c:v>0.24364340000000001</c:v>
                </c:pt>
                <c:pt idx="282">
                  <c:v>0.24451049999999999</c:v>
                </c:pt>
                <c:pt idx="283">
                  <c:v>0.2453776</c:v>
                </c:pt>
                <c:pt idx="284">
                  <c:v>0.24624460000000001</c:v>
                </c:pt>
                <c:pt idx="285">
                  <c:v>0.24711169999999999</c:v>
                </c:pt>
                <c:pt idx="286">
                  <c:v>0.2479787</c:v>
                </c:pt>
                <c:pt idx="287">
                  <c:v>0.24884580000000001</c:v>
                </c:pt>
                <c:pt idx="288">
                  <c:v>0.24971280000000001</c:v>
                </c:pt>
                <c:pt idx="289">
                  <c:v>0.25057990000000002</c:v>
                </c:pt>
                <c:pt idx="290">
                  <c:v>0.25144699999999998</c:v>
                </c:pt>
                <c:pt idx="291">
                  <c:v>0.25231399999999998</c:v>
                </c:pt>
                <c:pt idx="292">
                  <c:v>0.25318109999999999</c:v>
                </c:pt>
                <c:pt idx="293">
                  <c:v>0.2540481</c:v>
                </c:pt>
                <c:pt idx="294">
                  <c:v>0.25491520000000001</c:v>
                </c:pt>
                <c:pt idx="295">
                  <c:v>0.25578230000000002</c:v>
                </c:pt>
                <c:pt idx="296">
                  <c:v>0.25664930000000002</c:v>
                </c:pt>
                <c:pt idx="297">
                  <c:v>0.25751639999999998</c:v>
                </c:pt>
                <c:pt idx="298">
                  <c:v>0.25838339999999999</c:v>
                </c:pt>
                <c:pt idx="299">
                  <c:v>0.25925049999999999</c:v>
                </c:pt>
                <c:pt idx="300">
                  <c:v>0.2601175</c:v>
                </c:pt>
                <c:pt idx="301">
                  <c:v>0.26098460000000001</c:v>
                </c:pt>
                <c:pt idx="302">
                  <c:v>0.26185170000000002</c:v>
                </c:pt>
                <c:pt idx="303">
                  <c:v>0.26271870000000003</c:v>
                </c:pt>
                <c:pt idx="304">
                  <c:v>0.26358579999999998</c:v>
                </c:pt>
                <c:pt idx="305">
                  <c:v>0.26445279999999999</c:v>
                </c:pt>
                <c:pt idx="306">
                  <c:v>0.2653199</c:v>
                </c:pt>
                <c:pt idx="307">
                  <c:v>0.26618700000000001</c:v>
                </c:pt>
                <c:pt idx="308">
                  <c:v>0.26705400000000001</c:v>
                </c:pt>
                <c:pt idx="309">
                  <c:v>0.26792110000000002</c:v>
                </c:pt>
                <c:pt idx="310">
                  <c:v>0.26878809999999997</c:v>
                </c:pt>
                <c:pt idx="311">
                  <c:v>0.26965519999999998</c:v>
                </c:pt>
                <c:pt idx="312">
                  <c:v>0.27052229999999999</c:v>
                </c:pt>
                <c:pt idx="313">
                  <c:v>0.2713893</c:v>
                </c:pt>
                <c:pt idx="314">
                  <c:v>0.27225640000000001</c:v>
                </c:pt>
                <c:pt idx="315">
                  <c:v>0.27312340000000002</c:v>
                </c:pt>
                <c:pt idx="316">
                  <c:v>0.27399050000000003</c:v>
                </c:pt>
                <c:pt idx="317">
                  <c:v>0.27485749999999998</c:v>
                </c:pt>
                <c:pt idx="318">
                  <c:v>0.27572459999999999</c:v>
                </c:pt>
                <c:pt idx="319">
                  <c:v>0.2765917</c:v>
                </c:pt>
                <c:pt idx="320">
                  <c:v>0.2774587</c:v>
                </c:pt>
                <c:pt idx="321">
                  <c:v>0.27832580000000001</c:v>
                </c:pt>
                <c:pt idx="322">
                  <c:v>0.27919280000000002</c:v>
                </c:pt>
                <c:pt idx="323">
                  <c:v>0.28005989999999997</c:v>
                </c:pt>
                <c:pt idx="324">
                  <c:v>0.28092699999999998</c:v>
                </c:pt>
                <c:pt idx="325">
                  <c:v>0.28179399999999999</c:v>
                </c:pt>
                <c:pt idx="326">
                  <c:v>0.2826611</c:v>
                </c:pt>
                <c:pt idx="327">
                  <c:v>0.28352810000000001</c:v>
                </c:pt>
                <c:pt idx="328">
                  <c:v>0.28439520000000001</c:v>
                </c:pt>
                <c:pt idx="329">
                  <c:v>0.28526220000000002</c:v>
                </c:pt>
                <c:pt idx="330">
                  <c:v>0.28612929999999998</c:v>
                </c:pt>
                <c:pt idx="331">
                  <c:v>0.28699639999999998</c:v>
                </c:pt>
                <c:pt idx="332">
                  <c:v>0.28786339999999999</c:v>
                </c:pt>
                <c:pt idx="333">
                  <c:v>0.2887305</c:v>
                </c:pt>
                <c:pt idx="334">
                  <c:v>0.28959750000000001</c:v>
                </c:pt>
                <c:pt idx="335">
                  <c:v>0.29046460000000002</c:v>
                </c:pt>
                <c:pt idx="336">
                  <c:v>0.29133170000000003</c:v>
                </c:pt>
                <c:pt idx="337">
                  <c:v>0.29219869999999998</c:v>
                </c:pt>
                <c:pt idx="338">
                  <c:v>0.29306579999999999</c:v>
                </c:pt>
                <c:pt idx="339">
                  <c:v>0.29393279999999999</c:v>
                </c:pt>
                <c:pt idx="340">
                  <c:v>0.2947999</c:v>
                </c:pt>
                <c:pt idx="341">
                  <c:v>0.29566690000000001</c:v>
                </c:pt>
                <c:pt idx="342">
                  <c:v>0.29653400000000002</c:v>
                </c:pt>
                <c:pt idx="343">
                  <c:v>0.29740109999999997</c:v>
                </c:pt>
                <c:pt idx="344">
                  <c:v>0.29826809999999998</c:v>
                </c:pt>
                <c:pt idx="345">
                  <c:v>0.29913519999999999</c:v>
                </c:pt>
                <c:pt idx="346">
                  <c:v>0.3000022</c:v>
                </c:pt>
                <c:pt idx="347">
                  <c:v>0.30086930000000001</c:v>
                </c:pt>
                <c:pt idx="348">
                  <c:v>0.30173640000000002</c:v>
                </c:pt>
                <c:pt idx="349">
                  <c:v>0.30260340000000002</c:v>
                </c:pt>
                <c:pt idx="350">
                  <c:v>0.30347049999999998</c:v>
                </c:pt>
                <c:pt idx="351">
                  <c:v>0.30433749999999998</c:v>
                </c:pt>
                <c:pt idx="352">
                  <c:v>0.30520459999999999</c:v>
                </c:pt>
                <c:pt idx="353">
                  <c:v>0.3060716</c:v>
                </c:pt>
                <c:pt idx="354">
                  <c:v>0.30693870000000001</c:v>
                </c:pt>
                <c:pt idx="355">
                  <c:v>0.30780580000000002</c:v>
                </c:pt>
                <c:pt idx="356">
                  <c:v>0.30867280000000002</c:v>
                </c:pt>
                <c:pt idx="357">
                  <c:v>0.30953989999999998</c:v>
                </c:pt>
                <c:pt idx="358">
                  <c:v>0.31040689999999999</c:v>
                </c:pt>
                <c:pt idx="359">
                  <c:v>0.311274</c:v>
                </c:pt>
                <c:pt idx="360">
                  <c:v>0.3121411</c:v>
                </c:pt>
                <c:pt idx="361">
                  <c:v>0.31300810000000001</c:v>
                </c:pt>
                <c:pt idx="362">
                  <c:v>0.31387520000000002</c:v>
                </c:pt>
                <c:pt idx="363">
                  <c:v>0.31474220000000003</c:v>
                </c:pt>
                <c:pt idx="364">
                  <c:v>0.31560929999999998</c:v>
                </c:pt>
                <c:pt idx="365">
                  <c:v>0.31647639999999999</c:v>
                </c:pt>
                <c:pt idx="366">
                  <c:v>0.3173434</c:v>
                </c:pt>
                <c:pt idx="367">
                  <c:v>0.31821050000000001</c:v>
                </c:pt>
                <c:pt idx="368">
                  <c:v>0.31907750000000001</c:v>
                </c:pt>
                <c:pt idx="369">
                  <c:v>0.31994460000000002</c:v>
                </c:pt>
                <c:pt idx="370">
                  <c:v>0.32081159999999997</c:v>
                </c:pt>
                <c:pt idx="371">
                  <c:v>0.32167869999999998</c:v>
                </c:pt>
                <c:pt idx="372">
                  <c:v>0.32254579999999999</c:v>
                </c:pt>
                <c:pt idx="373">
                  <c:v>0.3234128</c:v>
                </c:pt>
                <c:pt idx="374">
                  <c:v>0.32427990000000001</c:v>
                </c:pt>
                <c:pt idx="375">
                  <c:v>0.32514690000000002</c:v>
                </c:pt>
                <c:pt idx="376">
                  <c:v>0.32601400000000003</c:v>
                </c:pt>
                <c:pt idx="377">
                  <c:v>0.32688109999999998</c:v>
                </c:pt>
                <c:pt idx="378">
                  <c:v>0.32774809999999999</c:v>
                </c:pt>
                <c:pt idx="379">
                  <c:v>0.3286152</c:v>
                </c:pt>
                <c:pt idx="380">
                  <c:v>0.3294822</c:v>
                </c:pt>
                <c:pt idx="381">
                  <c:v>0.33034930000000001</c:v>
                </c:pt>
                <c:pt idx="382">
                  <c:v>0.33121630000000002</c:v>
                </c:pt>
                <c:pt idx="383">
                  <c:v>0.33208339999999997</c:v>
                </c:pt>
                <c:pt idx="384">
                  <c:v>0.33295049999999998</c:v>
                </c:pt>
                <c:pt idx="385">
                  <c:v>0.33381749999999999</c:v>
                </c:pt>
                <c:pt idx="386">
                  <c:v>0.3346846</c:v>
                </c:pt>
                <c:pt idx="387">
                  <c:v>0.33555160000000001</c:v>
                </c:pt>
                <c:pt idx="388">
                  <c:v>0.33641870000000001</c:v>
                </c:pt>
                <c:pt idx="389">
                  <c:v>0.33728580000000002</c:v>
                </c:pt>
                <c:pt idx="390">
                  <c:v>0.33815279999999998</c:v>
                </c:pt>
                <c:pt idx="391">
                  <c:v>0.33901989999999999</c:v>
                </c:pt>
                <c:pt idx="392">
                  <c:v>0.33988689999999999</c:v>
                </c:pt>
                <c:pt idx="393">
                  <c:v>0.340754</c:v>
                </c:pt>
                <c:pt idx="394">
                  <c:v>0.34162100000000001</c:v>
                </c:pt>
                <c:pt idx="395">
                  <c:v>0.34248810000000002</c:v>
                </c:pt>
                <c:pt idx="396">
                  <c:v>0.34335520000000003</c:v>
                </c:pt>
                <c:pt idx="397">
                  <c:v>0.34422219999999998</c:v>
                </c:pt>
                <c:pt idx="398">
                  <c:v>0.34508929999999999</c:v>
                </c:pt>
                <c:pt idx="399">
                  <c:v>0.34595629999999999</c:v>
                </c:pt>
                <c:pt idx="400">
                  <c:v>0.3468234</c:v>
                </c:pt>
                <c:pt idx="401">
                  <c:v>0.34769050000000001</c:v>
                </c:pt>
                <c:pt idx="402">
                  <c:v>0.34855750000000002</c:v>
                </c:pt>
                <c:pt idx="403">
                  <c:v>0.34942459999999997</c:v>
                </c:pt>
                <c:pt idx="404">
                  <c:v>0.35029159999999998</c:v>
                </c:pt>
                <c:pt idx="405">
                  <c:v>0.35115869999999999</c:v>
                </c:pt>
                <c:pt idx="406">
                  <c:v>0.3520257</c:v>
                </c:pt>
                <c:pt idx="407">
                  <c:v>0.35289280000000001</c:v>
                </c:pt>
                <c:pt idx="408">
                  <c:v>0.35375990000000002</c:v>
                </c:pt>
                <c:pt idx="409">
                  <c:v>0.35462690000000002</c:v>
                </c:pt>
                <c:pt idx="410">
                  <c:v>0.35549399999999998</c:v>
                </c:pt>
                <c:pt idx="411">
                  <c:v>0.35636099999999998</c:v>
                </c:pt>
                <c:pt idx="412">
                  <c:v>0.35722809999999999</c:v>
                </c:pt>
                <c:pt idx="413">
                  <c:v>0.3580952</c:v>
                </c:pt>
                <c:pt idx="414">
                  <c:v>0.35896220000000001</c:v>
                </c:pt>
                <c:pt idx="415">
                  <c:v>0.35982930000000002</c:v>
                </c:pt>
                <c:pt idx="416">
                  <c:v>0.36069630000000003</c:v>
                </c:pt>
                <c:pt idx="417">
                  <c:v>0.36156339999999998</c:v>
                </c:pt>
                <c:pt idx="418">
                  <c:v>0.36243049999999999</c:v>
                </c:pt>
                <c:pt idx="419">
                  <c:v>0.3632975</c:v>
                </c:pt>
                <c:pt idx="420">
                  <c:v>0.3641646</c:v>
                </c:pt>
                <c:pt idx="421">
                  <c:v>0.36503160000000001</c:v>
                </c:pt>
                <c:pt idx="422">
                  <c:v>0.36589870000000002</c:v>
                </c:pt>
                <c:pt idx="423">
                  <c:v>0.36676569999999997</c:v>
                </c:pt>
                <c:pt idx="424">
                  <c:v>0.36763279999999998</c:v>
                </c:pt>
                <c:pt idx="425">
                  <c:v>0.36849989999999999</c:v>
                </c:pt>
                <c:pt idx="426">
                  <c:v>0.3693669</c:v>
                </c:pt>
                <c:pt idx="427">
                  <c:v>0.37023400000000001</c:v>
                </c:pt>
                <c:pt idx="428">
                  <c:v>0.37110100000000001</c:v>
                </c:pt>
                <c:pt idx="429">
                  <c:v>0.37196810000000002</c:v>
                </c:pt>
                <c:pt idx="430">
                  <c:v>0.37283519999999998</c:v>
                </c:pt>
                <c:pt idx="431">
                  <c:v>0.37370219999999998</c:v>
                </c:pt>
                <c:pt idx="432">
                  <c:v>0.37456929999999999</c:v>
                </c:pt>
                <c:pt idx="433">
                  <c:v>0.3754363</c:v>
                </c:pt>
                <c:pt idx="434">
                  <c:v>0.37630340000000001</c:v>
                </c:pt>
                <c:pt idx="435">
                  <c:v>0.37717040000000002</c:v>
                </c:pt>
                <c:pt idx="436">
                  <c:v>0.37803750000000003</c:v>
                </c:pt>
                <c:pt idx="437">
                  <c:v>0.37890459999999998</c:v>
                </c:pt>
                <c:pt idx="438">
                  <c:v>0.37977159999999999</c:v>
                </c:pt>
                <c:pt idx="439">
                  <c:v>0.3806387</c:v>
                </c:pt>
                <c:pt idx="440">
                  <c:v>0.3815057</c:v>
                </c:pt>
                <c:pt idx="441">
                  <c:v>0.38237280000000001</c:v>
                </c:pt>
                <c:pt idx="442">
                  <c:v>0.38323990000000002</c:v>
                </c:pt>
                <c:pt idx="443">
                  <c:v>0.38410689999999997</c:v>
                </c:pt>
                <c:pt idx="444">
                  <c:v>0.38497399999999998</c:v>
                </c:pt>
                <c:pt idx="445">
                  <c:v>0.38584099999999999</c:v>
                </c:pt>
                <c:pt idx="446">
                  <c:v>0.3867081</c:v>
                </c:pt>
                <c:pt idx="447">
                  <c:v>0.38757510000000001</c:v>
                </c:pt>
                <c:pt idx="448">
                  <c:v>0.38844220000000002</c:v>
                </c:pt>
                <c:pt idx="449">
                  <c:v>0.38930930000000002</c:v>
                </c:pt>
                <c:pt idx="450">
                  <c:v>0.39017629999999998</c:v>
                </c:pt>
                <c:pt idx="451">
                  <c:v>0.39104339999999999</c:v>
                </c:pt>
                <c:pt idx="452">
                  <c:v>0.39191039999999999</c:v>
                </c:pt>
                <c:pt idx="453">
                  <c:v>0.3927775</c:v>
                </c:pt>
                <c:pt idx="454">
                  <c:v>0.39364460000000001</c:v>
                </c:pt>
                <c:pt idx="455">
                  <c:v>0.39451160000000002</c:v>
                </c:pt>
                <c:pt idx="456">
                  <c:v>0.39537870000000003</c:v>
                </c:pt>
                <c:pt idx="457">
                  <c:v>0.39624569999999998</c:v>
                </c:pt>
                <c:pt idx="458">
                  <c:v>0.39711279999999999</c:v>
                </c:pt>
                <c:pt idx="459">
                  <c:v>0.3979799</c:v>
                </c:pt>
                <c:pt idx="460">
                  <c:v>0.3988469</c:v>
                </c:pt>
                <c:pt idx="461">
                  <c:v>0.39971400000000001</c:v>
                </c:pt>
                <c:pt idx="462">
                  <c:v>0.40058100000000002</c:v>
                </c:pt>
                <c:pt idx="463">
                  <c:v>0.40144809999999997</c:v>
                </c:pt>
                <c:pt idx="464">
                  <c:v>0.40231509999999998</c:v>
                </c:pt>
                <c:pt idx="465">
                  <c:v>0.40318219999999999</c:v>
                </c:pt>
                <c:pt idx="466">
                  <c:v>0.4040493</c:v>
                </c:pt>
                <c:pt idx="467">
                  <c:v>0.40491630000000001</c:v>
                </c:pt>
                <c:pt idx="468">
                  <c:v>0.40578340000000002</c:v>
                </c:pt>
                <c:pt idx="469">
                  <c:v>0.40665040000000002</c:v>
                </c:pt>
                <c:pt idx="470">
                  <c:v>0.40751749999999998</c:v>
                </c:pt>
                <c:pt idx="471">
                  <c:v>0.40838459999999999</c:v>
                </c:pt>
                <c:pt idx="472">
                  <c:v>0.40925159999999999</c:v>
                </c:pt>
                <c:pt idx="473">
                  <c:v>0.4101187</c:v>
                </c:pt>
                <c:pt idx="474">
                  <c:v>0.41098570000000001</c:v>
                </c:pt>
                <c:pt idx="475">
                  <c:v>0.41185280000000002</c:v>
                </c:pt>
                <c:pt idx="476">
                  <c:v>0.41271980000000003</c:v>
                </c:pt>
                <c:pt idx="477">
                  <c:v>0.41358689999999998</c:v>
                </c:pt>
                <c:pt idx="478">
                  <c:v>0.41445399999999999</c:v>
                </c:pt>
                <c:pt idx="479">
                  <c:v>0.415321</c:v>
                </c:pt>
                <c:pt idx="480">
                  <c:v>0.41618810000000001</c:v>
                </c:pt>
                <c:pt idx="481">
                  <c:v>0.41705510000000001</c:v>
                </c:pt>
                <c:pt idx="482">
                  <c:v>0.41792220000000002</c:v>
                </c:pt>
                <c:pt idx="483">
                  <c:v>0.41878929999999998</c:v>
                </c:pt>
                <c:pt idx="484">
                  <c:v>0.41965629999999998</c:v>
                </c:pt>
                <c:pt idx="485">
                  <c:v>0.42052339999999999</c:v>
                </c:pt>
                <c:pt idx="486">
                  <c:v>0.4213904</c:v>
                </c:pt>
                <c:pt idx="487">
                  <c:v>0.42225750000000001</c:v>
                </c:pt>
                <c:pt idx="488">
                  <c:v>0.42312450000000001</c:v>
                </c:pt>
                <c:pt idx="489">
                  <c:v>0.42399160000000002</c:v>
                </c:pt>
                <c:pt idx="490">
                  <c:v>0.42485869999999998</c:v>
                </c:pt>
                <c:pt idx="491">
                  <c:v>0.42572569999999998</c:v>
                </c:pt>
                <c:pt idx="492">
                  <c:v>0.42659279999999999</c:v>
                </c:pt>
                <c:pt idx="493">
                  <c:v>0.4274598</c:v>
                </c:pt>
                <c:pt idx="494">
                  <c:v>0.42832690000000001</c:v>
                </c:pt>
                <c:pt idx="495">
                  <c:v>0.42919400000000002</c:v>
                </c:pt>
                <c:pt idx="496">
                  <c:v>0.43006100000000003</c:v>
                </c:pt>
                <c:pt idx="497">
                  <c:v>0.43092809999999998</c:v>
                </c:pt>
                <c:pt idx="498">
                  <c:v>0.43179509999999999</c:v>
                </c:pt>
                <c:pt idx="499">
                  <c:v>0.4326622</c:v>
                </c:pt>
                <c:pt idx="500">
                  <c:v>0.4335292</c:v>
                </c:pt>
                <c:pt idx="501">
                  <c:v>0.43439630000000001</c:v>
                </c:pt>
                <c:pt idx="502">
                  <c:v>0.43526340000000002</c:v>
                </c:pt>
                <c:pt idx="503">
                  <c:v>0.43613039999999997</c:v>
                </c:pt>
                <c:pt idx="504">
                  <c:v>0.43699749999999998</c:v>
                </c:pt>
                <c:pt idx="505">
                  <c:v>0.43786449999999999</c:v>
                </c:pt>
                <c:pt idx="506">
                  <c:v>0.4387316</c:v>
                </c:pt>
                <c:pt idx="507">
                  <c:v>0.43959870000000001</c:v>
                </c:pt>
                <c:pt idx="508">
                  <c:v>0.44046570000000002</c:v>
                </c:pt>
                <c:pt idx="509">
                  <c:v>0.44133280000000003</c:v>
                </c:pt>
                <c:pt idx="510">
                  <c:v>0.44219979999999998</c:v>
                </c:pt>
                <c:pt idx="511">
                  <c:v>0.44306689999999999</c:v>
                </c:pt>
                <c:pt idx="512">
                  <c:v>0.443934</c:v>
                </c:pt>
                <c:pt idx="513">
                  <c:v>0.444801</c:v>
                </c:pt>
                <c:pt idx="514">
                  <c:v>0.44566810000000001</c:v>
                </c:pt>
                <c:pt idx="515">
                  <c:v>0.44653510000000002</c:v>
                </c:pt>
                <c:pt idx="516">
                  <c:v>0.44740220000000003</c:v>
                </c:pt>
                <c:pt idx="517">
                  <c:v>0.44826919999999998</c:v>
                </c:pt>
                <c:pt idx="518">
                  <c:v>0.44913629999999999</c:v>
                </c:pt>
                <c:pt idx="519">
                  <c:v>0.4500034</c:v>
                </c:pt>
                <c:pt idx="520">
                  <c:v>0.4508704</c:v>
                </c:pt>
                <c:pt idx="521">
                  <c:v>0.45173750000000001</c:v>
                </c:pt>
                <c:pt idx="522">
                  <c:v>0.45260450000000002</c:v>
                </c:pt>
                <c:pt idx="523">
                  <c:v>0.45347159999999997</c:v>
                </c:pt>
                <c:pt idx="524">
                  <c:v>0.45433869999999998</c:v>
                </c:pt>
                <c:pt idx="525">
                  <c:v>0.45520569999999999</c:v>
                </c:pt>
                <c:pt idx="526">
                  <c:v>0.4560728</c:v>
                </c:pt>
                <c:pt idx="527">
                  <c:v>0.45693980000000001</c:v>
                </c:pt>
                <c:pt idx="528">
                  <c:v>0.45780690000000002</c:v>
                </c:pt>
                <c:pt idx="529">
                  <c:v>0.45867390000000002</c:v>
                </c:pt>
                <c:pt idx="530">
                  <c:v>0.45954099999999998</c:v>
                </c:pt>
                <c:pt idx="531">
                  <c:v>0.46040809999999999</c:v>
                </c:pt>
                <c:pt idx="532">
                  <c:v>0.46127509999999999</c:v>
                </c:pt>
                <c:pt idx="533">
                  <c:v>0.4621422</c:v>
                </c:pt>
                <c:pt idx="534">
                  <c:v>0.46300920000000001</c:v>
                </c:pt>
                <c:pt idx="535">
                  <c:v>0.46387630000000002</c:v>
                </c:pt>
                <c:pt idx="536">
                  <c:v>0.46474339999999997</c:v>
                </c:pt>
                <c:pt idx="537">
                  <c:v>0.46561039999999998</c:v>
                </c:pt>
                <c:pt idx="538">
                  <c:v>0.46647749999999999</c:v>
                </c:pt>
                <c:pt idx="539">
                  <c:v>0.4673445</c:v>
                </c:pt>
                <c:pt idx="540">
                  <c:v>0.46821160000000001</c:v>
                </c:pt>
                <c:pt idx="541">
                  <c:v>0.46907860000000001</c:v>
                </c:pt>
                <c:pt idx="542">
                  <c:v>0.46994570000000002</c:v>
                </c:pt>
                <c:pt idx="543">
                  <c:v>0.47081279999999998</c:v>
                </c:pt>
                <c:pt idx="544">
                  <c:v>0.47167979999999998</c:v>
                </c:pt>
                <c:pt idx="545">
                  <c:v>0.47254689999999999</c:v>
                </c:pt>
                <c:pt idx="546">
                  <c:v>0.4734139</c:v>
                </c:pt>
                <c:pt idx="547">
                  <c:v>0.47428100000000001</c:v>
                </c:pt>
                <c:pt idx="548">
                  <c:v>0.47514810000000002</c:v>
                </c:pt>
                <c:pt idx="549">
                  <c:v>0.47601510000000002</c:v>
                </c:pt>
                <c:pt idx="550">
                  <c:v>0.47688219999999998</c:v>
                </c:pt>
                <c:pt idx="551">
                  <c:v>0.47774919999999998</c:v>
                </c:pt>
                <c:pt idx="552">
                  <c:v>0.47861629999999999</c:v>
                </c:pt>
                <c:pt idx="553">
                  <c:v>0.4794833</c:v>
                </c:pt>
                <c:pt idx="554">
                  <c:v>0.48035040000000001</c:v>
                </c:pt>
                <c:pt idx="555">
                  <c:v>0.48121750000000002</c:v>
                </c:pt>
                <c:pt idx="556">
                  <c:v>0.48208450000000003</c:v>
                </c:pt>
                <c:pt idx="557">
                  <c:v>0.48295159999999998</c:v>
                </c:pt>
                <c:pt idx="558">
                  <c:v>0.48381859999999999</c:v>
                </c:pt>
                <c:pt idx="559">
                  <c:v>0.4846857</c:v>
                </c:pt>
                <c:pt idx="560">
                  <c:v>0.48555280000000001</c:v>
                </c:pt>
                <c:pt idx="561">
                  <c:v>0.48641980000000001</c:v>
                </c:pt>
                <c:pt idx="562">
                  <c:v>0.48728690000000002</c:v>
                </c:pt>
                <c:pt idx="563">
                  <c:v>0.48815389999999997</c:v>
                </c:pt>
                <c:pt idx="564">
                  <c:v>0.48902099999999998</c:v>
                </c:pt>
                <c:pt idx="565">
                  <c:v>0.48988809999999999</c:v>
                </c:pt>
                <c:pt idx="566">
                  <c:v>0.4907551</c:v>
                </c:pt>
                <c:pt idx="567">
                  <c:v>0.49162220000000001</c:v>
                </c:pt>
                <c:pt idx="568">
                  <c:v>0.49248920000000002</c:v>
                </c:pt>
                <c:pt idx="569">
                  <c:v>0.49335630000000003</c:v>
                </c:pt>
                <c:pt idx="570">
                  <c:v>0.49422329999999998</c:v>
                </c:pt>
                <c:pt idx="571">
                  <c:v>0.49509039999999999</c:v>
                </c:pt>
                <c:pt idx="572">
                  <c:v>0.4959575</c:v>
                </c:pt>
                <c:pt idx="573">
                  <c:v>0.4968245</c:v>
                </c:pt>
                <c:pt idx="574">
                  <c:v>0.49769160000000001</c:v>
                </c:pt>
                <c:pt idx="575">
                  <c:v>0.49855860000000002</c:v>
                </c:pt>
                <c:pt idx="576">
                  <c:v>0.49942569999999997</c:v>
                </c:pt>
                <c:pt idx="577">
                  <c:v>0.50029279999999998</c:v>
                </c:pt>
                <c:pt idx="578">
                  <c:v>0.50115980000000004</c:v>
                </c:pt>
                <c:pt idx="579">
                  <c:v>0.50202690000000005</c:v>
                </c:pt>
                <c:pt idx="580">
                  <c:v>0.5028939</c:v>
                </c:pt>
                <c:pt idx="581">
                  <c:v>0.50376100000000001</c:v>
                </c:pt>
                <c:pt idx="582">
                  <c:v>0.50462799999999997</c:v>
                </c:pt>
                <c:pt idx="583">
                  <c:v>0.50549509999999998</c:v>
                </c:pt>
                <c:pt idx="584">
                  <c:v>0.50636219999999998</c:v>
                </c:pt>
                <c:pt idx="585">
                  <c:v>0.50722920000000005</c:v>
                </c:pt>
                <c:pt idx="586">
                  <c:v>0.50809629999999995</c:v>
                </c:pt>
                <c:pt idx="587">
                  <c:v>0.50896330000000001</c:v>
                </c:pt>
                <c:pt idx="588">
                  <c:v>0.50983040000000002</c:v>
                </c:pt>
                <c:pt idx="589">
                  <c:v>0.51069750000000003</c:v>
                </c:pt>
                <c:pt idx="590">
                  <c:v>0.51156449999999998</c:v>
                </c:pt>
                <c:pt idx="591">
                  <c:v>0.51243159999999999</c:v>
                </c:pt>
                <c:pt idx="592">
                  <c:v>0.51329860000000005</c:v>
                </c:pt>
                <c:pt idx="593">
                  <c:v>0.51416569999999995</c:v>
                </c:pt>
                <c:pt idx="594">
                  <c:v>0.51503270000000001</c:v>
                </c:pt>
                <c:pt idx="595">
                  <c:v>0.51589980000000002</c:v>
                </c:pt>
                <c:pt idx="596">
                  <c:v>0.51676690000000003</c:v>
                </c:pt>
                <c:pt idx="597">
                  <c:v>0.51763389999999998</c:v>
                </c:pt>
                <c:pt idx="598">
                  <c:v>0.51850099999999999</c:v>
                </c:pt>
                <c:pt idx="599">
                  <c:v>0.51936800000000005</c:v>
                </c:pt>
                <c:pt idx="600">
                  <c:v>0.52023509999999995</c:v>
                </c:pt>
                <c:pt idx="601">
                  <c:v>0.52110219999999996</c:v>
                </c:pt>
                <c:pt idx="602">
                  <c:v>0.52196920000000002</c:v>
                </c:pt>
                <c:pt idx="603">
                  <c:v>0.52283630000000003</c:v>
                </c:pt>
                <c:pt idx="604">
                  <c:v>0.52370329999999998</c:v>
                </c:pt>
                <c:pt idx="605">
                  <c:v>0.52457039999999999</c:v>
                </c:pt>
                <c:pt idx="606">
                  <c:v>0.52543740000000005</c:v>
                </c:pt>
                <c:pt idx="607">
                  <c:v>0.52630449999999995</c:v>
                </c:pt>
                <c:pt idx="608">
                  <c:v>0.52717159999999996</c:v>
                </c:pt>
                <c:pt idx="609">
                  <c:v>0.52803860000000002</c:v>
                </c:pt>
                <c:pt idx="610">
                  <c:v>0.52890570000000003</c:v>
                </c:pt>
                <c:pt idx="611">
                  <c:v>0.52977269999999999</c:v>
                </c:pt>
                <c:pt idx="612">
                  <c:v>0.53063979999999999</c:v>
                </c:pt>
                <c:pt idx="613">
                  <c:v>0.5315069</c:v>
                </c:pt>
                <c:pt idx="614">
                  <c:v>0.53237389999999996</c:v>
                </c:pt>
                <c:pt idx="615">
                  <c:v>0.53324099999999997</c:v>
                </c:pt>
                <c:pt idx="616">
                  <c:v>0.53410800000000003</c:v>
                </c:pt>
                <c:pt idx="617">
                  <c:v>0.53497510000000004</c:v>
                </c:pt>
                <c:pt idx="618">
                  <c:v>0.53584220000000005</c:v>
                </c:pt>
                <c:pt idx="619">
                  <c:v>0.5367092</c:v>
                </c:pt>
                <c:pt idx="620">
                  <c:v>0.53757630000000001</c:v>
                </c:pt>
                <c:pt idx="621">
                  <c:v>0.53844329999999996</c:v>
                </c:pt>
                <c:pt idx="622">
                  <c:v>0.53931039999999997</c:v>
                </c:pt>
                <c:pt idx="623">
                  <c:v>0.54017740000000003</c:v>
                </c:pt>
                <c:pt idx="624">
                  <c:v>0.54104450000000004</c:v>
                </c:pt>
                <c:pt idx="625">
                  <c:v>0.54191160000000005</c:v>
                </c:pt>
                <c:pt idx="626">
                  <c:v>0.5427786</c:v>
                </c:pt>
                <c:pt idx="627">
                  <c:v>0.54364570000000001</c:v>
                </c:pt>
                <c:pt idx="628">
                  <c:v>0.54451269999999996</c:v>
                </c:pt>
                <c:pt idx="629">
                  <c:v>0.54537979999999997</c:v>
                </c:pt>
                <c:pt idx="630">
                  <c:v>0.54624689999999998</c:v>
                </c:pt>
                <c:pt idx="631">
                  <c:v>0.54711390000000004</c:v>
                </c:pt>
                <c:pt idx="632">
                  <c:v>0.54798100000000005</c:v>
                </c:pt>
                <c:pt idx="633">
                  <c:v>0.548848</c:v>
                </c:pt>
                <c:pt idx="634">
                  <c:v>0.54971510000000001</c:v>
                </c:pt>
                <c:pt idx="635">
                  <c:v>0.55058209999999996</c:v>
                </c:pt>
                <c:pt idx="636">
                  <c:v>0.55144919999999997</c:v>
                </c:pt>
                <c:pt idx="637">
                  <c:v>0.55231629999999998</c:v>
                </c:pt>
                <c:pt idx="638">
                  <c:v>0.55318330000000004</c:v>
                </c:pt>
                <c:pt idx="639">
                  <c:v>0.55405040000000005</c:v>
                </c:pt>
                <c:pt idx="640">
                  <c:v>0.55491740000000001</c:v>
                </c:pt>
                <c:pt idx="641">
                  <c:v>0.55578450000000001</c:v>
                </c:pt>
                <c:pt idx="642">
                  <c:v>0.55665160000000002</c:v>
                </c:pt>
                <c:pt idx="643">
                  <c:v>0.55751859999999998</c:v>
                </c:pt>
                <c:pt idx="644">
                  <c:v>0.55838569999999998</c:v>
                </c:pt>
                <c:pt idx="645">
                  <c:v>0.55925270000000005</c:v>
                </c:pt>
                <c:pt idx="646">
                  <c:v>0.56011979999999995</c:v>
                </c:pt>
                <c:pt idx="647">
                  <c:v>0.56098680000000001</c:v>
                </c:pt>
                <c:pt idx="648">
                  <c:v>0.56185390000000002</c:v>
                </c:pt>
                <c:pt idx="649">
                  <c:v>0.56272100000000003</c:v>
                </c:pt>
                <c:pt idx="650">
                  <c:v>0.56358799999999998</c:v>
                </c:pt>
                <c:pt idx="651">
                  <c:v>0.56445509999999999</c:v>
                </c:pt>
                <c:pt idx="652">
                  <c:v>0.56532210000000005</c:v>
                </c:pt>
                <c:pt idx="653">
                  <c:v>0.56618919999999995</c:v>
                </c:pt>
                <c:pt idx="654">
                  <c:v>0.56705629999999996</c:v>
                </c:pt>
                <c:pt idx="655">
                  <c:v>0.56792330000000002</c:v>
                </c:pt>
                <c:pt idx="656">
                  <c:v>0.56879040000000003</c:v>
                </c:pt>
                <c:pt idx="657">
                  <c:v>0.56965739999999998</c:v>
                </c:pt>
                <c:pt idx="658">
                  <c:v>0.57052449999999999</c:v>
                </c:pt>
                <c:pt idx="659">
                  <c:v>0.57139150000000005</c:v>
                </c:pt>
                <c:pt idx="660">
                  <c:v>0.57225859999999995</c:v>
                </c:pt>
                <c:pt idx="661">
                  <c:v>0.57312569999999996</c:v>
                </c:pt>
                <c:pt idx="662">
                  <c:v>0.57399270000000002</c:v>
                </c:pt>
                <c:pt idx="663">
                  <c:v>0.57485980000000003</c:v>
                </c:pt>
                <c:pt idx="664">
                  <c:v>0.57572679999999998</c:v>
                </c:pt>
                <c:pt idx="665">
                  <c:v>0.57659389999999999</c:v>
                </c:pt>
                <c:pt idx="666">
                  <c:v>0.577461</c:v>
                </c:pt>
                <c:pt idx="667">
                  <c:v>0.57832799999999995</c:v>
                </c:pt>
                <c:pt idx="668">
                  <c:v>0.57919509999999996</c:v>
                </c:pt>
                <c:pt idx="669">
                  <c:v>0.58006210000000002</c:v>
                </c:pt>
                <c:pt idx="670">
                  <c:v>0.58092920000000003</c:v>
                </c:pt>
                <c:pt idx="671">
                  <c:v>0.58179630000000004</c:v>
                </c:pt>
                <c:pt idx="672">
                  <c:v>0.5826633</c:v>
                </c:pt>
                <c:pt idx="673">
                  <c:v>0.5835304</c:v>
                </c:pt>
                <c:pt idx="674">
                  <c:v>0.58439739999999996</c:v>
                </c:pt>
                <c:pt idx="675">
                  <c:v>0.58526449999999997</c:v>
                </c:pt>
                <c:pt idx="676">
                  <c:v>0.58613150000000003</c:v>
                </c:pt>
                <c:pt idx="677">
                  <c:v>0.58699860000000004</c:v>
                </c:pt>
                <c:pt idx="678">
                  <c:v>0.58786570000000005</c:v>
                </c:pt>
                <c:pt idx="679">
                  <c:v>0.5887327</c:v>
                </c:pt>
                <c:pt idx="680">
                  <c:v>0.58959980000000001</c:v>
                </c:pt>
                <c:pt idx="681">
                  <c:v>0.59046679999999996</c:v>
                </c:pt>
                <c:pt idx="682">
                  <c:v>0.59133389999999997</c:v>
                </c:pt>
                <c:pt idx="683">
                  <c:v>0.59220099999999998</c:v>
                </c:pt>
                <c:pt idx="684">
                  <c:v>0.59306800000000004</c:v>
                </c:pt>
                <c:pt idx="685">
                  <c:v>0.59393510000000005</c:v>
                </c:pt>
                <c:pt idx="686">
                  <c:v>0.5948021</c:v>
                </c:pt>
                <c:pt idx="687">
                  <c:v>0.59566920000000001</c:v>
                </c:pt>
                <c:pt idx="688">
                  <c:v>0.59653619999999996</c:v>
                </c:pt>
                <c:pt idx="689">
                  <c:v>0.59740329999999997</c:v>
                </c:pt>
                <c:pt idx="690">
                  <c:v>0.59827039999999998</c:v>
                </c:pt>
                <c:pt idx="691">
                  <c:v>0.59913740000000004</c:v>
                </c:pt>
                <c:pt idx="692">
                  <c:v>0.60000450000000005</c:v>
                </c:pt>
                <c:pt idx="693">
                  <c:v>0.6008715</c:v>
                </c:pt>
                <c:pt idx="694">
                  <c:v>0.60173860000000001</c:v>
                </c:pt>
                <c:pt idx="695">
                  <c:v>0.60260570000000002</c:v>
                </c:pt>
                <c:pt idx="696">
                  <c:v>0.60347269999999997</c:v>
                </c:pt>
                <c:pt idx="697">
                  <c:v>0.60433979999999998</c:v>
                </c:pt>
                <c:pt idx="698">
                  <c:v>0.60520680000000004</c:v>
                </c:pt>
                <c:pt idx="699">
                  <c:v>0.60607390000000005</c:v>
                </c:pt>
                <c:pt idx="700">
                  <c:v>0.60694090000000001</c:v>
                </c:pt>
                <c:pt idx="701">
                  <c:v>0.60780800000000001</c:v>
                </c:pt>
                <c:pt idx="702">
                  <c:v>0.60867510000000002</c:v>
                </c:pt>
                <c:pt idx="703">
                  <c:v>0.60954209999999998</c:v>
                </c:pt>
                <c:pt idx="704">
                  <c:v>0.61040919999999999</c:v>
                </c:pt>
                <c:pt idx="705">
                  <c:v>0.61127620000000005</c:v>
                </c:pt>
                <c:pt idx="706">
                  <c:v>0.61214329999999995</c:v>
                </c:pt>
                <c:pt idx="707">
                  <c:v>0.61301039999999996</c:v>
                </c:pt>
                <c:pt idx="708">
                  <c:v>0.61387740000000002</c:v>
                </c:pt>
                <c:pt idx="709">
                  <c:v>0.61474450000000003</c:v>
                </c:pt>
                <c:pt idx="710">
                  <c:v>0.61561149999999998</c:v>
                </c:pt>
                <c:pt idx="711">
                  <c:v>0.61647859999999999</c:v>
                </c:pt>
                <c:pt idx="712">
                  <c:v>0.61734560000000005</c:v>
                </c:pt>
                <c:pt idx="713">
                  <c:v>0.61821269999999995</c:v>
                </c:pt>
                <c:pt idx="714">
                  <c:v>0.61907979999999996</c:v>
                </c:pt>
                <c:pt idx="715">
                  <c:v>0.61994680000000002</c:v>
                </c:pt>
                <c:pt idx="716">
                  <c:v>0.62081390000000003</c:v>
                </c:pt>
                <c:pt idx="717">
                  <c:v>0.62168089999999998</c:v>
                </c:pt>
                <c:pt idx="718">
                  <c:v>0.62254799999999999</c:v>
                </c:pt>
                <c:pt idx="719">
                  <c:v>0.6234151</c:v>
                </c:pt>
                <c:pt idx="720">
                  <c:v>0.62428209999999995</c:v>
                </c:pt>
                <c:pt idx="721">
                  <c:v>0.62514919999999996</c:v>
                </c:pt>
                <c:pt idx="722">
                  <c:v>0.62601620000000002</c:v>
                </c:pt>
                <c:pt idx="723">
                  <c:v>0.62688330000000003</c:v>
                </c:pt>
                <c:pt idx="724">
                  <c:v>0.62775040000000004</c:v>
                </c:pt>
                <c:pt idx="725">
                  <c:v>0.62861739999999999</c:v>
                </c:pt>
                <c:pt idx="726">
                  <c:v>0.6294845</c:v>
                </c:pt>
                <c:pt idx="727">
                  <c:v>0.63035149999999995</c:v>
                </c:pt>
                <c:pt idx="728">
                  <c:v>0.63121859999999996</c:v>
                </c:pt>
                <c:pt idx="729">
                  <c:v>0.63208560000000003</c:v>
                </c:pt>
                <c:pt idx="730">
                  <c:v>0.63295270000000003</c:v>
                </c:pt>
                <c:pt idx="731">
                  <c:v>0.63381980000000004</c:v>
                </c:pt>
                <c:pt idx="732">
                  <c:v>0.6346868</c:v>
                </c:pt>
                <c:pt idx="733">
                  <c:v>0.6355539</c:v>
                </c:pt>
                <c:pt idx="734">
                  <c:v>0.63642089999999996</c:v>
                </c:pt>
                <c:pt idx="735">
                  <c:v>0.63728799999999997</c:v>
                </c:pt>
                <c:pt idx="736">
                  <c:v>0.63815509999999998</c:v>
                </c:pt>
                <c:pt idx="737">
                  <c:v>0.63902210000000004</c:v>
                </c:pt>
                <c:pt idx="738">
                  <c:v>0.63988920000000005</c:v>
                </c:pt>
                <c:pt idx="739">
                  <c:v>0.6407562</c:v>
                </c:pt>
                <c:pt idx="740">
                  <c:v>0.64162330000000001</c:v>
                </c:pt>
                <c:pt idx="741">
                  <c:v>0.64249029999999996</c:v>
                </c:pt>
                <c:pt idx="742">
                  <c:v>0.64335739999999997</c:v>
                </c:pt>
                <c:pt idx="743">
                  <c:v>0.64422449999999998</c:v>
                </c:pt>
                <c:pt idx="744">
                  <c:v>0.64509150000000004</c:v>
                </c:pt>
                <c:pt idx="745">
                  <c:v>0.64595860000000005</c:v>
                </c:pt>
                <c:pt idx="746">
                  <c:v>0.6468256</c:v>
                </c:pt>
                <c:pt idx="747">
                  <c:v>0.64769270000000001</c:v>
                </c:pt>
                <c:pt idx="748">
                  <c:v>0.64855980000000002</c:v>
                </c:pt>
                <c:pt idx="749">
                  <c:v>0.64942679999999997</c:v>
                </c:pt>
                <c:pt idx="750">
                  <c:v>0.65029389999999998</c:v>
                </c:pt>
                <c:pt idx="751">
                  <c:v>0.65116090000000004</c:v>
                </c:pt>
                <c:pt idx="752">
                  <c:v>0.65202800000000005</c:v>
                </c:pt>
                <c:pt idx="753">
                  <c:v>0.652895</c:v>
                </c:pt>
                <c:pt idx="754">
                  <c:v>0.65376210000000001</c:v>
                </c:pt>
                <c:pt idx="755">
                  <c:v>0.65462920000000002</c:v>
                </c:pt>
                <c:pt idx="756">
                  <c:v>0.65549619999999997</c:v>
                </c:pt>
                <c:pt idx="757">
                  <c:v>0.65636329999999998</c:v>
                </c:pt>
                <c:pt idx="758">
                  <c:v>0.65723030000000005</c:v>
                </c:pt>
                <c:pt idx="759">
                  <c:v>0.65809740000000005</c:v>
                </c:pt>
                <c:pt idx="760">
                  <c:v>0.65896449999999995</c:v>
                </c:pt>
                <c:pt idx="761">
                  <c:v>0.65983150000000002</c:v>
                </c:pt>
                <c:pt idx="762">
                  <c:v>0.66069860000000002</c:v>
                </c:pt>
                <c:pt idx="763">
                  <c:v>0.66156559999999998</c:v>
                </c:pt>
                <c:pt idx="764">
                  <c:v>0.66243269999999999</c:v>
                </c:pt>
                <c:pt idx="765">
                  <c:v>0.66329979999999999</c:v>
                </c:pt>
                <c:pt idx="766">
                  <c:v>0.66416679999999995</c:v>
                </c:pt>
                <c:pt idx="767">
                  <c:v>0.66503389999999996</c:v>
                </c:pt>
                <c:pt idx="768">
                  <c:v>0.66590090000000002</c:v>
                </c:pt>
                <c:pt idx="769">
                  <c:v>0.66676800000000003</c:v>
                </c:pt>
                <c:pt idx="770">
                  <c:v>0.66763499999999998</c:v>
                </c:pt>
                <c:pt idx="771">
                  <c:v>0.66850209999999999</c:v>
                </c:pt>
                <c:pt idx="772">
                  <c:v>0.6693692</c:v>
                </c:pt>
                <c:pt idx="773">
                  <c:v>0.67023619999999995</c:v>
                </c:pt>
                <c:pt idx="774">
                  <c:v>0.67110329999999996</c:v>
                </c:pt>
                <c:pt idx="775">
                  <c:v>0.67197030000000002</c:v>
                </c:pt>
                <c:pt idx="776">
                  <c:v>0.67283740000000003</c:v>
                </c:pt>
                <c:pt idx="777">
                  <c:v>0.67370450000000004</c:v>
                </c:pt>
                <c:pt idx="778">
                  <c:v>0.67457149999999999</c:v>
                </c:pt>
                <c:pt idx="779">
                  <c:v>0.6754386</c:v>
                </c:pt>
                <c:pt idx="780">
                  <c:v>0.67630559999999995</c:v>
                </c:pt>
                <c:pt idx="781">
                  <c:v>0.67717269999999996</c:v>
                </c:pt>
                <c:pt idx="782">
                  <c:v>0.67803970000000002</c:v>
                </c:pt>
                <c:pt idx="783">
                  <c:v>0.67890680000000003</c:v>
                </c:pt>
                <c:pt idx="784">
                  <c:v>0.67977390000000004</c:v>
                </c:pt>
                <c:pt idx="785">
                  <c:v>0.68064089999999999</c:v>
                </c:pt>
                <c:pt idx="786">
                  <c:v>0.681508</c:v>
                </c:pt>
                <c:pt idx="787">
                  <c:v>0.68237499999999995</c:v>
                </c:pt>
                <c:pt idx="788">
                  <c:v>0.68324209999999996</c:v>
                </c:pt>
                <c:pt idx="789">
                  <c:v>0.68410919999999997</c:v>
                </c:pt>
                <c:pt idx="790">
                  <c:v>0.68497620000000004</c:v>
                </c:pt>
                <c:pt idx="791">
                  <c:v>0.68584330000000004</c:v>
                </c:pt>
                <c:pt idx="792">
                  <c:v>0.6867103</c:v>
                </c:pt>
                <c:pt idx="793">
                  <c:v>0.68757740000000001</c:v>
                </c:pt>
                <c:pt idx="794">
                  <c:v>0.68844439999999996</c:v>
                </c:pt>
                <c:pt idx="795">
                  <c:v>0.68931149999999997</c:v>
                </c:pt>
                <c:pt idx="796">
                  <c:v>0.69017859999999998</c:v>
                </c:pt>
                <c:pt idx="797">
                  <c:v>0.69104560000000004</c:v>
                </c:pt>
                <c:pt idx="798">
                  <c:v>0.69191270000000005</c:v>
                </c:pt>
                <c:pt idx="799">
                  <c:v>0.6927797</c:v>
                </c:pt>
                <c:pt idx="800">
                  <c:v>0.69364680000000001</c:v>
                </c:pt>
                <c:pt idx="801">
                  <c:v>0.69451390000000002</c:v>
                </c:pt>
                <c:pt idx="802">
                  <c:v>0.69538089999999997</c:v>
                </c:pt>
                <c:pt idx="803">
                  <c:v>0.69624799999999998</c:v>
                </c:pt>
                <c:pt idx="804">
                  <c:v>0.69711500000000004</c:v>
                </c:pt>
                <c:pt idx="805">
                  <c:v>0.69798210000000005</c:v>
                </c:pt>
                <c:pt idx="806">
                  <c:v>0.6988491</c:v>
                </c:pt>
                <c:pt idx="807">
                  <c:v>0.69971620000000001</c:v>
                </c:pt>
                <c:pt idx="808">
                  <c:v>0.70058330000000002</c:v>
                </c:pt>
                <c:pt idx="809">
                  <c:v>0.70145029999999997</c:v>
                </c:pt>
                <c:pt idx="810">
                  <c:v>0.70231739999999998</c:v>
                </c:pt>
                <c:pt idx="811">
                  <c:v>0.70318440000000004</c:v>
                </c:pt>
                <c:pt idx="812">
                  <c:v>0.70405150000000005</c:v>
                </c:pt>
                <c:pt idx="813">
                  <c:v>0.70491859999999995</c:v>
                </c:pt>
                <c:pt idx="814">
                  <c:v>0.70578560000000001</c:v>
                </c:pt>
                <c:pt idx="815">
                  <c:v>0.70665270000000002</c:v>
                </c:pt>
                <c:pt idx="816">
                  <c:v>0.70751969999999997</c:v>
                </c:pt>
                <c:pt idx="817">
                  <c:v>0.70838679999999998</c:v>
                </c:pt>
                <c:pt idx="818">
                  <c:v>0.70925389999999999</c:v>
                </c:pt>
                <c:pt idx="819">
                  <c:v>0.71012090000000005</c:v>
                </c:pt>
                <c:pt idx="820">
                  <c:v>0.71098799999999995</c:v>
                </c:pt>
                <c:pt idx="821">
                  <c:v>0.71185500000000002</c:v>
                </c:pt>
                <c:pt idx="822">
                  <c:v>0.71272210000000003</c:v>
                </c:pt>
                <c:pt idx="823">
                  <c:v>0.71358909999999998</c:v>
                </c:pt>
                <c:pt idx="824">
                  <c:v>0.71445619999999999</c:v>
                </c:pt>
                <c:pt idx="825">
                  <c:v>0.7153233</c:v>
                </c:pt>
                <c:pt idx="826">
                  <c:v>0.71619029999999995</c:v>
                </c:pt>
                <c:pt idx="827">
                  <c:v>0.71705739999999996</c:v>
                </c:pt>
                <c:pt idx="828">
                  <c:v>0.71792440000000002</c:v>
                </c:pt>
                <c:pt idx="829">
                  <c:v>0.71879150000000003</c:v>
                </c:pt>
                <c:pt idx="830">
                  <c:v>0.71965860000000004</c:v>
                </c:pt>
                <c:pt idx="831">
                  <c:v>0.72052559999999999</c:v>
                </c:pt>
                <c:pt idx="832">
                  <c:v>0.7213927</c:v>
                </c:pt>
                <c:pt idx="833">
                  <c:v>0.72225969999999995</c:v>
                </c:pt>
                <c:pt idx="834">
                  <c:v>0.72312679999999996</c:v>
                </c:pt>
                <c:pt idx="835">
                  <c:v>0.72399380000000002</c:v>
                </c:pt>
                <c:pt idx="836">
                  <c:v>0.72486090000000003</c:v>
                </c:pt>
                <c:pt idx="837">
                  <c:v>0.72572800000000004</c:v>
                </c:pt>
                <c:pt idx="838">
                  <c:v>0.72659499999999999</c:v>
                </c:pt>
                <c:pt idx="839">
                  <c:v>0.7274621</c:v>
                </c:pt>
                <c:pt idx="840">
                  <c:v>0.72832909999999995</c:v>
                </c:pt>
                <c:pt idx="841">
                  <c:v>0.72919619999999996</c:v>
                </c:pt>
                <c:pt idx="842">
                  <c:v>0.73006329999999997</c:v>
                </c:pt>
                <c:pt idx="843">
                  <c:v>0.73093030000000003</c:v>
                </c:pt>
                <c:pt idx="844">
                  <c:v>0.73179740000000004</c:v>
                </c:pt>
                <c:pt idx="845">
                  <c:v>0.73266439999999999</c:v>
                </c:pt>
                <c:pt idx="846">
                  <c:v>0.7335315</c:v>
                </c:pt>
                <c:pt idx="847">
                  <c:v>0.73439849999999995</c:v>
                </c:pt>
                <c:pt idx="848">
                  <c:v>0.73526559999999996</c:v>
                </c:pt>
                <c:pt idx="849">
                  <c:v>0.73613269999999997</c:v>
                </c:pt>
                <c:pt idx="850">
                  <c:v>0.73699970000000004</c:v>
                </c:pt>
                <c:pt idx="851">
                  <c:v>0.73786680000000004</c:v>
                </c:pt>
                <c:pt idx="852">
                  <c:v>0.7387338</c:v>
                </c:pt>
                <c:pt idx="853">
                  <c:v>0.73960090000000001</c:v>
                </c:pt>
                <c:pt idx="854">
                  <c:v>0.74046800000000002</c:v>
                </c:pt>
                <c:pt idx="855">
                  <c:v>0.74133499999999997</c:v>
                </c:pt>
                <c:pt idx="856">
                  <c:v>0.74220209999999998</c:v>
                </c:pt>
                <c:pt idx="857">
                  <c:v>0.74306910000000004</c:v>
                </c:pt>
                <c:pt idx="858">
                  <c:v>0.74393620000000005</c:v>
                </c:pt>
                <c:pt idx="859">
                  <c:v>0.7448032</c:v>
                </c:pt>
                <c:pt idx="860">
                  <c:v>0.74567030000000001</c:v>
                </c:pt>
                <c:pt idx="861">
                  <c:v>0.74653740000000002</c:v>
                </c:pt>
                <c:pt idx="862">
                  <c:v>0.74740439999999997</c:v>
                </c:pt>
                <c:pt idx="863">
                  <c:v>0.74827149999999998</c:v>
                </c:pt>
                <c:pt idx="864">
                  <c:v>0.74913850000000004</c:v>
                </c:pt>
                <c:pt idx="865">
                  <c:v>0.75000560000000005</c:v>
                </c:pt>
                <c:pt idx="866">
                  <c:v>0.75087269999999995</c:v>
                </c:pt>
                <c:pt idx="867">
                  <c:v>0.75173970000000001</c:v>
                </c:pt>
                <c:pt idx="868">
                  <c:v>0.75260680000000002</c:v>
                </c:pt>
                <c:pt idx="869">
                  <c:v>0.75347379999999997</c:v>
                </c:pt>
                <c:pt idx="870">
                  <c:v>0.75434089999999998</c:v>
                </c:pt>
                <c:pt idx="871">
                  <c:v>0.75520799999999999</c:v>
                </c:pt>
                <c:pt idx="872">
                  <c:v>0.75607500000000005</c:v>
                </c:pt>
                <c:pt idx="873">
                  <c:v>0.75694209999999995</c:v>
                </c:pt>
                <c:pt idx="874">
                  <c:v>0.75780910000000001</c:v>
                </c:pt>
                <c:pt idx="875">
                  <c:v>0.75867620000000002</c:v>
                </c:pt>
                <c:pt idx="876">
                  <c:v>0.75954319999999997</c:v>
                </c:pt>
                <c:pt idx="877">
                  <c:v>0.76041029999999998</c:v>
                </c:pt>
                <c:pt idx="878">
                  <c:v>0.76127739999999999</c:v>
                </c:pt>
                <c:pt idx="879">
                  <c:v>0.76214440000000006</c:v>
                </c:pt>
                <c:pt idx="880">
                  <c:v>0.76301149999999995</c:v>
                </c:pt>
                <c:pt idx="881">
                  <c:v>0.76387850000000002</c:v>
                </c:pt>
                <c:pt idx="882">
                  <c:v>0.76474560000000003</c:v>
                </c:pt>
                <c:pt idx="883">
                  <c:v>0.76561270000000003</c:v>
                </c:pt>
                <c:pt idx="884">
                  <c:v>0.76647969999999999</c:v>
                </c:pt>
                <c:pt idx="885">
                  <c:v>0.7673468</c:v>
                </c:pt>
                <c:pt idx="886">
                  <c:v>0.76821379999999995</c:v>
                </c:pt>
                <c:pt idx="887">
                  <c:v>0.76908089999999996</c:v>
                </c:pt>
                <c:pt idx="888">
                  <c:v>0.76994790000000002</c:v>
                </c:pt>
                <c:pt idx="889">
                  <c:v>0.77081500000000003</c:v>
                </c:pt>
                <c:pt idx="890">
                  <c:v>0.77168210000000004</c:v>
                </c:pt>
                <c:pt idx="891">
                  <c:v>0.77254909999999999</c:v>
                </c:pt>
                <c:pt idx="892">
                  <c:v>0.7734162</c:v>
                </c:pt>
                <c:pt idx="893">
                  <c:v>0.77428319999999995</c:v>
                </c:pt>
                <c:pt idx="894">
                  <c:v>0.77515029999999996</c:v>
                </c:pt>
                <c:pt idx="895">
                  <c:v>0.77601739999999997</c:v>
                </c:pt>
                <c:pt idx="896">
                  <c:v>0.77688440000000003</c:v>
                </c:pt>
                <c:pt idx="897">
                  <c:v>0.77775150000000004</c:v>
                </c:pt>
                <c:pt idx="898">
                  <c:v>0.77861849999999999</c:v>
                </c:pt>
                <c:pt idx="899">
                  <c:v>0.7794856</c:v>
                </c:pt>
                <c:pt idx="900">
                  <c:v>0.78035259999999995</c:v>
                </c:pt>
                <c:pt idx="901">
                  <c:v>0.78121969999999996</c:v>
                </c:pt>
                <c:pt idx="902">
                  <c:v>0.78208679999999997</c:v>
                </c:pt>
                <c:pt idx="903">
                  <c:v>0.78295380000000003</c:v>
                </c:pt>
                <c:pt idx="904">
                  <c:v>0.78382090000000004</c:v>
                </c:pt>
                <c:pt idx="905">
                  <c:v>0.78468789999999999</c:v>
                </c:pt>
                <c:pt idx="906">
                  <c:v>0.785555</c:v>
                </c:pt>
                <c:pt idx="907">
                  <c:v>0.78642210000000001</c:v>
                </c:pt>
                <c:pt idx="908">
                  <c:v>0.78728909999999996</c:v>
                </c:pt>
                <c:pt idx="909">
                  <c:v>0.78815619999999997</c:v>
                </c:pt>
                <c:pt idx="910">
                  <c:v>0.78902320000000004</c:v>
                </c:pt>
                <c:pt idx="911">
                  <c:v>0.78989030000000005</c:v>
                </c:pt>
                <c:pt idx="912">
                  <c:v>0.7907573</c:v>
                </c:pt>
                <c:pt idx="913">
                  <c:v>0.79162440000000001</c:v>
                </c:pt>
                <c:pt idx="914">
                  <c:v>0.79249150000000002</c:v>
                </c:pt>
                <c:pt idx="915">
                  <c:v>0.79335849999999997</c:v>
                </c:pt>
                <c:pt idx="916">
                  <c:v>0.79422559999999998</c:v>
                </c:pt>
                <c:pt idx="917">
                  <c:v>0.79509260000000004</c:v>
                </c:pt>
                <c:pt idx="918">
                  <c:v>0.79595970000000005</c:v>
                </c:pt>
                <c:pt idx="919">
                  <c:v>0.79682679999999995</c:v>
                </c:pt>
                <c:pt idx="920">
                  <c:v>0.79769380000000001</c:v>
                </c:pt>
                <c:pt idx="921">
                  <c:v>0.79856090000000002</c:v>
                </c:pt>
                <c:pt idx="922">
                  <c:v>0.79942789999999997</c:v>
                </c:pt>
                <c:pt idx="923">
                  <c:v>0.80029499999999998</c:v>
                </c:pt>
                <c:pt idx="924">
                  <c:v>0.80116209999999999</c:v>
                </c:pt>
                <c:pt idx="925">
                  <c:v>0.80202910000000005</c:v>
                </c:pt>
                <c:pt idx="926">
                  <c:v>0.80289619999999995</c:v>
                </c:pt>
                <c:pt idx="927">
                  <c:v>0.80376320000000001</c:v>
                </c:pt>
                <c:pt idx="928">
                  <c:v>0.80463030000000002</c:v>
                </c:pt>
                <c:pt idx="929">
                  <c:v>0.80549729999999997</c:v>
                </c:pt>
                <c:pt idx="930">
                  <c:v>0.80636439999999998</c:v>
                </c:pt>
                <c:pt idx="931">
                  <c:v>0.80723149999999999</c:v>
                </c:pt>
                <c:pt idx="932">
                  <c:v>0.80809850000000005</c:v>
                </c:pt>
                <c:pt idx="933">
                  <c:v>0.80896559999999995</c:v>
                </c:pt>
                <c:pt idx="934">
                  <c:v>0.80983260000000001</c:v>
                </c:pt>
                <c:pt idx="935">
                  <c:v>0.81069970000000002</c:v>
                </c:pt>
                <c:pt idx="936">
                  <c:v>0.81156680000000003</c:v>
                </c:pt>
                <c:pt idx="937">
                  <c:v>0.81243379999999998</c:v>
                </c:pt>
                <c:pt idx="938">
                  <c:v>0.81330089999999999</c:v>
                </c:pt>
                <c:pt idx="939">
                  <c:v>0.81416790000000006</c:v>
                </c:pt>
                <c:pt idx="940">
                  <c:v>0.81503499999999995</c:v>
                </c:pt>
                <c:pt idx="941">
                  <c:v>0.81590200000000002</c:v>
                </c:pt>
                <c:pt idx="942">
                  <c:v>0.81676910000000003</c:v>
                </c:pt>
                <c:pt idx="943">
                  <c:v>0.81763620000000004</c:v>
                </c:pt>
                <c:pt idx="944">
                  <c:v>0.81850319999999999</c:v>
                </c:pt>
                <c:pt idx="945">
                  <c:v>0.8193703</c:v>
                </c:pt>
                <c:pt idx="946">
                  <c:v>0.82023729999999995</c:v>
                </c:pt>
                <c:pt idx="947">
                  <c:v>0.82110439999999996</c:v>
                </c:pt>
                <c:pt idx="948">
                  <c:v>0.82197149999999997</c:v>
                </c:pt>
                <c:pt idx="949">
                  <c:v>0.82283850000000003</c:v>
                </c:pt>
                <c:pt idx="950">
                  <c:v>0.82370560000000004</c:v>
                </c:pt>
                <c:pt idx="951">
                  <c:v>0.82457259999999999</c:v>
                </c:pt>
                <c:pt idx="952">
                  <c:v>0.8254397</c:v>
                </c:pt>
                <c:pt idx="953">
                  <c:v>0.82630669999999995</c:v>
                </c:pt>
                <c:pt idx="954">
                  <c:v>0.82717379999999996</c:v>
                </c:pt>
                <c:pt idx="955">
                  <c:v>0.82804089999999997</c:v>
                </c:pt>
                <c:pt idx="956">
                  <c:v>0.82890790000000003</c:v>
                </c:pt>
                <c:pt idx="957">
                  <c:v>0.82977500000000004</c:v>
                </c:pt>
                <c:pt idx="958">
                  <c:v>0.83064199999999999</c:v>
                </c:pt>
                <c:pt idx="959">
                  <c:v>0.8315091</c:v>
                </c:pt>
                <c:pt idx="960">
                  <c:v>0.83237620000000001</c:v>
                </c:pt>
                <c:pt idx="961">
                  <c:v>0.83324319999999996</c:v>
                </c:pt>
                <c:pt idx="962">
                  <c:v>0.83411029999999997</c:v>
                </c:pt>
                <c:pt idx="963">
                  <c:v>0.83497730000000003</c:v>
                </c:pt>
                <c:pt idx="964">
                  <c:v>0.83584440000000004</c:v>
                </c:pt>
                <c:pt idx="965">
                  <c:v>0.83671139999999999</c:v>
                </c:pt>
                <c:pt idx="966">
                  <c:v>0.8375785</c:v>
                </c:pt>
                <c:pt idx="967">
                  <c:v>0.83844560000000001</c:v>
                </c:pt>
                <c:pt idx="968">
                  <c:v>0.83931259999999996</c:v>
                </c:pt>
                <c:pt idx="969">
                  <c:v>0.84017969999999997</c:v>
                </c:pt>
                <c:pt idx="970">
                  <c:v>0.84104670000000004</c:v>
                </c:pt>
                <c:pt idx="971">
                  <c:v>0.84191380000000005</c:v>
                </c:pt>
                <c:pt idx="972">
                  <c:v>0.84278090000000005</c:v>
                </c:pt>
                <c:pt idx="973">
                  <c:v>0.84364790000000001</c:v>
                </c:pt>
                <c:pt idx="974">
                  <c:v>0.84451500000000002</c:v>
                </c:pt>
                <c:pt idx="975">
                  <c:v>0.84538199999999997</c:v>
                </c:pt>
                <c:pt idx="976">
                  <c:v>0.84624909999999998</c:v>
                </c:pt>
                <c:pt idx="977">
                  <c:v>0.84711619999999999</c:v>
                </c:pt>
                <c:pt idx="978">
                  <c:v>0.84798320000000005</c:v>
                </c:pt>
                <c:pt idx="979">
                  <c:v>0.84885029999999995</c:v>
                </c:pt>
                <c:pt idx="980">
                  <c:v>0.84971730000000001</c:v>
                </c:pt>
                <c:pt idx="981">
                  <c:v>0.85058440000000002</c:v>
                </c:pt>
                <c:pt idx="982">
                  <c:v>0.85145139999999997</c:v>
                </c:pt>
                <c:pt idx="983">
                  <c:v>0.85231849999999998</c:v>
                </c:pt>
                <c:pt idx="984">
                  <c:v>0.85318559999999999</c:v>
                </c:pt>
                <c:pt idx="985">
                  <c:v>0.85405260000000005</c:v>
                </c:pt>
                <c:pt idx="986">
                  <c:v>0.85491969999999995</c:v>
                </c:pt>
                <c:pt idx="987">
                  <c:v>0.85578670000000001</c:v>
                </c:pt>
                <c:pt idx="988">
                  <c:v>0.85665380000000002</c:v>
                </c:pt>
                <c:pt idx="989">
                  <c:v>0.85752090000000003</c:v>
                </c:pt>
                <c:pt idx="990">
                  <c:v>0.85838789999999998</c:v>
                </c:pt>
                <c:pt idx="991">
                  <c:v>0.85925499999999999</c:v>
                </c:pt>
                <c:pt idx="992">
                  <c:v>0.86012200000000005</c:v>
                </c:pt>
                <c:pt idx="993">
                  <c:v>0.86098909999999995</c:v>
                </c:pt>
                <c:pt idx="994">
                  <c:v>0.86185610000000001</c:v>
                </c:pt>
                <c:pt idx="995">
                  <c:v>0.86272320000000002</c:v>
                </c:pt>
                <c:pt idx="996">
                  <c:v>0.86359030000000003</c:v>
                </c:pt>
                <c:pt idx="997">
                  <c:v>0.86445729999999998</c:v>
                </c:pt>
                <c:pt idx="998">
                  <c:v>0.86532439999999999</c:v>
                </c:pt>
                <c:pt idx="999">
                  <c:v>0.86619139999999994</c:v>
                </c:pt>
              </c:numCache>
            </c:numRef>
          </c:xVal>
          <c:yVal>
            <c:numRef>
              <c:f>'Bending Stiffness'!$D$18:$D$1267</c:f>
              <c:numCache>
                <c:formatCode>0.0000</c:formatCode>
                <c:ptCount val="1250"/>
                <c:pt idx="0">
                  <c:v>0</c:v>
                </c:pt>
                <c:pt idx="1">
                  <c:v>2.1357029999999998E-5</c:v>
                </c:pt>
                <c:pt idx="2">
                  <c:v>4.2714070000000003E-5</c:v>
                </c:pt>
                <c:pt idx="3">
                  <c:v>6.4071100000000011E-5</c:v>
                </c:pt>
                <c:pt idx="4">
                  <c:v>8.5428140000000006E-5</c:v>
                </c:pt>
                <c:pt idx="5">
                  <c:v>1.067852E-4</c:v>
                </c:pt>
                <c:pt idx="6">
                  <c:v>1.2814220000000002E-4</c:v>
                </c:pt>
                <c:pt idx="7">
                  <c:v>1.494992E-4</c:v>
                </c:pt>
                <c:pt idx="8">
                  <c:v>1.7085629999999999E-4</c:v>
                </c:pt>
                <c:pt idx="9">
                  <c:v>1.9221329999999999E-4</c:v>
                </c:pt>
                <c:pt idx="10">
                  <c:v>2.135703E-4</c:v>
                </c:pt>
                <c:pt idx="11">
                  <c:v>2.3492740000000001E-4</c:v>
                </c:pt>
                <c:pt idx="12">
                  <c:v>2.5628440000000004E-4</c:v>
                </c:pt>
                <c:pt idx="13">
                  <c:v>2.7764139999999999E-4</c:v>
                </c:pt>
                <c:pt idx="14">
                  <c:v>2.9899849999999998E-4</c:v>
                </c:pt>
                <c:pt idx="15">
                  <c:v>3.2035550000000004E-4</c:v>
                </c:pt>
                <c:pt idx="16">
                  <c:v>3.4171249999999999E-4</c:v>
                </c:pt>
                <c:pt idx="17">
                  <c:v>3.6306959999999998E-4</c:v>
                </c:pt>
                <c:pt idx="18">
                  <c:v>3.8442659999999998E-4</c:v>
                </c:pt>
                <c:pt idx="19">
                  <c:v>4.0578370000000002E-4</c:v>
                </c:pt>
                <c:pt idx="20">
                  <c:v>4.2714069999999997E-4</c:v>
                </c:pt>
                <c:pt idx="21">
                  <c:v>4.4849769999999998E-4</c:v>
                </c:pt>
                <c:pt idx="22">
                  <c:v>4.6985480000000002E-4</c:v>
                </c:pt>
                <c:pt idx="23">
                  <c:v>4.9121180000000003E-4</c:v>
                </c:pt>
                <c:pt idx="24">
                  <c:v>5.1256880000000009E-4</c:v>
                </c:pt>
                <c:pt idx="25">
                  <c:v>5.3392589999999996E-4</c:v>
                </c:pt>
                <c:pt idx="26">
                  <c:v>5.5528290000000002E-4</c:v>
                </c:pt>
                <c:pt idx="27">
                  <c:v>5.7663989999999997E-4</c:v>
                </c:pt>
                <c:pt idx="28">
                  <c:v>5.9799699999999996E-4</c:v>
                </c:pt>
                <c:pt idx="29">
                  <c:v>6.1935399999999991E-4</c:v>
                </c:pt>
                <c:pt idx="30">
                  <c:v>6.4071100000000008E-4</c:v>
                </c:pt>
                <c:pt idx="31">
                  <c:v>6.6206810000000007E-4</c:v>
                </c:pt>
                <c:pt idx="32">
                  <c:v>6.8342510000000002E-4</c:v>
                </c:pt>
                <c:pt idx="33">
                  <c:v>7.0478209999999997E-4</c:v>
                </c:pt>
                <c:pt idx="34">
                  <c:v>7.2613919999999995E-4</c:v>
                </c:pt>
                <c:pt idx="35">
                  <c:v>7.4749620000000001E-4</c:v>
                </c:pt>
                <c:pt idx="36">
                  <c:v>7.6885319999999997E-4</c:v>
                </c:pt>
                <c:pt idx="37">
                  <c:v>7.9021030000000006E-4</c:v>
                </c:pt>
                <c:pt idx="38">
                  <c:v>8.1156730000000001E-4</c:v>
                </c:pt>
                <c:pt idx="39">
                  <c:v>8.3292429999999996E-4</c:v>
                </c:pt>
                <c:pt idx="40">
                  <c:v>8.5428139999999995E-4</c:v>
                </c:pt>
                <c:pt idx="41">
                  <c:v>8.7563840000000001E-4</c:v>
                </c:pt>
                <c:pt idx="42">
                  <c:v>8.9699539999999996E-4</c:v>
                </c:pt>
                <c:pt idx="43">
                  <c:v>9.1835250000000005E-4</c:v>
                </c:pt>
                <c:pt idx="44">
                  <c:v>9.3970950000000001E-4</c:v>
                </c:pt>
                <c:pt idx="45">
                  <c:v>9.6106650000000007E-4</c:v>
                </c:pt>
                <c:pt idx="46">
                  <c:v>9.8242360000000005E-4</c:v>
                </c:pt>
                <c:pt idx="47">
                  <c:v>1.003781E-3</c:v>
                </c:pt>
                <c:pt idx="48">
                  <c:v>1.0251380000000001E-3</c:v>
                </c:pt>
                <c:pt idx="49">
                  <c:v>1.0464949999999999E-3</c:v>
                </c:pt>
                <c:pt idx="50">
                  <c:v>1.067852E-3</c:v>
                </c:pt>
                <c:pt idx="51">
                  <c:v>1.0892090000000001E-3</c:v>
                </c:pt>
                <c:pt idx="52">
                  <c:v>1.1105659999999999E-3</c:v>
                </c:pt>
                <c:pt idx="53">
                  <c:v>1.131923E-3</c:v>
                </c:pt>
                <c:pt idx="54">
                  <c:v>1.15328E-3</c:v>
                </c:pt>
                <c:pt idx="55">
                  <c:v>1.1746369999999999E-3</c:v>
                </c:pt>
                <c:pt idx="56">
                  <c:v>1.1959939999999999E-3</c:v>
                </c:pt>
                <c:pt idx="57">
                  <c:v>1.217351E-3</c:v>
                </c:pt>
                <c:pt idx="58">
                  <c:v>1.2387079999999998E-3</c:v>
                </c:pt>
                <c:pt idx="59">
                  <c:v>1.2600649999999999E-3</c:v>
                </c:pt>
                <c:pt idx="60">
                  <c:v>1.2814220000000002E-3</c:v>
                </c:pt>
                <c:pt idx="61">
                  <c:v>1.302779E-3</c:v>
                </c:pt>
                <c:pt idx="62">
                  <c:v>1.3241360000000001E-3</c:v>
                </c:pt>
                <c:pt idx="63">
                  <c:v>1.3454930000000001E-3</c:v>
                </c:pt>
                <c:pt idx="64">
                  <c:v>1.36685E-3</c:v>
                </c:pt>
                <c:pt idx="65">
                  <c:v>1.388207E-3</c:v>
                </c:pt>
                <c:pt idx="66">
                  <c:v>1.4095640000000001E-3</c:v>
                </c:pt>
                <c:pt idx="67">
                  <c:v>1.4309210000000001E-3</c:v>
                </c:pt>
                <c:pt idx="68">
                  <c:v>1.452278E-3</c:v>
                </c:pt>
                <c:pt idx="69">
                  <c:v>1.473635E-3</c:v>
                </c:pt>
                <c:pt idx="70">
                  <c:v>1.4949920000000001E-3</c:v>
                </c:pt>
                <c:pt idx="71">
                  <c:v>1.516349E-3</c:v>
                </c:pt>
                <c:pt idx="72">
                  <c:v>1.537706E-3</c:v>
                </c:pt>
                <c:pt idx="73">
                  <c:v>1.559064E-3</c:v>
                </c:pt>
                <c:pt idx="74">
                  <c:v>1.580421E-3</c:v>
                </c:pt>
                <c:pt idx="75">
                  <c:v>1.6017779999999999E-3</c:v>
                </c:pt>
                <c:pt idx="76">
                  <c:v>1.6231349999999999E-3</c:v>
                </c:pt>
                <c:pt idx="77">
                  <c:v>1.644492E-3</c:v>
                </c:pt>
                <c:pt idx="78">
                  <c:v>1.6658489999999998E-3</c:v>
                </c:pt>
                <c:pt idx="79">
                  <c:v>1.6872059999999999E-3</c:v>
                </c:pt>
                <c:pt idx="80">
                  <c:v>1.708563E-3</c:v>
                </c:pt>
                <c:pt idx="81">
                  <c:v>1.7299199999999998E-3</c:v>
                </c:pt>
                <c:pt idx="82">
                  <c:v>1.7512769999999999E-3</c:v>
                </c:pt>
                <c:pt idx="83">
                  <c:v>1.7726340000000001E-3</c:v>
                </c:pt>
                <c:pt idx="84">
                  <c:v>1.793991E-3</c:v>
                </c:pt>
                <c:pt idx="85">
                  <c:v>1.815348E-3</c:v>
                </c:pt>
                <c:pt idx="86">
                  <c:v>1.8367050000000001E-3</c:v>
                </c:pt>
                <c:pt idx="87">
                  <c:v>1.8580620000000002E-3</c:v>
                </c:pt>
                <c:pt idx="88">
                  <c:v>1.879419E-3</c:v>
                </c:pt>
                <c:pt idx="89">
                  <c:v>1.9007760000000001E-3</c:v>
                </c:pt>
                <c:pt idx="90">
                  <c:v>1.9221330000000001E-3</c:v>
                </c:pt>
                <c:pt idx="91">
                  <c:v>1.94349E-3</c:v>
                </c:pt>
                <c:pt idx="92">
                  <c:v>1.964847E-3</c:v>
                </c:pt>
                <c:pt idx="93">
                  <c:v>1.9862040000000001E-3</c:v>
                </c:pt>
                <c:pt idx="94">
                  <c:v>2.0075609999999997E-3</c:v>
                </c:pt>
                <c:pt idx="95">
                  <c:v>2.0289180000000002E-3</c:v>
                </c:pt>
                <c:pt idx="96">
                  <c:v>2.0502750000000003E-3</c:v>
                </c:pt>
                <c:pt idx="97">
                  <c:v>2.0716320000000003E-3</c:v>
                </c:pt>
                <c:pt idx="98">
                  <c:v>2.0929890000000004E-3</c:v>
                </c:pt>
                <c:pt idx="99">
                  <c:v>2.114346E-3</c:v>
                </c:pt>
                <c:pt idx="100">
                  <c:v>2.1357030000000001E-3</c:v>
                </c:pt>
                <c:pt idx="101">
                  <c:v>2.1570600000000001E-3</c:v>
                </c:pt>
                <c:pt idx="102">
                  <c:v>2.1784180000000001E-3</c:v>
                </c:pt>
                <c:pt idx="103">
                  <c:v>2.1997749999999997E-3</c:v>
                </c:pt>
                <c:pt idx="104">
                  <c:v>2.2211319999999998E-3</c:v>
                </c:pt>
                <c:pt idx="105">
                  <c:v>2.2424889999999999E-3</c:v>
                </c:pt>
                <c:pt idx="106">
                  <c:v>2.2638459999999999E-3</c:v>
                </c:pt>
                <c:pt idx="107">
                  <c:v>2.285203E-3</c:v>
                </c:pt>
                <c:pt idx="108">
                  <c:v>2.30656E-3</c:v>
                </c:pt>
                <c:pt idx="109">
                  <c:v>2.3279169999999997E-3</c:v>
                </c:pt>
                <c:pt idx="110">
                  <c:v>2.3492739999999997E-3</c:v>
                </c:pt>
                <c:pt idx="111">
                  <c:v>2.3706309999999998E-3</c:v>
                </c:pt>
                <c:pt idx="112">
                  <c:v>2.3919879999999998E-3</c:v>
                </c:pt>
                <c:pt idx="113">
                  <c:v>2.4133449999999999E-3</c:v>
                </c:pt>
                <c:pt idx="114">
                  <c:v>2.434702E-3</c:v>
                </c:pt>
                <c:pt idx="115">
                  <c:v>2.456059E-3</c:v>
                </c:pt>
                <c:pt idx="116">
                  <c:v>2.4774159999999996E-3</c:v>
                </c:pt>
                <c:pt idx="117">
                  <c:v>2.4987729999999997E-3</c:v>
                </c:pt>
                <c:pt idx="118">
                  <c:v>2.5201299999999998E-3</c:v>
                </c:pt>
                <c:pt idx="119">
                  <c:v>2.5414870000000003E-3</c:v>
                </c:pt>
                <c:pt idx="120">
                  <c:v>2.5628440000000003E-3</c:v>
                </c:pt>
                <c:pt idx="121">
                  <c:v>2.5842010000000004E-3</c:v>
                </c:pt>
                <c:pt idx="122">
                  <c:v>2.605558E-3</c:v>
                </c:pt>
                <c:pt idx="123">
                  <c:v>2.6269150000000001E-3</c:v>
                </c:pt>
                <c:pt idx="124">
                  <c:v>2.6482720000000001E-3</c:v>
                </c:pt>
                <c:pt idx="125">
                  <c:v>2.6696290000000002E-3</c:v>
                </c:pt>
                <c:pt idx="126">
                  <c:v>2.6909860000000002E-3</c:v>
                </c:pt>
                <c:pt idx="127">
                  <c:v>2.7123430000000003E-3</c:v>
                </c:pt>
                <c:pt idx="128">
                  <c:v>2.7336999999999999E-3</c:v>
                </c:pt>
                <c:pt idx="129">
                  <c:v>2.755057E-3</c:v>
                </c:pt>
                <c:pt idx="130">
                  <c:v>2.7764140000000001E-3</c:v>
                </c:pt>
                <c:pt idx="131">
                  <c:v>2.7977710000000001E-3</c:v>
                </c:pt>
                <c:pt idx="132">
                  <c:v>2.8191290000000001E-3</c:v>
                </c:pt>
                <c:pt idx="133">
                  <c:v>2.8404859999999997E-3</c:v>
                </c:pt>
                <c:pt idx="134">
                  <c:v>2.8618429999999998E-3</c:v>
                </c:pt>
                <c:pt idx="135">
                  <c:v>2.8831999999999998E-3</c:v>
                </c:pt>
                <c:pt idx="136">
                  <c:v>2.9045569999999999E-3</c:v>
                </c:pt>
                <c:pt idx="137">
                  <c:v>2.9259139999999999E-3</c:v>
                </c:pt>
                <c:pt idx="138">
                  <c:v>2.947271E-3</c:v>
                </c:pt>
                <c:pt idx="139">
                  <c:v>2.9686279999999996E-3</c:v>
                </c:pt>
                <c:pt idx="140">
                  <c:v>2.9899849999999997E-3</c:v>
                </c:pt>
                <c:pt idx="141">
                  <c:v>3.0113419999999998E-3</c:v>
                </c:pt>
                <c:pt idx="142">
                  <c:v>3.0326990000000002E-3</c:v>
                </c:pt>
                <c:pt idx="143">
                  <c:v>3.0540560000000003E-3</c:v>
                </c:pt>
                <c:pt idx="144">
                  <c:v>3.0754130000000004E-3</c:v>
                </c:pt>
                <c:pt idx="145">
                  <c:v>3.09677E-3</c:v>
                </c:pt>
                <c:pt idx="146">
                  <c:v>3.1181270000000001E-3</c:v>
                </c:pt>
                <c:pt idx="147">
                  <c:v>3.1394840000000001E-3</c:v>
                </c:pt>
                <c:pt idx="148">
                  <c:v>3.1608410000000002E-3</c:v>
                </c:pt>
                <c:pt idx="149">
                  <c:v>3.1821980000000002E-3</c:v>
                </c:pt>
                <c:pt idx="150">
                  <c:v>3.2035550000000003E-3</c:v>
                </c:pt>
                <c:pt idx="151">
                  <c:v>3.2249119999999999E-3</c:v>
                </c:pt>
                <c:pt idx="152">
                  <c:v>3.246269E-3</c:v>
                </c:pt>
                <c:pt idx="153">
                  <c:v>3.267626E-3</c:v>
                </c:pt>
                <c:pt idx="154">
                  <c:v>3.2889830000000001E-3</c:v>
                </c:pt>
                <c:pt idx="155">
                  <c:v>3.3103400000000002E-3</c:v>
                </c:pt>
                <c:pt idx="156">
                  <c:v>3.3316970000000002E-3</c:v>
                </c:pt>
                <c:pt idx="157">
                  <c:v>3.3530540000000003E-3</c:v>
                </c:pt>
                <c:pt idx="158">
                  <c:v>3.3744109999999999E-3</c:v>
                </c:pt>
                <c:pt idx="159">
                  <c:v>3.395768E-3</c:v>
                </c:pt>
                <c:pt idx="160">
                  <c:v>3.417125E-3</c:v>
                </c:pt>
                <c:pt idx="161">
                  <c:v>3.438483E-3</c:v>
                </c:pt>
                <c:pt idx="162">
                  <c:v>3.4598399999999996E-3</c:v>
                </c:pt>
                <c:pt idx="163">
                  <c:v>3.4811969999999997E-3</c:v>
                </c:pt>
                <c:pt idx="164">
                  <c:v>3.5025539999999997E-3</c:v>
                </c:pt>
                <c:pt idx="165">
                  <c:v>3.5239110000000002E-3</c:v>
                </c:pt>
                <c:pt idx="166">
                  <c:v>3.5452680000000003E-3</c:v>
                </c:pt>
                <c:pt idx="167">
                  <c:v>3.5666250000000004E-3</c:v>
                </c:pt>
                <c:pt idx="168">
                  <c:v>3.587982E-3</c:v>
                </c:pt>
                <c:pt idx="169">
                  <c:v>3.609339E-3</c:v>
                </c:pt>
                <c:pt idx="170">
                  <c:v>3.6306960000000001E-3</c:v>
                </c:pt>
                <c:pt idx="171">
                  <c:v>3.6520530000000002E-3</c:v>
                </c:pt>
                <c:pt idx="172">
                  <c:v>3.6734100000000002E-3</c:v>
                </c:pt>
                <c:pt idx="173">
                  <c:v>3.6947670000000003E-3</c:v>
                </c:pt>
                <c:pt idx="174">
                  <c:v>3.7161240000000003E-3</c:v>
                </c:pt>
                <c:pt idx="175">
                  <c:v>3.737481E-3</c:v>
                </c:pt>
                <c:pt idx="176">
                  <c:v>3.758838E-3</c:v>
                </c:pt>
                <c:pt idx="177">
                  <c:v>3.7801950000000001E-3</c:v>
                </c:pt>
                <c:pt idx="178">
                  <c:v>3.8015520000000001E-3</c:v>
                </c:pt>
                <c:pt idx="179">
                  <c:v>3.8229090000000002E-3</c:v>
                </c:pt>
                <c:pt idx="180">
                  <c:v>3.8442660000000003E-3</c:v>
                </c:pt>
                <c:pt idx="181">
                  <c:v>3.8656229999999999E-3</c:v>
                </c:pt>
                <c:pt idx="182">
                  <c:v>3.8869799999999999E-3</c:v>
                </c:pt>
                <c:pt idx="183">
                  <c:v>3.9083369999999996E-3</c:v>
                </c:pt>
                <c:pt idx="184">
                  <c:v>3.9296940000000001E-3</c:v>
                </c:pt>
                <c:pt idx="185">
                  <c:v>3.9510509999999997E-3</c:v>
                </c:pt>
                <c:pt idx="186">
                  <c:v>3.9724080000000002E-3</c:v>
                </c:pt>
                <c:pt idx="187">
                  <c:v>3.9937649999999998E-3</c:v>
                </c:pt>
                <c:pt idx="188">
                  <c:v>4.0151219999999994E-3</c:v>
                </c:pt>
                <c:pt idx="189">
                  <c:v>4.0364789999999999E-3</c:v>
                </c:pt>
                <c:pt idx="190">
                  <c:v>4.0578369999999999E-3</c:v>
                </c:pt>
                <c:pt idx="191">
                  <c:v>4.0791940000000004E-3</c:v>
                </c:pt>
                <c:pt idx="192">
                  <c:v>4.100551E-3</c:v>
                </c:pt>
                <c:pt idx="193">
                  <c:v>4.1219080000000005E-3</c:v>
                </c:pt>
                <c:pt idx="194">
                  <c:v>4.1432650000000001E-3</c:v>
                </c:pt>
                <c:pt idx="195">
                  <c:v>4.1646219999999998E-3</c:v>
                </c:pt>
                <c:pt idx="196">
                  <c:v>4.1859789999999994E-3</c:v>
                </c:pt>
                <c:pt idx="197">
                  <c:v>4.2073359999999999E-3</c:v>
                </c:pt>
                <c:pt idx="198">
                  <c:v>4.2286929999999995E-3</c:v>
                </c:pt>
                <c:pt idx="199">
                  <c:v>4.25005E-3</c:v>
                </c:pt>
                <c:pt idx="200">
                  <c:v>4.2714069999999996E-3</c:v>
                </c:pt>
                <c:pt idx="201">
                  <c:v>4.2927640000000001E-3</c:v>
                </c:pt>
                <c:pt idx="202">
                  <c:v>4.3141209999999998E-3</c:v>
                </c:pt>
                <c:pt idx="203">
                  <c:v>4.3354780000000002E-3</c:v>
                </c:pt>
                <c:pt idx="204">
                  <c:v>4.3568349999999999E-3</c:v>
                </c:pt>
                <c:pt idx="205">
                  <c:v>4.3781920000000004E-3</c:v>
                </c:pt>
                <c:pt idx="206">
                  <c:v>4.399549E-3</c:v>
                </c:pt>
                <c:pt idx="207">
                  <c:v>4.4209059999999996E-3</c:v>
                </c:pt>
                <c:pt idx="208">
                  <c:v>4.4422629999999992E-3</c:v>
                </c:pt>
                <c:pt idx="209">
                  <c:v>4.4636199999999997E-3</c:v>
                </c:pt>
                <c:pt idx="210">
                  <c:v>4.4849769999999994E-3</c:v>
                </c:pt>
                <c:pt idx="211">
                  <c:v>4.5063339999999999E-3</c:v>
                </c:pt>
                <c:pt idx="212">
                  <c:v>4.5276909999999995E-3</c:v>
                </c:pt>
                <c:pt idx="213">
                  <c:v>4.549048E-3</c:v>
                </c:pt>
                <c:pt idx="214">
                  <c:v>4.5704050000000005E-3</c:v>
                </c:pt>
                <c:pt idx="215">
                  <c:v>4.5917620000000001E-3</c:v>
                </c:pt>
                <c:pt idx="216">
                  <c:v>4.6131190000000006E-3</c:v>
                </c:pt>
                <c:pt idx="217">
                  <c:v>4.6344760000000002E-3</c:v>
                </c:pt>
                <c:pt idx="218">
                  <c:v>4.6558330000000007E-3</c:v>
                </c:pt>
                <c:pt idx="219">
                  <c:v>4.6771909999999998E-3</c:v>
                </c:pt>
                <c:pt idx="220">
                  <c:v>4.6985479999999994E-3</c:v>
                </c:pt>
                <c:pt idx="221">
                  <c:v>4.7199049999999999E-3</c:v>
                </c:pt>
                <c:pt idx="222">
                  <c:v>4.7412619999999996E-3</c:v>
                </c:pt>
                <c:pt idx="223">
                  <c:v>4.7626190000000001E-3</c:v>
                </c:pt>
                <c:pt idx="224">
                  <c:v>4.7839759999999997E-3</c:v>
                </c:pt>
                <c:pt idx="225">
                  <c:v>4.8053330000000002E-3</c:v>
                </c:pt>
                <c:pt idx="226">
                  <c:v>4.8266899999999998E-3</c:v>
                </c:pt>
                <c:pt idx="227">
                  <c:v>4.8480470000000003E-3</c:v>
                </c:pt>
                <c:pt idx="228">
                  <c:v>4.8694039999999999E-3</c:v>
                </c:pt>
                <c:pt idx="229">
                  <c:v>4.8907610000000004E-3</c:v>
                </c:pt>
                <c:pt idx="230">
                  <c:v>4.912118E-3</c:v>
                </c:pt>
                <c:pt idx="231">
                  <c:v>4.9334749999999997E-3</c:v>
                </c:pt>
                <c:pt idx="232">
                  <c:v>4.9548319999999993E-3</c:v>
                </c:pt>
                <c:pt idx="233">
                  <c:v>4.9761889999999998E-3</c:v>
                </c:pt>
                <c:pt idx="234">
                  <c:v>4.9975459999999994E-3</c:v>
                </c:pt>
                <c:pt idx="235">
                  <c:v>5.0189029999999999E-3</c:v>
                </c:pt>
                <c:pt idx="236">
                  <c:v>5.0402599999999995E-3</c:v>
                </c:pt>
                <c:pt idx="237">
                  <c:v>5.061617E-3</c:v>
                </c:pt>
                <c:pt idx="238">
                  <c:v>5.0829740000000005E-3</c:v>
                </c:pt>
                <c:pt idx="239">
                  <c:v>5.1043310000000001E-3</c:v>
                </c:pt>
                <c:pt idx="240">
                  <c:v>5.1256880000000006E-3</c:v>
                </c:pt>
                <c:pt idx="241">
                  <c:v>5.1470450000000003E-3</c:v>
                </c:pt>
                <c:pt idx="242">
                  <c:v>5.1684020000000008E-3</c:v>
                </c:pt>
                <c:pt idx="243">
                  <c:v>5.1897589999999995E-3</c:v>
                </c:pt>
                <c:pt idx="244">
                  <c:v>5.211116E-3</c:v>
                </c:pt>
                <c:pt idx="245">
                  <c:v>5.2324729999999996E-3</c:v>
                </c:pt>
                <c:pt idx="246">
                  <c:v>5.2538300000000001E-3</c:v>
                </c:pt>
                <c:pt idx="247">
                  <c:v>5.2751869999999998E-3</c:v>
                </c:pt>
                <c:pt idx="248">
                  <c:v>5.2965449999999997E-3</c:v>
                </c:pt>
                <c:pt idx="249">
                  <c:v>5.3179020000000002E-3</c:v>
                </c:pt>
                <c:pt idx="250">
                  <c:v>5.3392589999999998E-3</c:v>
                </c:pt>
                <c:pt idx="251">
                  <c:v>5.3606160000000003E-3</c:v>
                </c:pt>
                <c:pt idx="252">
                  <c:v>5.381973E-3</c:v>
                </c:pt>
                <c:pt idx="253">
                  <c:v>5.4033300000000005E-3</c:v>
                </c:pt>
                <c:pt idx="254">
                  <c:v>5.4246869999999992E-3</c:v>
                </c:pt>
                <c:pt idx="255">
                  <c:v>5.4460439999999997E-3</c:v>
                </c:pt>
                <c:pt idx="256">
                  <c:v>5.4674009999999993E-3</c:v>
                </c:pt>
                <c:pt idx="257">
                  <c:v>5.4887579999999998E-3</c:v>
                </c:pt>
                <c:pt idx="258">
                  <c:v>5.5101149999999995E-3</c:v>
                </c:pt>
                <c:pt idx="259">
                  <c:v>5.531472E-3</c:v>
                </c:pt>
                <c:pt idx="260">
                  <c:v>5.5528290000000004E-3</c:v>
                </c:pt>
                <c:pt idx="261">
                  <c:v>5.5741860000000001E-3</c:v>
                </c:pt>
                <c:pt idx="262">
                  <c:v>5.5955430000000006E-3</c:v>
                </c:pt>
                <c:pt idx="263">
                  <c:v>5.6169000000000002E-3</c:v>
                </c:pt>
                <c:pt idx="264">
                  <c:v>5.6382570000000007E-3</c:v>
                </c:pt>
                <c:pt idx="265">
                  <c:v>5.6596140000000003E-3</c:v>
                </c:pt>
                <c:pt idx="266">
                  <c:v>5.6809710000000008E-3</c:v>
                </c:pt>
                <c:pt idx="267">
                  <c:v>5.7023279999999996E-3</c:v>
                </c:pt>
                <c:pt idx="268">
                  <c:v>5.7236850000000001E-3</c:v>
                </c:pt>
                <c:pt idx="269">
                  <c:v>5.7450419999999997E-3</c:v>
                </c:pt>
                <c:pt idx="270">
                  <c:v>5.7663990000000002E-3</c:v>
                </c:pt>
                <c:pt idx="271">
                  <c:v>5.7877559999999998E-3</c:v>
                </c:pt>
                <c:pt idx="272">
                  <c:v>5.8091130000000003E-3</c:v>
                </c:pt>
                <c:pt idx="273">
                  <c:v>5.8304699999999999E-3</c:v>
                </c:pt>
                <c:pt idx="274">
                  <c:v>5.8518270000000004E-3</c:v>
                </c:pt>
                <c:pt idx="275">
                  <c:v>5.873184E-3</c:v>
                </c:pt>
                <c:pt idx="276">
                  <c:v>5.8945410000000005E-3</c:v>
                </c:pt>
                <c:pt idx="277">
                  <c:v>5.9158989999999996E-3</c:v>
                </c:pt>
                <c:pt idx="278">
                  <c:v>5.9372559999999993E-3</c:v>
                </c:pt>
                <c:pt idx="279">
                  <c:v>5.9586129999999998E-3</c:v>
                </c:pt>
                <c:pt idx="280">
                  <c:v>5.9799699999999994E-3</c:v>
                </c:pt>
                <c:pt idx="281">
                  <c:v>6.0013269999999999E-3</c:v>
                </c:pt>
                <c:pt idx="282">
                  <c:v>6.0226839999999995E-3</c:v>
                </c:pt>
                <c:pt idx="283">
                  <c:v>6.044041E-3</c:v>
                </c:pt>
                <c:pt idx="284">
                  <c:v>6.0653980000000005E-3</c:v>
                </c:pt>
                <c:pt idx="285">
                  <c:v>6.0867550000000001E-3</c:v>
                </c:pt>
                <c:pt idx="286">
                  <c:v>6.1081120000000006E-3</c:v>
                </c:pt>
                <c:pt idx="287">
                  <c:v>6.1294690000000002E-3</c:v>
                </c:pt>
                <c:pt idx="288">
                  <c:v>6.1508260000000007E-3</c:v>
                </c:pt>
                <c:pt idx="289">
                  <c:v>6.1721830000000004E-3</c:v>
                </c:pt>
                <c:pt idx="290">
                  <c:v>6.19354E-3</c:v>
                </c:pt>
                <c:pt idx="291">
                  <c:v>6.2148969999999996E-3</c:v>
                </c:pt>
                <c:pt idx="292">
                  <c:v>6.2362540000000001E-3</c:v>
                </c:pt>
                <c:pt idx="293">
                  <c:v>6.2576109999999997E-3</c:v>
                </c:pt>
                <c:pt idx="294">
                  <c:v>6.2789680000000002E-3</c:v>
                </c:pt>
                <c:pt idx="295">
                  <c:v>6.3003249999999998E-3</c:v>
                </c:pt>
                <c:pt idx="296">
                  <c:v>6.3216820000000003E-3</c:v>
                </c:pt>
                <c:pt idx="297">
                  <c:v>6.343039E-3</c:v>
                </c:pt>
                <c:pt idx="298">
                  <c:v>6.3643960000000005E-3</c:v>
                </c:pt>
                <c:pt idx="299">
                  <c:v>6.3857530000000001E-3</c:v>
                </c:pt>
                <c:pt idx="300">
                  <c:v>6.4071100000000006E-3</c:v>
                </c:pt>
                <c:pt idx="301">
                  <c:v>6.4284670000000002E-3</c:v>
                </c:pt>
                <c:pt idx="302">
                  <c:v>6.4498239999999998E-3</c:v>
                </c:pt>
                <c:pt idx="303">
                  <c:v>6.4711809999999995E-3</c:v>
                </c:pt>
                <c:pt idx="304">
                  <c:v>6.492538E-3</c:v>
                </c:pt>
                <c:pt idx="305">
                  <c:v>6.5138949999999996E-3</c:v>
                </c:pt>
                <c:pt idx="306">
                  <c:v>6.5352529999999995E-3</c:v>
                </c:pt>
                <c:pt idx="307">
                  <c:v>6.55661E-3</c:v>
                </c:pt>
                <c:pt idx="308">
                  <c:v>6.5779670000000005E-3</c:v>
                </c:pt>
                <c:pt idx="309">
                  <c:v>6.5993240000000002E-3</c:v>
                </c:pt>
                <c:pt idx="310">
                  <c:v>6.6206810000000007E-3</c:v>
                </c:pt>
                <c:pt idx="311">
                  <c:v>6.6420380000000003E-3</c:v>
                </c:pt>
                <c:pt idx="312">
                  <c:v>6.6633950000000008E-3</c:v>
                </c:pt>
                <c:pt idx="313">
                  <c:v>6.6847519999999995E-3</c:v>
                </c:pt>
                <c:pt idx="314">
                  <c:v>6.706109E-3</c:v>
                </c:pt>
                <c:pt idx="315">
                  <c:v>6.7274659999999997E-3</c:v>
                </c:pt>
                <c:pt idx="316">
                  <c:v>6.7488230000000001E-3</c:v>
                </c:pt>
                <c:pt idx="317">
                  <c:v>6.7701799999999998E-3</c:v>
                </c:pt>
                <c:pt idx="318">
                  <c:v>6.7915370000000003E-3</c:v>
                </c:pt>
                <c:pt idx="319">
                  <c:v>6.8128939999999999E-3</c:v>
                </c:pt>
                <c:pt idx="320">
                  <c:v>6.8342510000000004E-3</c:v>
                </c:pt>
                <c:pt idx="321">
                  <c:v>6.855608E-3</c:v>
                </c:pt>
                <c:pt idx="322">
                  <c:v>6.8769650000000005E-3</c:v>
                </c:pt>
                <c:pt idx="323">
                  <c:v>6.8983220000000001E-3</c:v>
                </c:pt>
                <c:pt idx="324">
                  <c:v>6.9196790000000006E-3</c:v>
                </c:pt>
                <c:pt idx="325">
                  <c:v>6.9410360000000003E-3</c:v>
                </c:pt>
                <c:pt idx="326">
                  <c:v>6.9623929999999999E-3</c:v>
                </c:pt>
                <c:pt idx="327">
                  <c:v>6.9837499999999995E-3</c:v>
                </c:pt>
                <c:pt idx="328">
                  <c:v>7.005107E-3</c:v>
                </c:pt>
                <c:pt idx="329">
                  <c:v>7.0264639999999996E-3</c:v>
                </c:pt>
                <c:pt idx="330">
                  <c:v>7.0478210000000001E-3</c:v>
                </c:pt>
                <c:pt idx="331">
                  <c:v>7.0691779999999997E-3</c:v>
                </c:pt>
                <c:pt idx="332">
                  <c:v>7.0905350000000002E-3</c:v>
                </c:pt>
                <c:pt idx="333">
                  <c:v>7.1118919999999999E-3</c:v>
                </c:pt>
                <c:pt idx="334">
                  <c:v>7.1332490000000004E-3</c:v>
                </c:pt>
                <c:pt idx="335">
                  <c:v>7.154606E-3</c:v>
                </c:pt>
                <c:pt idx="336">
                  <c:v>7.175964E-3</c:v>
                </c:pt>
                <c:pt idx="337">
                  <c:v>7.1973209999999996E-3</c:v>
                </c:pt>
                <c:pt idx="338">
                  <c:v>7.2186780000000001E-3</c:v>
                </c:pt>
                <c:pt idx="339">
                  <c:v>7.2400349999999997E-3</c:v>
                </c:pt>
                <c:pt idx="340">
                  <c:v>7.2613920000000002E-3</c:v>
                </c:pt>
                <c:pt idx="341">
                  <c:v>7.2827489999999998E-3</c:v>
                </c:pt>
                <c:pt idx="342">
                  <c:v>7.3041060000000003E-3</c:v>
                </c:pt>
                <c:pt idx="343">
                  <c:v>7.3254629999999999E-3</c:v>
                </c:pt>
                <c:pt idx="344">
                  <c:v>7.3468200000000004E-3</c:v>
                </c:pt>
                <c:pt idx="345">
                  <c:v>7.3681770000000001E-3</c:v>
                </c:pt>
                <c:pt idx="346">
                  <c:v>7.3895340000000006E-3</c:v>
                </c:pt>
                <c:pt idx="347">
                  <c:v>7.4108910000000002E-3</c:v>
                </c:pt>
                <c:pt idx="348">
                  <c:v>7.4322480000000007E-3</c:v>
                </c:pt>
                <c:pt idx="349">
                  <c:v>7.4536049999999994E-3</c:v>
                </c:pt>
                <c:pt idx="350">
                  <c:v>7.4749619999999999E-3</c:v>
                </c:pt>
                <c:pt idx="351">
                  <c:v>7.4963189999999996E-3</c:v>
                </c:pt>
                <c:pt idx="352">
                  <c:v>7.517676E-3</c:v>
                </c:pt>
                <c:pt idx="353">
                  <c:v>7.5390329999999997E-3</c:v>
                </c:pt>
                <c:pt idx="354">
                  <c:v>7.5603900000000002E-3</c:v>
                </c:pt>
                <c:pt idx="355">
                  <c:v>7.5817469999999998E-3</c:v>
                </c:pt>
                <c:pt idx="356">
                  <c:v>7.6031040000000003E-3</c:v>
                </c:pt>
                <c:pt idx="357">
                  <c:v>7.6244609999999999E-3</c:v>
                </c:pt>
                <c:pt idx="358">
                  <c:v>7.6458180000000004E-3</c:v>
                </c:pt>
                <c:pt idx="359">
                  <c:v>7.667175E-3</c:v>
                </c:pt>
                <c:pt idx="360">
                  <c:v>7.6885320000000005E-3</c:v>
                </c:pt>
                <c:pt idx="361">
                  <c:v>7.7098890000000002E-3</c:v>
                </c:pt>
                <c:pt idx="362">
                  <c:v>7.7312459999999998E-3</c:v>
                </c:pt>
                <c:pt idx="363">
                  <c:v>7.7526029999999994E-3</c:v>
                </c:pt>
                <c:pt idx="364">
                  <c:v>7.7739599999999999E-3</c:v>
                </c:pt>
                <c:pt idx="365">
                  <c:v>7.7953179999999999E-3</c:v>
                </c:pt>
                <c:pt idx="366">
                  <c:v>7.8166750000000004E-3</c:v>
                </c:pt>
                <c:pt idx="367">
                  <c:v>7.838032E-3</c:v>
                </c:pt>
                <c:pt idx="368">
                  <c:v>7.8593889999999996E-3</c:v>
                </c:pt>
                <c:pt idx="369">
                  <c:v>7.880746000000001E-3</c:v>
                </c:pt>
                <c:pt idx="370">
                  <c:v>7.9021030000000006E-3</c:v>
                </c:pt>
                <c:pt idx="371">
                  <c:v>7.9234600000000002E-3</c:v>
                </c:pt>
                <c:pt idx="372">
                  <c:v>7.9448169999999999E-3</c:v>
                </c:pt>
                <c:pt idx="373">
                  <c:v>7.9661739999999995E-3</c:v>
                </c:pt>
                <c:pt idx="374">
                  <c:v>7.9875309999999991E-3</c:v>
                </c:pt>
                <c:pt idx="375">
                  <c:v>8.0088880000000005E-3</c:v>
                </c:pt>
                <c:pt idx="376">
                  <c:v>8.0302450000000001E-3</c:v>
                </c:pt>
                <c:pt idx="377">
                  <c:v>8.0516020000000015E-3</c:v>
                </c:pt>
                <c:pt idx="378">
                  <c:v>8.0729590000000011E-3</c:v>
                </c:pt>
                <c:pt idx="379">
                  <c:v>8.094315999999999E-3</c:v>
                </c:pt>
                <c:pt idx="380">
                  <c:v>8.1156729999999986E-3</c:v>
                </c:pt>
                <c:pt idx="381">
                  <c:v>8.13703E-3</c:v>
                </c:pt>
                <c:pt idx="382">
                  <c:v>8.1583869999999996E-3</c:v>
                </c:pt>
                <c:pt idx="383">
                  <c:v>8.1797439999999992E-3</c:v>
                </c:pt>
                <c:pt idx="384">
                  <c:v>8.2011009999999988E-3</c:v>
                </c:pt>
                <c:pt idx="385">
                  <c:v>8.2224580000000002E-3</c:v>
                </c:pt>
                <c:pt idx="386">
                  <c:v>8.2438149999999998E-3</c:v>
                </c:pt>
                <c:pt idx="387">
                  <c:v>8.2651719999999994E-3</c:v>
                </c:pt>
                <c:pt idx="388">
                  <c:v>8.2865289999999991E-3</c:v>
                </c:pt>
                <c:pt idx="389">
                  <c:v>8.3078860000000004E-3</c:v>
                </c:pt>
                <c:pt idx="390">
                  <c:v>8.3292430000000001E-3</c:v>
                </c:pt>
                <c:pt idx="391">
                  <c:v>8.3505999999999997E-3</c:v>
                </c:pt>
                <c:pt idx="392">
                  <c:v>8.3719569999999993E-3</c:v>
                </c:pt>
                <c:pt idx="393">
                  <c:v>8.3933140000000007E-3</c:v>
                </c:pt>
                <c:pt idx="394">
                  <c:v>8.4146719999999998E-3</c:v>
                </c:pt>
                <c:pt idx="395">
                  <c:v>8.4360289999999994E-3</c:v>
                </c:pt>
                <c:pt idx="396">
                  <c:v>8.457385999999999E-3</c:v>
                </c:pt>
                <c:pt idx="397">
                  <c:v>8.4787430000000004E-3</c:v>
                </c:pt>
                <c:pt idx="398">
                  <c:v>8.5001E-3</c:v>
                </c:pt>
                <c:pt idx="399">
                  <c:v>8.5214569999999996E-3</c:v>
                </c:pt>
                <c:pt idx="400">
                  <c:v>8.5428139999999993E-3</c:v>
                </c:pt>
                <c:pt idx="401">
                  <c:v>8.5641710000000006E-3</c:v>
                </c:pt>
                <c:pt idx="402">
                  <c:v>8.5855280000000003E-3</c:v>
                </c:pt>
                <c:pt idx="403">
                  <c:v>8.6068849999999999E-3</c:v>
                </c:pt>
                <c:pt idx="404">
                  <c:v>8.6282419999999995E-3</c:v>
                </c:pt>
                <c:pt idx="405">
                  <c:v>8.6495990000000009E-3</c:v>
                </c:pt>
                <c:pt idx="406">
                  <c:v>8.6709560000000005E-3</c:v>
                </c:pt>
                <c:pt idx="407">
                  <c:v>8.6923130000000001E-3</c:v>
                </c:pt>
                <c:pt idx="408">
                  <c:v>8.7136699999999997E-3</c:v>
                </c:pt>
                <c:pt idx="409">
                  <c:v>8.7350270000000011E-3</c:v>
                </c:pt>
                <c:pt idx="410">
                  <c:v>8.7563840000000007E-3</c:v>
                </c:pt>
                <c:pt idx="411">
                  <c:v>8.7777410000000004E-3</c:v>
                </c:pt>
                <c:pt idx="412">
                  <c:v>8.799098E-3</c:v>
                </c:pt>
                <c:pt idx="413">
                  <c:v>8.8204550000000013E-3</c:v>
                </c:pt>
                <c:pt idx="414">
                  <c:v>8.8418119999999992E-3</c:v>
                </c:pt>
                <c:pt idx="415">
                  <c:v>8.8631689999999989E-3</c:v>
                </c:pt>
                <c:pt idx="416">
                  <c:v>8.8845259999999985E-3</c:v>
                </c:pt>
                <c:pt idx="417">
                  <c:v>8.9058829999999999E-3</c:v>
                </c:pt>
                <c:pt idx="418">
                  <c:v>8.9272399999999995E-3</c:v>
                </c:pt>
                <c:pt idx="419">
                  <c:v>8.9485969999999991E-3</c:v>
                </c:pt>
                <c:pt idx="420">
                  <c:v>8.9699539999999987E-3</c:v>
                </c:pt>
                <c:pt idx="421">
                  <c:v>8.9913110000000001E-3</c:v>
                </c:pt>
                <c:pt idx="422">
                  <c:v>9.0126679999999997E-3</c:v>
                </c:pt>
                <c:pt idx="423">
                  <c:v>9.0340260000000006E-3</c:v>
                </c:pt>
                <c:pt idx="424">
                  <c:v>9.0553830000000002E-3</c:v>
                </c:pt>
                <c:pt idx="425">
                  <c:v>9.0767399999999998E-3</c:v>
                </c:pt>
                <c:pt idx="426">
                  <c:v>9.0980969999999994E-3</c:v>
                </c:pt>
                <c:pt idx="427">
                  <c:v>9.1194539999999991E-3</c:v>
                </c:pt>
                <c:pt idx="428">
                  <c:v>9.1408109999999987E-3</c:v>
                </c:pt>
                <c:pt idx="429">
                  <c:v>9.162168E-3</c:v>
                </c:pt>
                <c:pt idx="430">
                  <c:v>9.1835249999999997E-3</c:v>
                </c:pt>
                <c:pt idx="431">
                  <c:v>9.2048819999999993E-3</c:v>
                </c:pt>
                <c:pt idx="432">
                  <c:v>9.2262389999999989E-3</c:v>
                </c:pt>
                <c:pt idx="433">
                  <c:v>9.2475960000000003E-3</c:v>
                </c:pt>
                <c:pt idx="434">
                  <c:v>9.2689529999999999E-3</c:v>
                </c:pt>
                <c:pt idx="435">
                  <c:v>9.2903099999999995E-3</c:v>
                </c:pt>
                <c:pt idx="436">
                  <c:v>9.3116669999999992E-3</c:v>
                </c:pt>
                <c:pt idx="437">
                  <c:v>9.3330240000000005E-3</c:v>
                </c:pt>
                <c:pt idx="438">
                  <c:v>9.3543810000000002E-3</c:v>
                </c:pt>
                <c:pt idx="439">
                  <c:v>9.3757379999999998E-3</c:v>
                </c:pt>
                <c:pt idx="440">
                  <c:v>9.3970949999999994E-3</c:v>
                </c:pt>
                <c:pt idx="441">
                  <c:v>9.4184520000000008E-3</c:v>
                </c:pt>
                <c:pt idx="442">
                  <c:v>9.4398090000000004E-3</c:v>
                </c:pt>
                <c:pt idx="443">
                  <c:v>9.461166E-3</c:v>
                </c:pt>
                <c:pt idx="444">
                  <c:v>9.4825229999999996E-3</c:v>
                </c:pt>
                <c:pt idx="445">
                  <c:v>9.503880000000001E-3</c:v>
                </c:pt>
                <c:pt idx="446">
                  <c:v>9.5252370000000006E-3</c:v>
                </c:pt>
                <c:pt idx="447">
                  <c:v>9.5465940000000003E-3</c:v>
                </c:pt>
                <c:pt idx="448">
                  <c:v>9.5679510000000016E-3</c:v>
                </c:pt>
                <c:pt idx="449">
                  <c:v>9.5893080000000012E-3</c:v>
                </c:pt>
                <c:pt idx="450">
                  <c:v>9.6106649999999991E-3</c:v>
                </c:pt>
                <c:pt idx="451">
                  <c:v>9.6320219999999988E-3</c:v>
                </c:pt>
                <c:pt idx="452">
                  <c:v>9.6533799999999996E-3</c:v>
                </c:pt>
                <c:pt idx="453">
                  <c:v>9.674737000000001E-3</c:v>
                </c:pt>
                <c:pt idx="454">
                  <c:v>9.6960940000000006E-3</c:v>
                </c:pt>
                <c:pt idx="455">
                  <c:v>9.7174510000000002E-3</c:v>
                </c:pt>
                <c:pt idx="456">
                  <c:v>9.7388079999999998E-3</c:v>
                </c:pt>
                <c:pt idx="457">
                  <c:v>9.7601650000000012E-3</c:v>
                </c:pt>
                <c:pt idx="458">
                  <c:v>9.7815220000000008E-3</c:v>
                </c:pt>
                <c:pt idx="459">
                  <c:v>9.8028790000000005E-3</c:v>
                </c:pt>
                <c:pt idx="460">
                  <c:v>9.8242360000000001E-3</c:v>
                </c:pt>
                <c:pt idx="461">
                  <c:v>9.8455929999999997E-3</c:v>
                </c:pt>
                <c:pt idx="462">
                  <c:v>9.8669499999999993E-3</c:v>
                </c:pt>
                <c:pt idx="463">
                  <c:v>9.888306999999999E-3</c:v>
                </c:pt>
                <c:pt idx="464">
                  <c:v>9.9096639999999986E-3</c:v>
                </c:pt>
                <c:pt idx="465">
                  <c:v>9.9310209999999999E-3</c:v>
                </c:pt>
                <c:pt idx="466">
                  <c:v>9.9523779999999996E-3</c:v>
                </c:pt>
                <c:pt idx="467">
                  <c:v>9.9737349999999992E-3</c:v>
                </c:pt>
                <c:pt idx="468">
                  <c:v>9.9950919999999988E-3</c:v>
                </c:pt>
                <c:pt idx="469">
                  <c:v>1.0016450000000001E-2</c:v>
                </c:pt>
                <c:pt idx="470">
                  <c:v>1.0037810000000001E-2</c:v>
                </c:pt>
                <c:pt idx="471">
                  <c:v>1.0059160000000001E-2</c:v>
                </c:pt>
                <c:pt idx="472">
                  <c:v>1.0080519999999999E-2</c:v>
                </c:pt>
                <c:pt idx="473">
                  <c:v>1.0101879999999999E-2</c:v>
                </c:pt>
                <c:pt idx="474">
                  <c:v>1.0123229999999999E-2</c:v>
                </c:pt>
                <c:pt idx="475">
                  <c:v>1.014459E-2</c:v>
                </c:pt>
                <c:pt idx="476">
                  <c:v>1.016595E-2</c:v>
                </c:pt>
                <c:pt idx="477">
                  <c:v>1.018731E-2</c:v>
                </c:pt>
                <c:pt idx="478">
                  <c:v>1.020866E-2</c:v>
                </c:pt>
                <c:pt idx="479">
                  <c:v>1.0230019999999999E-2</c:v>
                </c:pt>
                <c:pt idx="480">
                  <c:v>1.0251379999999999E-2</c:v>
                </c:pt>
                <c:pt idx="481">
                  <c:v>1.0272729999999999E-2</c:v>
                </c:pt>
                <c:pt idx="482">
                  <c:v>1.0294090000000001E-2</c:v>
                </c:pt>
                <c:pt idx="483">
                  <c:v>1.031545E-2</c:v>
                </c:pt>
                <c:pt idx="484">
                  <c:v>1.03368E-2</c:v>
                </c:pt>
                <c:pt idx="485">
                  <c:v>1.035816E-2</c:v>
                </c:pt>
                <c:pt idx="486">
                  <c:v>1.037952E-2</c:v>
                </c:pt>
                <c:pt idx="487">
                  <c:v>1.0400880000000001E-2</c:v>
                </c:pt>
                <c:pt idx="488">
                  <c:v>1.0422230000000001E-2</c:v>
                </c:pt>
                <c:pt idx="489">
                  <c:v>1.0443590000000001E-2</c:v>
                </c:pt>
                <c:pt idx="490">
                  <c:v>1.0464950000000001E-2</c:v>
                </c:pt>
                <c:pt idx="491">
                  <c:v>1.04863E-2</c:v>
                </c:pt>
                <c:pt idx="492">
                  <c:v>1.050766E-2</c:v>
                </c:pt>
                <c:pt idx="493">
                  <c:v>1.0529019999999998E-2</c:v>
                </c:pt>
                <c:pt idx="494">
                  <c:v>1.055037E-2</c:v>
                </c:pt>
                <c:pt idx="495">
                  <c:v>1.057173E-2</c:v>
                </c:pt>
                <c:pt idx="496">
                  <c:v>1.0593089999999999E-2</c:v>
                </c:pt>
                <c:pt idx="497">
                  <c:v>1.0614449999999999E-2</c:v>
                </c:pt>
                <c:pt idx="498">
                  <c:v>1.0635799999999999E-2</c:v>
                </c:pt>
                <c:pt idx="499">
                  <c:v>1.0657159999999999E-2</c:v>
                </c:pt>
                <c:pt idx="500">
                  <c:v>1.067852E-2</c:v>
                </c:pt>
                <c:pt idx="501">
                  <c:v>1.069987E-2</c:v>
                </c:pt>
                <c:pt idx="502">
                  <c:v>1.072123E-2</c:v>
                </c:pt>
                <c:pt idx="503">
                  <c:v>1.074259E-2</c:v>
                </c:pt>
                <c:pt idx="504">
                  <c:v>1.076395E-2</c:v>
                </c:pt>
                <c:pt idx="505">
                  <c:v>1.0785299999999999E-2</c:v>
                </c:pt>
                <c:pt idx="506">
                  <c:v>1.0806660000000001E-2</c:v>
                </c:pt>
                <c:pt idx="507">
                  <c:v>1.0828020000000001E-2</c:v>
                </c:pt>
                <c:pt idx="508">
                  <c:v>1.0849370000000001E-2</c:v>
                </c:pt>
                <c:pt idx="509">
                  <c:v>1.087073E-2</c:v>
                </c:pt>
                <c:pt idx="510">
                  <c:v>1.089209E-2</c:v>
                </c:pt>
                <c:pt idx="511">
                  <c:v>1.091344E-2</c:v>
                </c:pt>
                <c:pt idx="512">
                  <c:v>1.09348E-2</c:v>
                </c:pt>
                <c:pt idx="513">
                  <c:v>1.0956160000000001E-2</c:v>
                </c:pt>
                <c:pt idx="514">
                  <c:v>1.0977520000000001E-2</c:v>
                </c:pt>
                <c:pt idx="515">
                  <c:v>1.0998870000000001E-2</c:v>
                </c:pt>
                <c:pt idx="516">
                  <c:v>1.1020229999999999E-2</c:v>
                </c:pt>
                <c:pt idx="517">
                  <c:v>1.1041589999999999E-2</c:v>
                </c:pt>
                <c:pt idx="518">
                  <c:v>1.1062939999999999E-2</c:v>
                </c:pt>
                <c:pt idx="519">
                  <c:v>1.10843E-2</c:v>
                </c:pt>
                <c:pt idx="520">
                  <c:v>1.110566E-2</c:v>
                </c:pt>
                <c:pt idx="521">
                  <c:v>1.112701E-2</c:v>
                </c:pt>
                <c:pt idx="522">
                  <c:v>1.1148369999999999E-2</c:v>
                </c:pt>
                <c:pt idx="523">
                  <c:v>1.1169729999999999E-2</c:v>
                </c:pt>
                <c:pt idx="524">
                  <c:v>1.1191090000000001E-2</c:v>
                </c:pt>
                <c:pt idx="525">
                  <c:v>1.1212440000000001E-2</c:v>
                </c:pt>
                <c:pt idx="526">
                  <c:v>1.12338E-2</c:v>
                </c:pt>
                <c:pt idx="527">
                  <c:v>1.125516E-2</c:v>
                </c:pt>
                <c:pt idx="528">
                  <c:v>1.127651E-2</c:v>
                </c:pt>
                <c:pt idx="529">
                  <c:v>1.129787E-2</c:v>
                </c:pt>
                <c:pt idx="530">
                  <c:v>1.131923E-2</c:v>
                </c:pt>
                <c:pt idx="531">
                  <c:v>1.1340590000000001E-2</c:v>
                </c:pt>
                <c:pt idx="532">
                  <c:v>1.1361940000000001E-2</c:v>
                </c:pt>
                <c:pt idx="533">
                  <c:v>1.1383300000000001E-2</c:v>
                </c:pt>
                <c:pt idx="534">
                  <c:v>1.140466E-2</c:v>
                </c:pt>
                <c:pt idx="535">
                  <c:v>1.142601E-2</c:v>
                </c:pt>
                <c:pt idx="536">
                  <c:v>1.144737E-2</c:v>
                </c:pt>
                <c:pt idx="537">
                  <c:v>1.146873E-2</c:v>
                </c:pt>
                <c:pt idx="538">
                  <c:v>1.1490080000000001E-2</c:v>
                </c:pt>
                <c:pt idx="539">
                  <c:v>1.151144E-2</c:v>
                </c:pt>
                <c:pt idx="540">
                  <c:v>1.1532799999999999E-2</c:v>
                </c:pt>
                <c:pt idx="541">
                  <c:v>1.1554159999999999E-2</c:v>
                </c:pt>
                <c:pt idx="542">
                  <c:v>1.1575509999999999E-2</c:v>
                </c:pt>
                <c:pt idx="543">
                  <c:v>1.1596869999999999E-2</c:v>
                </c:pt>
                <c:pt idx="544">
                  <c:v>1.161823E-2</c:v>
                </c:pt>
                <c:pt idx="545">
                  <c:v>1.163958E-2</c:v>
                </c:pt>
                <c:pt idx="546">
                  <c:v>1.166094E-2</c:v>
                </c:pt>
                <c:pt idx="547">
                  <c:v>1.16823E-2</c:v>
                </c:pt>
                <c:pt idx="548">
                  <c:v>1.1703649999999999E-2</c:v>
                </c:pt>
                <c:pt idx="549">
                  <c:v>1.1725009999999999E-2</c:v>
                </c:pt>
                <c:pt idx="550">
                  <c:v>1.1746370000000001E-2</c:v>
                </c:pt>
                <c:pt idx="551">
                  <c:v>1.1767730000000001E-2</c:v>
                </c:pt>
                <c:pt idx="552">
                  <c:v>1.178908E-2</c:v>
                </c:pt>
                <c:pt idx="553">
                  <c:v>1.181044E-2</c:v>
                </c:pt>
                <c:pt idx="554">
                  <c:v>1.18318E-2</c:v>
                </c:pt>
                <c:pt idx="555">
                  <c:v>1.185315E-2</c:v>
                </c:pt>
                <c:pt idx="556">
                  <c:v>1.1874510000000001E-2</c:v>
                </c:pt>
                <c:pt idx="557">
                  <c:v>1.1895870000000001E-2</c:v>
                </c:pt>
                <c:pt idx="558">
                  <c:v>1.1917229999999999E-2</c:v>
                </c:pt>
                <c:pt idx="559">
                  <c:v>1.1938580000000001E-2</c:v>
                </c:pt>
                <c:pt idx="560">
                  <c:v>1.1959939999999999E-2</c:v>
                </c:pt>
                <c:pt idx="561">
                  <c:v>1.1981299999999999E-2</c:v>
                </c:pt>
                <c:pt idx="562">
                  <c:v>1.2002649999999998E-2</c:v>
                </c:pt>
                <c:pt idx="563">
                  <c:v>1.202401E-2</c:v>
                </c:pt>
                <c:pt idx="564">
                  <c:v>1.204537E-2</c:v>
                </c:pt>
                <c:pt idx="565">
                  <c:v>1.206672E-2</c:v>
                </c:pt>
                <c:pt idx="566">
                  <c:v>1.2088079999999999E-2</c:v>
                </c:pt>
                <c:pt idx="567">
                  <c:v>1.2109439999999999E-2</c:v>
                </c:pt>
                <c:pt idx="568">
                  <c:v>1.2130800000000001E-2</c:v>
                </c:pt>
                <c:pt idx="569">
                  <c:v>1.215215E-2</c:v>
                </c:pt>
                <c:pt idx="570">
                  <c:v>1.217351E-2</c:v>
                </c:pt>
                <c:pt idx="571">
                  <c:v>1.219487E-2</c:v>
                </c:pt>
                <c:pt idx="572">
                  <c:v>1.221622E-2</c:v>
                </c:pt>
                <c:pt idx="573">
                  <c:v>1.223758E-2</c:v>
                </c:pt>
                <c:pt idx="574">
                  <c:v>1.2258940000000001E-2</c:v>
                </c:pt>
                <c:pt idx="575">
                  <c:v>1.2280290000000001E-2</c:v>
                </c:pt>
                <c:pt idx="576">
                  <c:v>1.2301650000000001E-2</c:v>
                </c:pt>
                <c:pt idx="577">
                  <c:v>1.2323010000000001E-2</c:v>
                </c:pt>
                <c:pt idx="578">
                  <c:v>1.234437E-2</c:v>
                </c:pt>
                <c:pt idx="579">
                  <c:v>1.236572E-2</c:v>
                </c:pt>
                <c:pt idx="580">
                  <c:v>1.238708E-2</c:v>
                </c:pt>
                <c:pt idx="581">
                  <c:v>1.240844E-2</c:v>
                </c:pt>
                <c:pt idx="582">
                  <c:v>1.2429790000000001E-2</c:v>
                </c:pt>
                <c:pt idx="583">
                  <c:v>1.2451149999999999E-2</c:v>
                </c:pt>
                <c:pt idx="584">
                  <c:v>1.2472509999999999E-2</c:v>
                </c:pt>
                <c:pt idx="585">
                  <c:v>1.2493869999999999E-2</c:v>
                </c:pt>
                <c:pt idx="586">
                  <c:v>1.2515219999999999E-2</c:v>
                </c:pt>
                <c:pt idx="587">
                  <c:v>1.253658E-2</c:v>
                </c:pt>
                <c:pt idx="588">
                  <c:v>1.255794E-2</c:v>
                </c:pt>
                <c:pt idx="589">
                  <c:v>1.257929E-2</c:v>
                </c:pt>
                <c:pt idx="590">
                  <c:v>1.260065E-2</c:v>
                </c:pt>
                <c:pt idx="591">
                  <c:v>1.2622009999999999E-2</c:v>
                </c:pt>
                <c:pt idx="592">
                  <c:v>1.2643359999999999E-2</c:v>
                </c:pt>
                <c:pt idx="593">
                  <c:v>1.2664720000000001E-2</c:v>
                </c:pt>
                <c:pt idx="594">
                  <c:v>1.2686080000000001E-2</c:v>
                </c:pt>
                <c:pt idx="595">
                  <c:v>1.270744E-2</c:v>
                </c:pt>
                <c:pt idx="596">
                  <c:v>1.272879E-2</c:v>
                </c:pt>
                <c:pt idx="597">
                  <c:v>1.275015E-2</c:v>
                </c:pt>
                <c:pt idx="598">
                  <c:v>1.277151E-2</c:v>
                </c:pt>
                <c:pt idx="599">
                  <c:v>1.279286E-2</c:v>
                </c:pt>
                <c:pt idx="600">
                  <c:v>1.2814220000000001E-2</c:v>
                </c:pt>
                <c:pt idx="601">
                  <c:v>1.2835580000000001E-2</c:v>
                </c:pt>
                <c:pt idx="602">
                  <c:v>1.2856930000000001E-2</c:v>
                </c:pt>
                <c:pt idx="603">
                  <c:v>1.2878290000000001E-2</c:v>
                </c:pt>
                <c:pt idx="604">
                  <c:v>1.2899649999999999E-2</c:v>
                </c:pt>
                <c:pt idx="605">
                  <c:v>1.292101E-2</c:v>
                </c:pt>
                <c:pt idx="606">
                  <c:v>1.294236E-2</c:v>
                </c:pt>
                <c:pt idx="607">
                  <c:v>1.296372E-2</c:v>
                </c:pt>
                <c:pt idx="608">
                  <c:v>1.298508E-2</c:v>
                </c:pt>
                <c:pt idx="609">
                  <c:v>1.3006429999999999E-2</c:v>
                </c:pt>
                <c:pt idx="610">
                  <c:v>1.3027789999999999E-2</c:v>
                </c:pt>
                <c:pt idx="611">
                  <c:v>1.3049149999999999E-2</c:v>
                </c:pt>
                <c:pt idx="612">
                  <c:v>1.307051E-2</c:v>
                </c:pt>
                <c:pt idx="613">
                  <c:v>1.309186E-2</c:v>
                </c:pt>
                <c:pt idx="614">
                  <c:v>1.311322E-2</c:v>
                </c:pt>
                <c:pt idx="615">
                  <c:v>1.313458E-2</c:v>
                </c:pt>
                <c:pt idx="616">
                  <c:v>1.315593E-2</c:v>
                </c:pt>
                <c:pt idx="617">
                  <c:v>1.3177289999999999E-2</c:v>
                </c:pt>
                <c:pt idx="618">
                  <c:v>1.3198650000000001E-2</c:v>
                </c:pt>
                <c:pt idx="619">
                  <c:v>1.3220000000000001E-2</c:v>
                </c:pt>
                <c:pt idx="620">
                  <c:v>1.3241360000000001E-2</c:v>
                </c:pt>
                <c:pt idx="621">
                  <c:v>1.326272E-2</c:v>
                </c:pt>
                <c:pt idx="622">
                  <c:v>1.328408E-2</c:v>
                </c:pt>
                <c:pt idx="623">
                  <c:v>1.330543E-2</c:v>
                </c:pt>
                <c:pt idx="624">
                  <c:v>1.3326790000000002E-2</c:v>
                </c:pt>
                <c:pt idx="625">
                  <c:v>1.334815E-2</c:v>
                </c:pt>
                <c:pt idx="626">
                  <c:v>1.3369500000000001E-2</c:v>
                </c:pt>
                <c:pt idx="627">
                  <c:v>1.3390859999999999E-2</c:v>
                </c:pt>
                <c:pt idx="628">
                  <c:v>1.3412219999999999E-2</c:v>
                </c:pt>
                <c:pt idx="629">
                  <c:v>1.3433569999999999E-2</c:v>
                </c:pt>
                <c:pt idx="630">
                  <c:v>1.3454929999999999E-2</c:v>
                </c:pt>
                <c:pt idx="631">
                  <c:v>1.347629E-2</c:v>
                </c:pt>
                <c:pt idx="632">
                  <c:v>1.349765E-2</c:v>
                </c:pt>
                <c:pt idx="633">
                  <c:v>1.3519E-2</c:v>
                </c:pt>
                <c:pt idx="634">
                  <c:v>1.354036E-2</c:v>
                </c:pt>
                <c:pt idx="635">
                  <c:v>1.3561719999999999E-2</c:v>
                </c:pt>
                <c:pt idx="636">
                  <c:v>1.3583069999999999E-2</c:v>
                </c:pt>
                <c:pt idx="637">
                  <c:v>1.3604430000000001E-2</c:v>
                </c:pt>
                <c:pt idx="638">
                  <c:v>1.362579E-2</c:v>
                </c:pt>
                <c:pt idx="639">
                  <c:v>1.364714E-2</c:v>
                </c:pt>
                <c:pt idx="640">
                  <c:v>1.36685E-2</c:v>
                </c:pt>
                <c:pt idx="641">
                  <c:v>1.368986E-2</c:v>
                </c:pt>
                <c:pt idx="642">
                  <c:v>1.3711220000000001E-2</c:v>
                </c:pt>
                <c:pt idx="643">
                  <c:v>1.3732570000000001E-2</c:v>
                </c:pt>
                <c:pt idx="644">
                  <c:v>1.3753930000000001E-2</c:v>
                </c:pt>
                <c:pt idx="645">
                  <c:v>1.3775290000000001E-2</c:v>
                </c:pt>
                <c:pt idx="646">
                  <c:v>1.3796640000000001E-2</c:v>
                </c:pt>
                <c:pt idx="647">
                  <c:v>1.3818E-2</c:v>
                </c:pt>
                <c:pt idx="648">
                  <c:v>1.3839359999999998E-2</c:v>
                </c:pt>
                <c:pt idx="649">
                  <c:v>1.386072E-2</c:v>
                </c:pt>
                <c:pt idx="650">
                  <c:v>1.388207E-2</c:v>
                </c:pt>
                <c:pt idx="651">
                  <c:v>1.390343E-2</c:v>
                </c:pt>
                <c:pt idx="652">
                  <c:v>1.3924789999999999E-2</c:v>
                </c:pt>
                <c:pt idx="653">
                  <c:v>1.3946139999999999E-2</c:v>
                </c:pt>
                <c:pt idx="654">
                  <c:v>1.3967499999999999E-2</c:v>
                </c:pt>
                <c:pt idx="655">
                  <c:v>1.3988860000000001E-2</c:v>
                </c:pt>
                <c:pt idx="656">
                  <c:v>1.401021E-2</c:v>
                </c:pt>
                <c:pt idx="657">
                  <c:v>1.403157E-2</c:v>
                </c:pt>
                <c:pt idx="658">
                  <c:v>1.405293E-2</c:v>
                </c:pt>
                <c:pt idx="659">
                  <c:v>1.407429E-2</c:v>
                </c:pt>
                <c:pt idx="660">
                  <c:v>1.409564E-2</c:v>
                </c:pt>
                <c:pt idx="661">
                  <c:v>1.4117000000000001E-2</c:v>
                </c:pt>
                <c:pt idx="662">
                  <c:v>1.4138360000000001E-2</c:v>
                </c:pt>
                <c:pt idx="663">
                  <c:v>1.4159710000000001E-2</c:v>
                </c:pt>
                <c:pt idx="664">
                  <c:v>1.418107E-2</c:v>
                </c:pt>
                <c:pt idx="665">
                  <c:v>1.420243E-2</c:v>
                </c:pt>
                <c:pt idx="666">
                  <c:v>1.422378E-2</c:v>
                </c:pt>
                <c:pt idx="667">
                  <c:v>1.424514E-2</c:v>
                </c:pt>
                <c:pt idx="668">
                  <c:v>1.4266500000000001E-2</c:v>
                </c:pt>
                <c:pt idx="669">
                  <c:v>1.4287859999999999E-2</c:v>
                </c:pt>
                <c:pt idx="670">
                  <c:v>1.4309210000000001E-2</c:v>
                </c:pt>
                <c:pt idx="671">
                  <c:v>1.4330569999999999E-2</c:v>
                </c:pt>
                <c:pt idx="672">
                  <c:v>1.4351929999999999E-2</c:v>
                </c:pt>
                <c:pt idx="673">
                  <c:v>1.4373279999999999E-2</c:v>
                </c:pt>
                <c:pt idx="674">
                  <c:v>1.439464E-2</c:v>
                </c:pt>
                <c:pt idx="675">
                  <c:v>1.4416E-2</c:v>
                </c:pt>
                <c:pt idx="676">
                  <c:v>1.443736E-2</c:v>
                </c:pt>
                <c:pt idx="677">
                  <c:v>1.445871E-2</c:v>
                </c:pt>
                <c:pt idx="678">
                  <c:v>1.4480069999999999E-2</c:v>
                </c:pt>
                <c:pt idx="679">
                  <c:v>1.4501429999999999E-2</c:v>
                </c:pt>
                <c:pt idx="680">
                  <c:v>1.4522779999999999E-2</c:v>
                </c:pt>
                <c:pt idx="681">
                  <c:v>1.4544140000000001E-2</c:v>
                </c:pt>
                <c:pt idx="682">
                  <c:v>1.45655E-2</c:v>
                </c:pt>
                <c:pt idx="683">
                  <c:v>1.458685E-2</c:v>
                </c:pt>
                <c:pt idx="684">
                  <c:v>1.460821E-2</c:v>
                </c:pt>
                <c:pt idx="685">
                  <c:v>1.462957E-2</c:v>
                </c:pt>
                <c:pt idx="686">
                  <c:v>1.4650930000000001E-2</c:v>
                </c:pt>
                <c:pt idx="687">
                  <c:v>1.4672280000000001E-2</c:v>
                </c:pt>
                <c:pt idx="688">
                  <c:v>1.4693640000000001E-2</c:v>
                </c:pt>
                <c:pt idx="689">
                  <c:v>1.4715000000000001E-2</c:v>
                </c:pt>
                <c:pt idx="690">
                  <c:v>1.473635E-2</c:v>
                </c:pt>
                <c:pt idx="691">
                  <c:v>1.475771E-2</c:v>
                </c:pt>
                <c:pt idx="692">
                  <c:v>1.477907E-2</c:v>
                </c:pt>
                <c:pt idx="693">
                  <c:v>1.4800420000000002E-2</c:v>
                </c:pt>
                <c:pt idx="694">
                  <c:v>1.482178E-2</c:v>
                </c:pt>
                <c:pt idx="695">
                  <c:v>1.4843139999999999E-2</c:v>
                </c:pt>
                <c:pt idx="696">
                  <c:v>1.4864499999999999E-2</c:v>
                </c:pt>
                <c:pt idx="697">
                  <c:v>1.4885849999999999E-2</c:v>
                </c:pt>
                <c:pt idx="698">
                  <c:v>1.4907209999999999E-2</c:v>
                </c:pt>
                <c:pt idx="699">
                  <c:v>1.492857E-2</c:v>
                </c:pt>
                <c:pt idx="700">
                  <c:v>1.494992E-2</c:v>
                </c:pt>
                <c:pt idx="701">
                  <c:v>1.497128E-2</c:v>
                </c:pt>
                <c:pt idx="702">
                  <c:v>1.499264E-2</c:v>
                </c:pt>
                <c:pt idx="703">
                  <c:v>1.5014E-2</c:v>
                </c:pt>
                <c:pt idx="704">
                  <c:v>1.5035349999999999E-2</c:v>
                </c:pt>
                <c:pt idx="705">
                  <c:v>1.5056710000000001E-2</c:v>
                </c:pt>
                <c:pt idx="706">
                  <c:v>1.5078070000000001E-2</c:v>
                </c:pt>
                <c:pt idx="707">
                  <c:v>1.5099420000000001E-2</c:v>
                </c:pt>
                <c:pt idx="708">
                  <c:v>1.512078E-2</c:v>
                </c:pt>
                <c:pt idx="709">
                  <c:v>1.514214E-2</c:v>
                </c:pt>
                <c:pt idx="710">
                  <c:v>1.516349E-2</c:v>
                </c:pt>
                <c:pt idx="711">
                  <c:v>1.5184850000000001E-2</c:v>
                </c:pt>
                <c:pt idx="712">
                  <c:v>1.5206210000000001E-2</c:v>
                </c:pt>
                <c:pt idx="713">
                  <c:v>1.5227569999999999E-2</c:v>
                </c:pt>
                <c:pt idx="714">
                  <c:v>1.5248920000000001E-2</c:v>
                </c:pt>
                <c:pt idx="715">
                  <c:v>1.5270279999999999E-2</c:v>
                </c:pt>
                <c:pt idx="716">
                  <c:v>1.5291639999999999E-2</c:v>
                </c:pt>
                <c:pt idx="717">
                  <c:v>1.5312989999999999E-2</c:v>
                </c:pt>
                <c:pt idx="718">
                  <c:v>1.533435E-2</c:v>
                </c:pt>
                <c:pt idx="719">
                  <c:v>1.535571E-2</c:v>
                </c:pt>
                <c:pt idx="720">
                  <c:v>1.537706E-2</c:v>
                </c:pt>
                <c:pt idx="721">
                  <c:v>1.5398419999999999E-2</c:v>
                </c:pt>
                <c:pt idx="722">
                  <c:v>1.5419779999999999E-2</c:v>
                </c:pt>
                <c:pt idx="723">
                  <c:v>1.5441140000000001E-2</c:v>
                </c:pt>
                <c:pt idx="724">
                  <c:v>1.5462490000000001E-2</c:v>
                </c:pt>
                <c:pt idx="725">
                  <c:v>1.548385E-2</c:v>
                </c:pt>
                <c:pt idx="726">
                  <c:v>1.550521E-2</c:v>
                </c:pt>
                <c:pt idx="727">
                  <c:v>1.552656E-2</c:v>
                </c:pt>
                <c:pt idx="728">
                  <c:v>1.554792E-2</c:v>
                </c:pt>
                <c:pt idx="729">
                  <c:v>1.556928E-2</c:v>
                </c:pt>
                <c:pt idx="730">
                  <c:v>1.5590640000000001E-2</c:v>
                </c:pt>
                <c:pt idx="731">
                  <c:v>1.5611990000000001E-2</c:v>
                </c:pt>
                <c:pt idx="732">
                  <c:v>1.5633350000000001E-2</c:v>
                </c:pt>
                <c:pt idx="733">
                  <c:v>1.5654709999999999E-2</c:v>
                </c:pt>
                <c:pt idx="734">
                  <c:v>1.5676059999999999E-2</c:v>
                </c:pt>
                <c:pt idx="735">
                  <c:v>1.569742E-2</c:v>
                </c:pt>
                <c:pt idx="736">
                  <c:v>1.5718780000000002E-2</c:v>
                </c:pt>
                <c:pt idx="737">
                  <c:v>1.5740130000000001E-2</c:v>
                </c:pt>
                <c:pt idx="738">
                  <c:v>1.576149E-2</c:v>
                </c:pt>
                <c:pt idx="739">
                  <c:v>1.5782850000000001E-2</c:v>
                </c:pt>
                <c:pt idx="740">
                  <c:v>1.5804209999999999E-2</c:v>
                </c:pt>
                <c:pt idx="741">
                  <c:v>1.5825559999999999E-2</c:v>
                </c:pt>
                <c:pt idx="742">
                  <c:v>1.584692E-2</c:v>
                </c:pt>
                <c:pt idx="743">
                  <c:v>1.5868280000000002E-2</c:v>
                </c:pt>
                <c:pt idx="744">
                  <c:v>1.5889630000000002E-2</c:v>
                </c:pt>
                <c:pt idx="745">
                  <c:v>1.591099E-2</c:v>
                </c:pt>
                <c:pt idx="746">
                  <c:v>1.5932349999999998E-2</c:v>
                </c:pt>
                <c:pt idx="747">
                  <c:v>1.5953700000000001E-2</c:v>
                </c:pt>
                <c:pt idx="748">
                  <c:v>1.5975059999999999E-2</c:v>
                </c:pt>
                <c:pt idx="749">
                  <c:v>1.5996420000000001E-2</c:v>
                </c:pt>
                <c:pt idx="750">
                  <c:v>1.6017779999999999E-2</c:v>
                </c:pt>
                <c:pt idx="751">
                  <c:v>1.6039129999999999E-2</c:v>
                </c:pt>
                <c:pt idx="752">
                  <c:v>1.606049E-2</c:v>
                </c:pt>
                <c:pt idx="753">
                  <c:v>1.6081849999999998E-2</c:v>
                </c:pt>
                <c:pt idx="754">
                  <c:v>1.6103200000000002E-2</c:v>
                </c:pt>
                <c:pt idx="755">
                  <c:v>1.612456E-2</c:v>
                </c:pt>
                <c:pt idx="756">
                  <c:v>1.6145920000000001E-2</c:v>
                </c:pt>
                <c:pt idx="757">
                  <c:v>1.6167269999999997E-2</c:v>
                </c:pt>
                <c:pt idx="758">
                  <c:v>1.6188629999999999E-2</c:v>
                </c:pt>
                <c:pt idx="759">
                  <c:v>1.6209990000000001E-2</c:v>
                </c:pt>
                <c:pt idx="760">
                  <c:v>1.6231349999999999E-2</c:v>
                </c:pt>
                <c:pt idx="761">
                  <c:v>1.6252700000000002E-2</c:v>
                </c:pt>
                <c:pt idx="762">
                  <c:v>1.627406E-2</c:v>
                </c:pt>
                <c:pt idx="763">
                  <c:v>1.6295420000000001E-2</c:v>
                </c:pt>
                <c:pt idx="764">
                  <c:v>1.6316770000000001E-2</c:v>
                </c:pt>
                <c:pt idx="765">
                  <c:v>1.6338129999999999E-2</c:v>
                </c:pt>
                <c:pt idx="766">
                  <c:v>1.6359490000000001E-2</c:v>
                </c:pt>
                <c:pt idx="767">
                  <c:v>1.6380849999999999E-2</c:v>
                </c:pt>
                <c:pt idx="768">
                  <c:v>1.6402200000000002E-2</c:v>
                </c:pt>
                <c:pt idx="769">
                  <c:v>1.6423559999999997E-2</c:v>
                </c:pt>
                <c:pt idx="770">
                  <c:v>1.6444919999999998E-2</c:v>
                </c:pt>
                <c:pt idx="771">
                  <c:v>1.6466270000000002E-2</c:v>
                </c:pt>
                <c:pt idx="772">
                  <c:v>1.648763E-2</c:v>
                </c:pt>
                <c:pt idx="773">
                  <c:v>1.6508990000000001E-2</c:v>
                </c:pt>
                <c:pt idx="774">
                  <c:v>1.6530339999999998E-2</c:v>
                </c:pt>
                <c:pt idx="775">
                  <c:v>1.6551699999999999E-2</c:v>
                </c:pt>
                <c:pt idx="776">
                  <c:v>1.6573060000000001E-2</c:v>
                </c:pt>
                <c:pt idx="777">
                  <c:v>1.6594419999999999E-2</c:v>
                </c:pt>
                <c:pt idx="778">
                  <c:v>1.6615770000000002E-2</c:v>
                </c:pt>
                <c:pt idx="779">
                  <c:v>1.663713E-2</c:v>
                </c:pt>
                <c:pt idx="780">
                  <c:v>1.6658490000000001E-2</c:v>
                </c:pt>
                <c:pt idx="781">
                  <c:v>1.6679839999999998E-2</c:v>
                </c:pt>
                <c:pt idx="782">
                  <c:v>1.6701199999999999E-2</c:v>
                </c:pt>
                <c:pt idx="783">
                  <c:v>1.6722560000000001E-2</c:v>
                </c:pt>
                <c:pt idx="784">
                  <c:v>1.6743910000000001E-2</c:v>
                </c:pt>
                <c:pt idx="785">
                  <c:v>1.6765270000000002E-2</c:v>
                </c:pt>
                <c:pt idx="786">
                  <c:v>1.678663E-2</c:v>
                </c:pt>
                <c:pt idx="787">
                  <c:v>1.6807990000000002E-2</c:v>
                </c:pt>
                <c:pt idx="788">
                  <c:v>1.6829339999999998E-2</c:v>
                </c:pt>
                <c:pt idx="789">
                  <c:v>1.68507E-2</c:v>
                </c:pt>
                <c:pt idx="790">
                  <c:v>1.6872060000000001E-2</c:v>
                </c:pt>
                <c:pt idx="791">
                  <c:v>1.6893410000000001E-2</c:v>
                </c:pt>
                <c:pt idx="792">
                  <c:v>1.6914769999999999E-2</c:v>
                </c:pt>
                <c:pt idx="793">
                  <c:v>1.6936129999999997E-2</c:v>
                </c:pt>
                <c:pt idx="794">
                  <c:v>1.6957489999999999E-2</c:v>
                </c:pt>
                <c:pt idx="795">
                  <c:v>1.6978840000000002E-2</c:v>
                </c:pt>
                <c:pt idx="796">
                  <c:v>1.70002E-2</c:v>
                </c:pt>
                <c:pt idx="797">
                  <c:v>1.7021560000000002E-2</c:v>
                </c:pt>
                <c:pt idx="798">
                  <c:v>1.7042909999999998E-2</c:v>
                </c:pt>
                <c:pt idx="799">
                  <c:v>1.7064269999999999E-2</c:v>
                </c:pt>
                <c:pt idx="800">
                  <c:v>1.7085629999999997E-2</c:v>
                </c:pt>
                <c:pt idx="801">
                  <c:v>1.7106980000000001E-2</c:v>
                </c:pt>
                <c:pt idx="802">
                  <c:v>1.7128340000000002E-2</c:v>
                </c:pt>
                <c:pt idx="803">
                  <c:v>1.71497E-2</c:v>
                </c:pt>
                <c:pt idx="804">
                  <c:v>1.7171060000000002E-2</c:v>
                </c:pt>
                <c:pt idx="805">
                  <c:v>1.7192409999999998E-2</c:v>
                </c:pt>
                <c:pt idx="806">
                  <c:v>1.721377E-2</c:v>
                </c:pt>
                <c:pt idx="807">
                  <c:v>1.7235130000000001E-2</c:v>
                </c:pt>
                <c:pt idx="808">
                  <c:v>1.7256480000000001E-2</c:v>
                </c:pt>
                <c:pt idx="809">
                  <c:v>1.7277840000000003E-2</c:v>
                </c:pt>
                <c:pt idx="810">
                  <c:v>1.7299200000000001E-2</c:v>
                </c:pt>
                <c:pt idx="811">
                  <c:v>1.7320550000000001E-2</c:v>
                </c:pt>
                <c:pt idx="812">
                  <c:v>1.7341909999999999E-2</c:v>
                </c:pt>
                <c:pt idx="813">
                  <c:v>1.736327E-2</c:v>
                </c:pt>
                <c:pt idx="814">
                  <c:v>1.7384630000000002E-2</c:v>
                </c:pt>
                <c:pt idx="815">
                  <c:v>1.7405979999999998E-2</c:v>
                </c:pt>
                <c:pt idx="816">
                  <c:v>1.7427339999999999E-2</c:v>
                </c:pt>
                <c:pt idx="817">
                  <c:v>1.7448699999999998E-2</c:v>
                </c:pt>
                <c:pt idx="818">
                  <c:v>1.7470050000000001E-2</c:v>
                </c:pt>
                <c:pt idx="819">
                  <c:v>1.7491409999999999E-2</c:v>
                </c:pt>
                <c:pt idx="820">
                  <c:v>1.751277E-2</c:v>
                </c:pt>
                <c:pt idx="821">
                  <c:v>1.7534130000000002E-2</c:v>
                </c:pt>
                <c:pt idx="822">
                  <c:v>1.7555479999999998E-2</c:v>
                </c:pt>
                <c:pt idx="823">
                  <c:v>1.757684E-2</c:v>
                </c:pt>
                <c:pt idx="824">
                  <c:v>1.7598199999999998E-2</c:v>
                </c:pt>
                <c:pt idx="825">
                  <c:v>1.7619550000000001E-2</c:v>
                </c:pt>
                <c:pt idx="826">
                  <c:v>1.7640910000000003E-2</c:v>
                </c:pt>
                <c:pt idx="827">
                  <c:v>1.7662270000000001E-2</c:v>
                </c:pt>
                <c:pt idx="828">
                  <c:v>1.7683620000000001E-2</c:v>
                </c:pt>
                <c:pt idx="829">
                  <c:v>1.7704979999999999E-2</c:v>
                </c:pt>
                <c:pt idx="830">
                  <c:v>1.772634E-2</c:v>
                </c:pt>
                <c:pt idx="831">
                  <c:v>1.7747699999999998E-2</c:v>
                </c:pt>
                <c:pt idx="832">
                  <c:v>1.7769050000000002E-2</c:v>
                </c:pt>
                <c:pt idx="833">
                  <c:v>1.7790410000000003E-2</c:v>
                </c:pt>
                <c:pt idx="834">
                  <c:v>1.7811769999999998E-2</c:v>
                </c:pt>
                <c:pt idx="835">
                  <c:v>1.7833120000000001E-2</c:v>
                </c:pt>
                <c:pt idx="836">
                  <c:v>1.7854479999999999E-2</c:v>
                </c:pt>
                <c:pt idx="837">
                  <c:v>1.787584E-2</c:v>
                </c:pt>
                <c:pt idx="838">
                  <c:v>1.7897189999999997E-2</c:v>
                </c:pt>
                <c:pt idx="839">
                  <c:v>1.7918549999999998E-2</c:v>
                </c:pt>
                <c:pt idx="840">
                  <c:v>1.793991E-2</c:v>
                </c:pt>
                <c:pt idx="841">
                  <c:v>1.7961269999999998E-2</c:v>
                </c:pt>
                <c:pt idx="842">
                  <c:v>1.7982620000000001E-2</c:v>
                </c:pt>
                <c:pt idx="843">
                  <c:v>1.8003979999999999E-2</c:v>
                </c:pt>
                <c:pt idx="844">
                  <c:v>1.8025340000000001E-2</c:v>
                </c:pt>
                <c:pt idx="845">
                  <c:v>1.8046690000000001E-2</c:v>
                </c:pt>
                <c:pt idx="846">
                  <c:v>1.8068049999999999E-2</c:v>
                </c:pt>
                <c:pt idx="847">
                  <c:v>1.808941E-2</c:v>
                </c:pt>
                <c:pt idx="848">
                  <c:v>1.8110769999999998E-2</c:v>
                </c:pt>
                <c:pt idx="849">
                  <c:v>1.8132120000000002E-2</c:v>
                </c:pt>
                <c:pt idx="850">
                  <c:v>1.815348E-2</c:v>
                </c:pt>
                <c:pt idx="851">
                  <c:v>1.8174840000000001E-2</c:v>
                </c:pt>
                <c:pt idx="852">
                  <c:v>1.8196190000000001E-2</c:v>
                </c:pt>
                <c:pt idx="853">
                  <c:v>1.8217549999999999E-2</c:v>
                </c:pt>
                <c:pt idx="854">
                  <c:v>1.8238910000000001E-2</c:v>
                </c:pt>
                <c:pt idx="855">
                  <c:v>1.826026E-2</c:v>
                </c:pt>
                <c:pt idx="856">
                  <c:v>1.8281620000000002E-2</c:v>
                </c:pt>
                <c:pt idx="857">
                  <c:v>1.830298E-2</c:v>
                </c:pt>
                <c:pt idx="858">
                  <c:v>1.8324339999999998E-2</c:v>
                </c:pt>
                <c:pt idx="859">
                  <c:v>1.8345690000000001E-2</c:v>
                </c:pt>
                <c:pt idx="860">
                  <c:v>1.8367049999999999E-2</c:v>
                </c:pt>
                <c:pt idx="861">
                  <c:v>1.8388410000000001E-2</c:v>
                </c:pt>
                <c:pt idx="862">
                  <c:v>1.8409759999999997E-2</c:v>
                </c:pt>
                <c:pt idx="863">
                  <c:v>1.8431119999999999E-2</c:v>
                </c:pt>
                <c:pt idx="864">
                  <c:v>1.845248E-2</c:v>
                </c:pt>
                <c:pt idx="865">
                  <c:v>1.847383E-2</c:v>
                </c:pt>
                <c:pt idx="866">
                  <c:v>1.8495190000000002E-2</c:v>
                </c:pt>
                <c:pt idx="867">
                  <c:v>1.851655E-2</c:v>
                </c:pt>
                <c:pt idx="868">
                  <c:v>1.8537910000000001E-2</c:v>
                </c:pt>
                <c:pt idx="869">
                  <c:v>1.8559259999999998E-2</c:v>
                </c:pt>
                <c:pt idx="870">
                  <c:v>1.8580619999999999E-2</c:v>
                </c:pt>
                <c:pt idx="871">
                  <c:v>1.8601980000000001E-2</c:v>
                </c:pt>
                <c:pt idx="872">
                  <c:v>1.862333E-2</c:v>
                </c:pt>
                <c:pt idx="873">
                  <c:v>1.8644690000000002E-2</c:v>
                </c:pt>
                <c:pt idx="874">
                  <c:v>1.866605E-2</c:v>
                </c:pt>
                <c:pt idx="875">
                  <c:v>1.8687410000000002E-2</c:v>
                </c:pt>
                <c:pt idx="876">
                  <c:v>1.8708760000000001E-2</c:v>
                </c:pt>
                <c:pt idx="877">
                  <c:v>1.8730119999999999E-2</c:v>
                </c:pt>
                <c:pt idx="878">
                  <c:v>1.8751480000000001E-2</c:v>
                </c:pt>
                <c:pt idx="879">
                  <c:v>1.8772829999999997E-2</c:v>
                </c:pt>
                <c:pt idx="880">
                  <c:v>1.8794189999999999E-2</c:v>
                </c:pt>
                <c:pt idx="881">
                  <c:v>1.881555E-2</c:v>
                </c:pt>
                <c:pt idx="882">
                  <c:v>1.88369E-2</c:v>
                </c:pt>
                <c:pt idx="883">
                  <c:v>1.8858260000000002E-2</c:v>
                </c:pt>
                <c:pt idx="884">
                  <c:v>1.887962E-2</c:v>
                </c:pt>
                <c:pt idx="885">
                  <c:v>1.8900980000000001E-2</c:v>
                </c:pt>
                <c:pt idx="886">
                  <c:v>1.8922329999999998E-2</c:v>
                </c:pt>
                <c:pt idx="887">
                  <c:v>1.8943689999999999E-2</c:v>
                </c:pt>
                <c:pt idx="888">
                  <c:v>1.8965050000000001E-2</c:v>
                </c:pt>
                <c:pt idx="889">
                  <c:v>1.89864E-2</c:v>
                </c:pt>
                <c:pt idx="890">
                  <c:v>1.9007760000000002E-2</c:v>
                </c:pt>
                <c:pt idx="891">
                  <c:v>1.902912E-2</c:v>
                </c:pt>
                <c:pt idx="892">
                  <c:v>1.905047E-2</c:v>
                </c:pt>
                <c:pt idx="893">
                  <c:v>1.9071829999999998E-2</c:v>
                </c:pt>
                <c:pt idx="894">
                  <c:v>1.9093189999999999E-2</c:v>
                </c:pt>
                <c:pt idx="895">
                  <c:v>1.9114550000000001E-2</c:v>
                </c:pt>
                <c:pt idx="896">
                  <c:v>1.9135900000000001E-2</c:v>
                </c:pt>
                <c:pt idx="897">
                  <c:v>1.9157260000000002E-2</c:v>
                </c:pt>
                <c:pt idx="898">
                  <c:v>1.917862E-2</c:v>
                </c:pt>
                <c:pt idx="899">
                  <c:v>1.919997E-2</c:v>
                </c:pt>
                <c:pt idx="900">
                  <c:v>1.9221329999999998E-2</c:v>
                </c:pt>
                <c:pt idx="901">
                  <c:v>1.924269E-2</c:v>
                </c:pt>
                <c:pt idx="902">
                  <c:v>1.9264040000000003E-2</c:v>
                </c:pt>
                <c:pt idx="903">
                  <c:v>1.9285399999999998E-2</c:v>
                </c:pt>
                <c:pt idx="904">
                  <c:v>1.9306759999999999E-2</c:v>
                </c:pt>
                <c:pt idx="905">
                  <c:v>1.9328119999999997E-2</c:v>
                </c:pt>
                <c:pt idx="906">
                  <c:v>1.9349470000000001E-2</c:v>
                </c:pt>
                <c:pt idx="907">
                  <c:v>1.9370830000000002E-2</c:v>
                </c:pt>
                <c:pt idx="908">
                  <c:v>1.939219E-2</c:v>
                </c:pt>
                <c:pt idx="909">
                  <c:v>1.941354E-2</c:v>
                </c:pt>
                <c:pt idx="910">
                  <c:v>1.9434899999999998E-2</c:v>
                </c:pt>
                <c:pt idx="911">
                  <c:v>1.945626E-2</c:v>
                </c:pt>
                <c:pt idx="912">
                  <c:v>1.9477620000000001E-2</c:v>
                </c:pt>
                <c:pt idx="913">
                  <c:v>1.9498970000000001E-2</c:v>
                </c:pt>
                <c:pt idx="914">
                  <c:v>1.9520330000000002E-2</c:v>
                </c:pt>
                <c:pt idx="915">
                  <c:v>1.954169E-2</c:v>
                </c:pt>
                <c:pt idx="916">
                  <c:v>1.956304E-2</c:v>
                </c:pt>
                <c:pt idx="917">
                  <c:v>1.9584399999999998E-2</c:v>
                </c:pt>
                <c:pt idx="918">
                  <c:v>1.960576E-2</c:v>
                </c:pt>
                <c:pt idx="919">
                  <c:v>1.962711E-2</c:v>
                </c:pt>
                <c:pt idx="920">
                  <c:v>1.9648470000000001E-2</c:v>
                </c:pt>
                <c:pt idx="921">
                  <c:v>1.9669830000000003E-2</c:v>
                </c:pt>
                <c:pt idx="922">
                  <c:v>1.9691189999999997E-2</c:v>
                </c:pt>
                <c:pt idx="923">
                  <c:v>1.9712540000000001E-2</c:v>
                </c:pt>
                <c:pt idx="924">
                  <c:v>1.9733899999999999E-2</c:v>
                </c:pt>
                <c:pt idx="925">
                  <c:v>1.975526E-2</c:v>
                </c:pt>
                <c:pt idx="926">
                  <c:v>1.977661E-2</c:v>
                </c:pt>
                <c:pt idx="927">
                  <c:v>1.9797969999999998E-2</c:v>
                </c:pt>
                <c:pt idx="928">
                  <c:v>1.981933E-2</c:v>
                </c:pt>
                <c:pt idx="929">
                  <c:v>1.9840679999999999E-2</c:v>
                </c:pt>
                <c:pt idx="930">
                  <c:v>1.9862040000000001E-2</c:v>
                </c:pt>
                <c:pt idx="931">
                  <c:v>1.9883400000000002E-2</c:v>
                </c:pt>
                <c:pt idx="932">
                  <c:v>1.9904760000000001E-2</c:v>
                </c:pt>
                <c:pt idx="933">
                  <c:v>1.992611E-2</c:v>
                </c:pt>
                <c:pt idx="934">
                  <c:v>1.9947469999999998E-2</c:v>
                </c:pt>
                <c:pt idx="935">
                  <c:v>1.996883E-2</c:v>
                </c:pt>
                <c:pt idx="936">
                  <c:v>1.999018E-2</c:v>
                </c:pt>
                <c:pt idx="937">
                  <c:v>2.0011540000000001E-2</c:v>
                </c:pt>
                <c:pt idx="938">
                  <c:v>2.0032900000000003E-2</c:v>
                </c:pt>
                <c:pt idx="939">
                  <c:v>2.0054260000000001E-2</c:v>
                </c:pt>
                <c:pt idx="940">
                  <c:v>2.0075610000000001E-2</c:v>
                </c:pt>
                <c:pt idx="941">
                  <c:v>2.0096969999999999E-2</c:v>
                </c:pt>
                <c:pt idx="942">
                  <c:v>2.011833E-2</c:v>
                </c:pt>
                <c:pt idx="943">
                  <c:v>2.013968E-2</c:v>
                </c:pt>
                <c:pt idx="944">
                  <c:v>2.0161039999999998E-2</c:v>
                </c:pt>
                <c:pt idx="945">
                  <c:v>2.01824E-2</c:v>
                </c:pt>
                <c:pt idx="946">
                  <c:v>2.0203749999999999E-2</c:v>
                </c:pt>
                <c:pt idx="947">
                  <c:v>2.0225110000000001E-2</c:v>
                </c:pt>
                <c:pt idx="948">
                  <c:v>2.0246469999999999E-2</c:v>
                </c:pt>
                <c:pt idx="949">
                  <c:v>2.0267830000000001E-2</c:v>
                </c:pt>
                <c:pt idx="950">
                  <c:v>2.028918E-2</c:v>
                </c:pt>
                <c:pt idx="951">
                  <c:v>2.0310539999999998E-2</c:v>
                </c:pt>
                <c:pt idx="952">
                  <c:v>2.03319E-2</c:v>
                </c:pt>
                <c:pt idx="953">
                  <c:v>2.035325E-2</c:v>
                </c:pt>
                <c:pt idx="954">
                  <c:v>2.0374610000000001E-2</c:v>
                </c:pt>
                <c:pt idx="955">
                  <c:v>2.0395969999999999E-2</c:v>
                </c:pt>
                <c:pt idx="956">
                  <c:v>2.0417319999999999E-2</c:v>
                </c:pt>
                <c:pt idx="957">
                  <c:v>2.0438680000000001E-2</c:v>
                </c:pt>
                <c:pt idx="958">
                  <c:v>2.0460039999999999E-2</c:v>
                </c:pt>
                <c:pt idx="959">
                  <c:v>2.04814E-2</c:v>
                </c:pt>
                <c:pt idx="960">
                  <c:v>2.050275E-2</c:v>
                </c:pt>
                <c:pt idx="961">
                  <c:v>2.0524110000000002E-2</c:v>
                </c:pt>
                <c:pt idx="962">
                  <c:v>2.0545470000000003E-2</c:v>
                </c:pt>
                <c:pt idx="963">
                  <c:v>2.056682E-2</c:v>
                </c:pt>
                <c:pt idx="964">
                  <c:v>2.0588180000000001E-2</c:v>
                </c:pt>
                <c:pt idx="965">
                  <c:v>2.0609539999999999E-2</c:v>
                </c:pt>
                <c:pt idx="966">
                  <c:v>2.0630900000000001E-2</c:v>
                </c:pt>
                <c:pt idx="967">
                  <c:v>2.0652249999999997E-2</c:v>
                </c:pt>
                <c:pt idx="968">
                  <c:v>2.0673609999999999E-2</c:v>
                </c:pt>
                <c:pt idx="969">
                  <c:v>2.069497E-2</c:v>
                </c:pt>
                <c:pt idx="970">
                  <c:v>2.071632E-2</c:v>
                </c:pt>
                <c:pt idx="971">
                  <c:v>2.0737680000000001E-2</c:v>
                </c:pt>
                <c:pt idx="972">
                  <c:v>2.0759039999999999E-2</c:v>
                </c:pt>
                <c:pt idx="973">
                  <c:v>2.0780389999999999E-2</c:v>
                </c:pt>
                <c:pt idx="974">
                  <c:v>2.0801749999999997E-2</c:v>
                </c:pt>
                <c:pt idx="975">
                  <c:v>2.0823109999999999E-2</c:v>
                </c:pt>
                <c:pt idx="976">
                  <c:v>2.084447E-2</c:v>
                </c:pt>
                <c:pt idx="977">
                  <c:v>2.086582E-2</c:v>
                </c:pt>
                <c:pt idx="978">
                  <c:v>2.0887180000000002E-2</c:v>
                </c:pt>
                <c:pt idx="979">
                  <c:v>2.090854E-2</c:v>
                </c:pt>
                <c:pt idx="980">
                  <c:v>2.092989E-2</c:v>
                </c:pt>
                <c:pt idx="981">
                  <c:v>2.0951250000000001E-2</c:v>
                </c:pt>
                <c:pt idx="982">
                  <c:v>2.0972609999999999E-2</c:v>
                </c:pt>
                <c:pt idx="983">
                  <c:v>2.0993960000000002E-2</c:v>
                </c:pt>
                <c:pt idx="984">
                  <c:v>2.1015320000000001E-2</c:v>
                </c:pt>
                <c:pt idx="985">
                  <c:v>2.1036680000000002E-2</c:v>
                </c:pt>
                <c:pt idx="986">
                  <c:v>2.1058039999999997E-2</c:v>
                </c:pt>
                <c:pt idx="987">
                  <c:v>2.107939E-2</c:v>
                </c:pt>
                <c:pt idx="988">
                  <c:v>2.1100750000000001E-2</c:v>
                </c:pt>
                <c:pt idx="989">
                  <c:v>2.1122109999999999E-2</c:v>
                </c:pt>
                <c:pt idx="990">
                  <c:v>2.1143459999999999E-2</c:v>
                </c:pt>
                <c:pt idx="991">
                  <c:v>2.1164819999999997E-2</c:v>
                </c:pt>
                <c:pt idx="992">
                  <c:v>2.1186179999999999E-2</c:v>
                </c:pt>
                <c:pt idx="993">
                  <c:v>2.120754E-2</c:v>
                </c:pt>
                <c:pt idx="994">
                  <c:v>2.122889E-2</c:v>
                </c:pt>
                <c:pt idx="995">
                  <c:v>2.1250250000000002E-2</c:v>
                </c:pt>
                <c:pt idx="996">
                  <c:v>2.127161E-2</c:v>
                </c:pt>
                <c:pt idx="997">
                  <c:v>2.129296E-2</c:v>
                </c:pt>
                <c:pt idx="998">
                  <c:v>2.1314319999999998E-2</c:v>
                </c:pt>
                <c:pt idx="999">
                  <c:v>2.1335679999999999E-2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1C7-45BB-9188-2A875F233621}"/>
            </c:ext>
          </c:extLst>
        </c:ser>
        <c:ser>
          <c:idx val="1"/>
          <c:order val="1"/>
          <c:tx>
            <c:v>Reduzida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shade val="76000"/>
                </a:schemeClr>
              </a:solidFill>
              <a:ln w="9525">
                <a:solidFill>
                  <a:schemeClr val="accent4">
                    <a:shade val="76000"/>
                  </a:schemeClr>
                </a:solidFill>
              </a:ln>
              <a:effectLst/>
            </c:spPr>
          </c:marker>
          <c:xVal>
            <c:numRef>
              <c:f>'Bending Stiffness'!$F$18:$F$57</c:f>
              <c:numCache>
                <c:formatCode>0.0000</c:formatCode>
                <c:ptCount val="40"/>
                <c:pt idx="0">
                  <c:v>0</c:v>
                </c:pt>
                <c:pt idx="1">
                  <c:v>2.1676460000000002E-2</c:v>
                </c:pt>
                <c:pt idx="2">
                  <c:v>4.3352920000000003E-2</c:v>
                </c:pt>
                <c:pt idx="3">
                  <c:v>6.5029390000000006E-2</c:v>
                </c:pt>
                <c:pt idx="4">
                  <c:v>8.6705850000000001E-2</c:v>
                </c:pt>
                <c:pt idx="5">
                  <c:v>0.1083823</c:v>
                </c:pt>
                <c:pt idx="6">
                  <c:v>0.1300588</c:v>
                </c:pt>
                <c:pt idx="7">
                  <c:v>0.15173519999999999</c:v>
                </c:pt>
                <c:pt idx="8">
                  <c:v>0.1734117</c:v>
                </c:pt>
                <c:pt idx="9">
                  <c:v>0.19508819999999999</c:v>
                </c:pt>
                <c:pt idx="10">
                  <c:v>0.2167646</c:v>
                </c:pt>
                <c:pt idx="11">
                  <c:v>0.23844109999999999</c:v>
                </c:pt>
                <c:pt idx="12">
                  <c:v>0.2601175</c:v>
                </c:pt>
                <c:pt idx="13">
                  <c:v>0.28179399999999999</c:v>
                </c:pt>
                <c:pt idx="14">
                  <c:v>0.30347049999999998</c:v>
                </c:pt>
                <c:pt idx="15">
                  <c:v>0.32514690000000002</c:v>
                </c:pt>
                <c:pt idx="16">
                  <c:v>0.3468234</c:v>
                </c:pt>
                <c:pt idx="17">
                  <c:v>0.36849989999999999</c:v>
                </c:pt>
                <c:pt idx="18">
                  <c:v>0.39017629999999998</c:v>
                </c:pt>
                <c:pt idx="19">
                  <c:v>0.41185280000000002</c:v>
                </c:pt>
                <c:pt idx="20">
                  <c:v>0.4335292</c:v>
                </c:pt>
                <c:pt idx="21">
                  <c:v>0.45520569999999999</c:v>
                </c:pt>
                <c:pt idx="22">
                  <c:v>0.47688219999999998</c:v>
                </c:pt>
                <c:pt idx="23">
                  <c:v>0.49855860000000002</c:v>
                </c:pt>
                <c:pt idx="24">
                  <c:v>0.52023509999999995</c:v>
                </c:pt>
                <c:pt idx="25">
                  <c:v>0.54191160000000005</c:v>
                </c:pt>
                <c:pt idx="26">
                  <c:v>0.56358799999999998</c:v>
                </c:pt>
                <c:pt idx="27">
                  <c:v>0.58526449999999997</c:v>
                </c:pt>
                <c:pt idx="28">
                  <c:v>0.60694090000000001</c:v>
                </c:pt>
                <c:pt idx="29">
                  <c:v>0.62861739999999999</c:v>
                </c:pt>
                <c:pt idx="30">
                  <c:v>0.65029389999999998</c:v>
                </c:pt>
                <c:pt idx="31">
                  <c:v>0.67197030000000002</c:v>
                </c:pt>
                <c:pt idx="32">
                  <c:v>0.69364680000000001</c:v>
                </c:pt>
                <c:pt idx="33">
                  <c:v>0.7153233</c:v>
                </c:pt>
                <c:pt idx="34">
                  <c:v>0.73699970000000004</c:v>
                </c:pt>
                <c:pt idx="35">
                  <c:v>0.75867620000000002</c:v>
                </c:pt>
                <c:pt idx="36">
                  <c:v>0.78035259999999995</c:v>
                </c:pt>
                <c:pt idx="37">
                  <c:v>0.80202910000000005</c:v>
                </c:pt>
                <c:pt idx="38">
                  <c:v>0.82370560000000004</c:v>
                </c:pt>
                <c:pt idx="39">
                  <c:v>0.84538199999999997</c:v>
                </c:pt>
              </c:numCache>
            </c:numRef>
          </c:xVal>
          <c:yVal>
            <c:numRef>
              <c:f>'Bending Stiffness'!$G$18:$G$57</c:f>
              <c:numCache>
                <c:formatCode>0.0000</c:formatCode>
                <c:ptCount val="40"/>
                <c:pt idx="0">
                  <c:v>0</c:v>
                </c:pt>
                <c:pt idx="1">
                  <c:v>5.3392589999999996E-4</c:v>
                </c:pt>
                <c:pt idx="2">
                  <c:v>1.067852E-3</c:v>
                </c:pt>
                <c:pt idx="3">
                  <c:v>1.6017779999999999E-3</c:v>
                </c:pt>
                <c:pt idx="4">
                  <c:v>2.1357030000000001E-3</c:v>
                </c:pt>
                <c:pt idx="5">
                  <c:v>2.6696290000000002E-3</c:v>
                </c:pt>
                <c:pt idx="6">
                  <c:v>3.2035550000000003E-3</c:v>
                </c:pt>
                <c:pt idx="7">
                  <c:v>3.737481E-3</c:v>
                </c:pt>
                <c:pt idx="8">
                  <c:v>4.2714069999999996E-3</c:v>
                </c:pt>
                <c:pt idx="9">
                  <c:v>4.8053330000000002E-3</c:v>
                </c:pt>
                <c:pt idx="10">
                  <c:v>5.3392589999999998E-3</c:v>
                </c:pt>
                <c:pt idx="11">
                  <c:v>5.873184E-3</c:v>
                </c:pt>
                <c:pt idx="12">
                  <c:v>6.4071100000000006E-3</c:v>
                </c:pt>
                <c:pt idx="13">
                  <c:v>6.9410360000000003E-3</c:v>
                </c:pt>
                <c:pt idx="14">
                  <c:v>7.4749619999999999E-3</c:v>
                </c:pt>
                <c:pt idx="15">
                  <c:v>8.0088880000000005E-3</c:v>
                </c:pt>
                <c:pt idx="16">
                  <c:v>8.5428139999999993E-3</c:v>
                </c:pt>
                <c:pt idx="17">
                  <c:v>9.0767399999999998E-3</c:v>
                </c:pt>
                <c:pt idx="18">
                  <c:v>9.6106649999999991E-3</c:v>
                </c:pt>
                <c:pt idx="19">
                  <c:v>1.014459E-2</c:v>
                </c:pt>
                <c:pt idx="20">
                  <c:v>1.067852E-2</c:v>
                </c:pt>
                <c:pt idx="21">
                  <c:v>1.1212440000000001E-2</c:v>
                </c:pt>
                <c:pt idx="22">
                  <c:v>1.1746370000000001E-2</c:v>
                </c:pt>
                <c:pt idx="23">
                  <c:v>1.2280290000000001E-2</c:v>
                </c:pt>
                <c:pt idx="24">
                  <c:v>1.2814220000000001E-2</c:v>
                </c:pt>
                <c:pt idx="25">
                  <c:v>1.334815E-2</c:v>
                </c:pt>
                <c:pt idx="26">
                  <c:v>1.388207E-2</c:v>
                </c:pt>
                <c:pt idx="27">
                  <c:v>1.4416E-2</c:v>
                </c:pt>
                <c:pt idx="28">
                  <c:v>1.494992E-2</c:v>
                </c:pt>
                <c:pt idx="29">
                  <c:v>1.548385E-2</c:v>
                </c:pt>
                <c:pt idx="30">
                  <c:v>1.6017779999999999E-2</c:v>
                </c:pt>
                <c:pt idx="31">
                  <c:v>1.6551699999999999E-2</c:v>
                </c:pt>
                <c:pt idx="32">
                  <c:v>1.7085629999999997E-2</c:v>
                </c:pt>
                <c:pt idx="33">
                  <c:v>1.7619550000000001E-2</c:v>
                </c:pt>
                <c:pt idx="34">
                  <c:v>1.815348E-2</c:v>
                </c:pt>
                <c:pt idx="35">
                  <c:v>1.8687410000000002E-2</c:v>
                </c:pt>
                <c:pt idx="36">
                  <c:v>1.9221329999999998E-2</c:v>
                </c:pt>
                <c:pt idx="37">
                  <c:v>1.975526E-2</c:v>
                </c:pt>
                <c:pt idx="38">
                  <c:v>2.028918E-2</c:v>
                </c:pt>
                <c:pt idx="39">
                  <c:v>2.0823109999999999E-2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1C7-45BB-9188-2A875F2336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89914032"/>
        <c:axId val="689917312"/>
      </c:scatterChart>
      <c:valAx>
        <c:axId val="6899140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89917312"/>
        <c:crosses val="autoZero"/>
        <c:crossBetween val="midCat"/>
      </c:valAx>
      <c:valAx>
        <c:axId val="6899173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899140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pt-BR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pt-BR"/>
          </a:p>
        </c:txPr>
      </c:legendEntry>
      <c:layout>
        <c:manualLayout>
          <c:xMode val="edge"/>
          <c:yMode val="edge"/>
          <c:x val="0.25144756905386823"/>
          <c:y val="0.90603751084459372"/>
          <c:w val="0.52301637295338077"/>
          <c:h val="8.364662350946323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000">
                <a:latin typeface="Arial" panose="020B0604020202020204" pitchFamily="34" charset="0"/>
                <a:cs typeface="Arial" panose="020B0604020202020204" pitchFamily="34" charset="0"/>
              </a:rPr>
              <a:t>Curva </a:t>
            </a:r>
            <a:r>
              <a:rPr lang="pt-BR" sz="1000" baseline="0">
                <a:latin typeface="Arial" panose="020B0604020202020204" pitchFamily="34" charset="0"/>
                <a:cs typeface="Arial" panose="020B0604020202020204" pitchFamily="34" charset="0"/>
              </a:rPr>
              <a:t>de Teste</a:t>
            </a:r>
            <a:endParaRPr lang="pt-BR" sz="1000">
              <a:latin typeface="Arial" panose="020B0604020202020204" pitchFamily="34" charset="0"/>
              <a:cs typeface="Arial" panose="020B0604020202020204" pitchFamily="34" charset="0"/>
            </a:endParaRPr>
          </a:p>
        </c:rich>
      </c:tx>
      <c:layout>
        <c:manualLayout>
          <c:xMode val="edge"/>
          <c:yMode val="edge"/>
          <c:x val="0.33048948613597512"/>
          <c:y val="7.5679521657750987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5.497323250660905E-2"/>
          <c:y val="0.14486416598372129"/>
          <c:w val="0.91650267136649111"/>
          <c:h val="0.63090917420451709"/>
        </c:manualLayout>
      </c:layout>
      <c:scatterChart>
        <c:scatterStyle val="lineMarker"/>
        <c:varyColors val="0"/>
        <c:ser>
          <c:idx val="0"/>
          <c:order val="0"/>
          <c:tx>
            <c:v>Original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tint val="77000"/>
                </a:schemeClr>
              </a:solidFill>
              <a:ln w="9525">
                <a:solidFill>
                  <a:schemeClr val="accent4">
                    <a:tint val="77000"/>
                  </a:schemeClr>
                </a:solidFill>
              </a:ln>
              <a:effectLst/>
            </c:spPr>
          </c:marker>
          <c:xVal>
            <c:numRef>
              <c:f>'Bending Stiffness'!$I$18:$I$1267</c:f>
              <c:numCache>
                <c:formatCode>0.0000</c:formatCode>
                <c:ptCount val="1250"/>
                <c:pt idx="0">
                  <c:v>0</c:v>
                </c:pt>
                <c:pt idx="1">
                  <c:v>1.175291E-5</c:v>
                </c:pt>
                <c:pt idx="2">
                  <c:v>2.3505819999999999E-5</c:v>
                </c:pt>
                <c:pt idx="3">
                  <c:v>3.5258729999999997E-5</c:v>
                </c:pt>
                <c:pt idx="4">
                  <c:v>4.7011639999999998E-5</c:v>
                </c:pt>
                <c:pt idx="5">
                  <c:v>5.876455E-5</c:v>
                </c:pt>
                <c:pt idx="6">
                  <c:v>7.0517459999999994E-5</c:v>
                </c:pt>
                <c:pt idx="7">
                  <c:v>8.2270369999999995E-5</c:v>
                </c:pt>
                <c:pt idx="8">
                  <c:v>9.4023279999999997E-5</c:v>
                </c:pt>
                <c:pt idx="9">
                  <c:v>1.057762E-4</c:v>
                </c:pt>
                <c:pt idx="10">
                  <c:v>1.175291E-4</c:v>
                </c:pt>
                <c:pt idx="11">
                  <c:v>1.2928200000000001E-4</c:v>
                </c:pt>
                <c:pt idx="12">
                  <c:v>1.4103489999999999E-4</c:v>
                </c:pt>
                <c:pt idx="13">
                  <c:v>1.5278779999999999E-4</c:v>
                </c:pt>
                <c:pt idx="14">
                  <c:v>1.6454069999999999E-4</c:v>
                </c:pt>
                <c:pt idx="15">
                  <c:v>1.762937E-4</c:v>
                </c:pt>
                <c:pt idx="16">
                  <c:v>1.880466E-4</c:v>
                </c:pt>
                <c:pt idx="17">
                  <c:v>1.997995E-4</c:v>
                </c:pt>
                <c:pt idx="18">
                  <c:v>2.115524E-4</c:v>
                </c:pt>
                <c:pt idx="19">
                  <c:v>2.233053E-4</c:v>
                </c:pt>
                <c:pt idx="20">
                  <c:v>2.350582E-4</c:v>
                </c:pt>
                <c:pt idx="21">
                  <c:v>2.4681110000000003E-4</c:v>
                </c:pt>
                <c:pt idx="22">
                  <c:v>2.5856400000000003E-4</c:v>
                </c:pt>
                <c:pt idx="23">
                  <c:v>2.7031689999999997E-4</c:v>
                </c:pt>
                <c:pt idx="24">
                  <c:v>2.8206979999999997E-4</c:v>
                </c:pt>
                <c:pt idx="25">
                  <c:v>2.9382280000000001E-4</c:v>
                </c:pt>
                <c:pt idx="26">
                  <c:v>3.0557570000000001E-4</c:v>
                </c:pt>
                <c:pt idx="27">
                  <c:v>3.1732860000000001E-4</c:v>
                </c:pt>
                <c:pt idx="28">
                  <c:v>3.2908150000000001E-4</c:v>
                </c:pt>
                <c:pt idx="29">
                  <c:v>3.4083440000000001E-4</c:v>
                </c:pt>
                <c:pt idx="30">
                  <c:v>3.5258730000000001E-4</c:v>
                </c:pt>
                <c:pt idx="31">
                  <c:v>3.6434020000000001E-4</c:v>
                </c:pt>
                <c:pt idx="32">
                  <c:v>3.7609310000000001E-4</c:v>
                </c:pt>
                <c:pt idx="33">
                  <c:v>3.8784600000000001E-4</c:v>
                </c:pt>
                <c:pt idx="34">
                  <c:v>3.9959890000000001E-4</c:v>
                </c:pt>
                <c:pt idx="35">
                  <c:v>4.1135189999999999E-4</c:v>
                </c:pt>
                <c:pt idx="36">
                  <c:v>4.2310479999999999E-4</c:v>
                </c:pt>
                <c:pt idx="37">
                  <c:v>4.348577E-4</c:v>
                </c:pt>
                <c:pt idx="38">
                  <c:v>4.466106E-4</c:v>
                </c:pt>
                <c:pt idx="39">
                  <c:v>4.583635E-4</c:v>
                </c:pt>
                <c:pt idx="40">
                  <c:v>4.701164E-4</c:v>
                </c:pt>
                <c:pt idx="41">
                  <c:v>4.818693E-4</c:v>
                </c:pt>
                <c:pt idx="42">
                  <c:v>4.9362220000000005E-4</c:v>
                </c:pt>
                <c:pt idx="43">
                  <c:v>5.053751E-4</c:v>
                </c:pt>
                <c:pt idx="44">
                  <c:v>5.1712800000000005E-4</c:v>
                </c:pt>
                <c:pt idx="45">
                  <c:v>5.2888100000000003E-4</c:v>
                </c:pt>
                <c:pt idx="46">
                  <c:v>5.4063389999999998E-4</c:v>
                </c:pt>
                <c:pt idx="47">
                  <c:v>5.5238680000000004E-4</c:v>
                </c:pt>
                <c:pt idx="48">
                  <c:v>5.6413969999999998E-4</c:v>
                </c:pt>
                <c:pt idx="49">
                  <c:v>5.7589260000000004E-4</c:v>
                </c:pt>
                <c:pt idx="50">
                  <c:v>5.8764549999999998E-4</c:v>
                </c:pt>
                <c:pt idx="51">
                  <c:v>5.9939840000000004E-4</c:v>
                </c:pt>
                <c:pt idx="52">
                  <c:v>6.1115129999999998E-4</c:v>
                </c:pt>
                <c:pt idx="53">
                  <c:v>6.2290420000000004E-4</c:v>
                </c:pt>
                <c:pt idx="54">
                  <c:v>6.3465709999999999E-4</c:v>
                </c:pt>
                <c:pt idx="55">
                  <c:v>6.4641009999999997E-4</c:v>
                </c:pt>
                <c:pt idx="56">
                  <c:v>6.5816300000000002E-4</c:v>
                </c:pt>
                <c:pt idx="57">
                  <c:v>6.6991589999999997E-4</c:v>
                </c:pt>
                <c:pt idx="58">
                  <c:v>6.8166880000000002E-4</c:v>
                </c:pt>
                <c:pt idx="59">
                  <c:v>6.9342169999999997E-4</c:v>
                </c:pt>
                <c:pt idx="60">
                  <c:v>7.0517460000000002E-4</c:v>
                </c:pt>
                <c:pt idx="61">
                  <c:v>7.1692749999999997E-4</c:v>
                </c:pt>
                <c:pt idx="62">
                  <c:v>7.2868040000000002E-4</c:v>
                </c:pt>
                <c:pt idx="63">
                  <c:v>7.4043329999999997E-4</c:v>
                </c:pt>
                <c:pt idx="64">
                  <c:v>7.5218620000000003E-4</c:v>
                </c:pt>
                <c:pt idx="65">
                  <c:v>7.6393920000000001E-4</c:v>
                </c:pt>
                <c:pt idx="66">
                  <c:v>7.7569209999999995E-4</c:v>
                </c:pt>
                <c:pt idx="67">
                  <c:v>7.8744500000000001E-4</c:v>
                </c:pt>
                <c:pt idx="68">
                  <c:v>7.9919789999999995E-4</c:v>
                </c:pt>
                <c:pt idx="69">
                  <c:v>8.1095080000000001E-4</c:v>
                </c:pt>
                <c:pt idx="70">
                  <c:v>8.2270369999999995E-4</c:v>
                </c:pt>
                <c:pt idx="71">
                  <c:v>8.3445660000000001E-4</c:v>
                </c:pt>
                <c:pt idx="72">
                  <c:v>8.4620949999999996E-4</c:v>
                </c:pt>
                <c:pt idx="73">
                  <c:v>8.5796240000000001E-4</c:v>
                </c:pt>
                <c:pt idx="74">
                  <c:v>8.6971529999999996E-4</c:v>
                </c:pt>
                <c:pt idx="75">
                  <c:v>8.8146830000000005E-4</c:v>
                </c:pt>
                <c:pt idx="76">
                  <c:v>8.9322119999999999E-4</c:v>
                </c:pt>
                <c:pt idx="77">
                  <c:v>9.0497410000000005E-4</c:v>
                </c:pt>
                <c:pt idx="78">
                  <c:v>9.1672699999999999E-4</c:v>
                </c:pt>
                <c:pt idx="79">
                  <c:v>9.2847990000000005E-4</c:v>
                </c:pt>
                <c:pt idx="80">
                  <c:v>9.4023279999999999E-4</c:v>
                </c:pt>
                <c:pt idx="81">
                  <c:v>9.5198570000000005E-4</c:v>
                </c:pt>
                <c:pt idx="82">
                  <c:v>9.637386E-4</c:v>
                </c:pt>
                <c:pt idx="83">
                  <c:v>9.7549150000000005E-4</c:v>
                </c:pt>
                <c:pt idx="84">
                  <c:v>9.8724440000000011E-4</c:v>
                </c:pt>
                <c:pt idx="85">
                  <c:v>9.9899740000000009E-4</c:v>
                </c:pt>
                <c:pt idx="86">
                  <c:v>1.0107499999999999E-3</c:v>
                </c:pt>
                <c:pt idx="87">
                  <c:v>1.0225029999999999E-3</c:v>
                </c:pt>
                <c:pt idx="88">
                  <c:v>1.0342560000000001E-3</c:v>
                </c:pt>
                <c:pt idx="89">
                  <c:v>1.0460090000000001E-3</c:v>
                </c:pt>
                <c:pt idx="90">
                  <c:v>1.0577620000000001E-3</c:v>
                </c:pt>
                <c:pt idx="91">
                  <c:v>1.069515E-3</c:v>
                </c:pt>
                <c:pt idx="92">
                  <c:v>1.081268E-3</c:v>
                </c:pt>
                <c:pt idx="93">
                  <c:v>1.093021E-3</c:v>
                </c:pt>
                <c:pt idx="94">
                  <c:v>1.104774E-3</c:v>
                </c:pt>
                <c:pt idx="95">
                  <c:v>1.1165260000000001E-3</c:v>
                </c:pt>
                <c:pt idx="96">
                  <c:v>1.128279E-3</c:v>
                </c:pt>
                <c:pt idx="97">
                  <c:v>1.140032E-3</c:v>
                </c:pt>
                <c:pt idx="98">
                  <c:v>1.151785E-3</c:v>
                </c:pt>
                <c:pt idx="99">
                  <c:v>1.163538E-3</c:v>
                </c:pt>
                <c:pt idx="100">
                  <c:v>1.175291E-3</c:v>
                </c:pt>
                <c:pt idx="101">
                  <c:v>1.1870439999999999E-3</c:v>
                </c:pt>
                <c:pt idx="102">
                  <c:v>1.1987969999999999E-3</c:v>
                </c:pt>
                <c:pt idx="103">
                  <c:v>1.2105499999999999E-3</c:v>
                </c:pt>
                <c:pt idx="104">
                  <c:v>1.2223030000000001E-3</c:v>
                </c:pt>
                <c:pt idx="105">
                  <c:v>1.2340560000000001E-3</c:v>
                </c:pt>
                <c:pt idx="106">
                  <c:v>1.2458079999999999E-3</c:v>
                </c:pt>
                <c:pt idx="107">
                  <c:v>1.2575609999999999E-3</c:v>
                </c:pt>
                <c:pt idx="108">
                  <c:v>1.2693139999999999E-3</c:v>
                </c:pt>
                <c:pt idx="109">
                  <c:v>1.2810670000000001E-3</c:v>
                </c:pt>
                <c:pt idx="110">
                  <c:v>1.2928200000000001E-3</c:v>
                </c:pt>
                <c:pt idx="111">
                  <c:v>1.3045730000000001E-3</c:v>
                </c:pt>
                <c:pt idx="112">
                  <c:v>1.316326E-3</c:v>
                </c:pt>
                <c:pt idx="113">
                  <c:v>1.328079E-3</c:v>
                </c:pt>
                <c:pt idx="114">
                  <c:v>1.339832E-3</c:v>
                </c:pt>
                <c:pt idx="115">
                  <c:v>1.351585E-3</c:v>
                </c:pt>
                <c:pt idx="116">
                  <c:v>1.363338E-3</c:v>
                </c:pt>
                <c:pt idx="117">
                  <c:v>1.37509E-3</c:v>
                </c:pt>
                <c:pt idx="118">
                  <c:v>1.386843E-3</c:v>
                </c:pt>
                <c:pt idx="119">
                  <c:v>1.398596E-3</c:v>
                </c:pt>
                <c:pt idx="120">
                  <c:v>1.410349E-3</c:v>
                </c:pt>
                <c:pt idx="121">
                  <c:v>1.422102E-3</c:v>
                </c:pt>
                <c:pt idx="122">
                  <c:v>1.4338549999999999E-3</c:v>
                </c:pt>
                <c:pt idx="123">
                  <c:v>1.4456079999999999E-3</c:v>
                </c:pt>
                <c:pt idx="124">
                  <c:v>1.4573609999999999E-3</c:v>
                </c:pt>
                <c:pt idx="125">
                  <c:v>1.4691140000000001E-3</c:v>
                </c:pt>
                <c:pt idx="126">
                  <c:v>1.4808670000000001E-3</c:v>
                </c:pt>
                <c:pt idx="127">
                  <c:v>1.4926200000000001E-3</c:v>
                </c:pt>
                <c:pt idx="128">
                  <c:v>1.5043719999999999E-3</c:v>
                </c:pt>
                <c:pt idx="129">
                  <c:v>1.5161249999999999E-3</c:v>
                </c:pt>
                <c:pt idx="130">
                  <c:v>1.5278780000000001E-3</c:v>
                </c:pt>
                <c:pt idx="131">
                  <c:v>1.5396310000000001E-3</c:v>
                </c:pt>
                <c:pt idx="132">
                  <c:v>1.5513840000000001E-3</c:v>
                </c:pt>
                <c:pt idx="133">
                  <c:v>1.563137E-3</c:v>
                </c:pt>
                <c:pt idx="134">
                  <c:v>1.57489E-3</c:v>
                </c:pt>
                <c:pt idx="135">
                  <c:v>1.586643E-3</c:v>
                </c:pt>
                <c:pt idx="136">
                  <c:v>1.598396E-3</c:v>
                </c:pt>
                <c:pt idx="137">
                  <c:v>1.610149E-3</c:v>
                </c:pt>
                <c:pt idx="138">
                  <c:v>1.6219019999999999E-3</c:v>
                </c:pt>
                <c:pt idx="139">
                  <c:v>1.633654E-3</c:v>
                </c:pt>
                <c:pt idx="140">
                  <c:v>1.645407E-3</c:v>
                </c:pt>
                <c:pt idx="141">
                  <c:v>1.65716E-3</c:v>
                </c:pt>
                <c:pt idx="142">
                  <c:v>1.668913E-3</c:v>
                </c:pt>
                <c:pt idx="143">
                  <c:v>1.6806659999999999E-3</c:v>
                </c:pt>
                <c:pt idx="144">
                  <c:v>1.6924189999999999E-3</c:v>
                </c:pt>
                <c:pt idx="145">
                  <c:v>1.7041719999999999E-3</c:v>
                </c:pt>
                <c:pt idx="146">
                  <c:v>1.7159250000000001E-3</c:v>
                </c:pt>
                <c:pt idx="147">
                  <c:v>1.7276780000000001E-3</c:v>
                </c:pt>
                <c:pt idx="148">
                  <c:v>1.7394310000000001E-3</c:v>
                </c:pt>
                <c:pt idx="149">
                  <c:v>1.751184E-3</c:v>
                </c:pt>
                <c:pt idx="150">
                  <c:v>1.762937E-3</c:v>
                </c:pt>
                <c:pt idx="151">
                  <c:v>1.7746890000000001E-3</c:v>
                </c:pt>
                <c:pt idx="152">
                  <c:v>1.7864420000000001E-3</c:v>
                </c:pt>
                <c:pt idx="153">
                  <c:v>1.798195E-3</c:v>
                </c:pt>
                <c:pt idx="154">
                  <c:v>1.809948E-3</c:v>
                </c:pt>
                <c:pt idx="155">
                  <c:v>1.821701E-3</c:v>
                </c:pt>
                <c:pt idx="156">
                  <c:v>1.833454E-3</c:v>
                </c:pt>
                <c:pt idx="157">
                  <c:v>1.845207E-3</c:v>
                </c:pt>
                <c:pt idx="158">
                  <c:v>1.8569599999999999E-3</c:v>
                </c:pt>
                <c:pt idx="159">
                  <c:v>1.8687129999999999E-3</c:v>
                </c:pt>
                <c:pt idx="160">
                  <c:v>1.8804659999999999E-3</c:v>
                </c:pt>
                <c:pt idx="161">
                  <c:v>1.8922190000000001E-3</c:v>
                </c:pt>
                <c:pt idx="162">
                  <c:v>1.903971E-3</c:v>
                </c:pt>
                <c:pt idx="163">
                  <c:v>1.9157239999999999E-3</c:v>
                </c:pt>
                <c:pt idx="164">
                  <c:v>1.9274769999999999E-3</c:v>
                </c:pt>
                <c:pt idx="165">
                  <c:v>1.9392299999999999E-3</c:v>
                </c:pt>
                <c:pt idx="166">
                  <c:v>1.9509830000000001E-3</c:v>
                </c:pt>
                <c:pt idx="167">
                  <c:v>1.9627360000000001E-3</c:v>
                </c:pt>
                <c:pt idx="168">
                  <c:v>1.9744889999999998E-3</c:v>
                </c:pt>
                <c:pt idx="169">
                  <c:v>1.986242E-3</c:v>
                </c:pt>
                <c:pt idx="170">
                  <c:v>1.9979949999999998E-3</c:v>
                </c:pt>
                <c:pt idx="171">
                  <c:v>2.009748E-3</c:v>
                </c:pt>
                <c:pt idx="172">
                  <c:v>2.0215010000000002E-3</c:v>
                </c:pt>
                <c:pt idx="173">
                  <c:v>2.0332530000000001E-3</c:v>
                </c:pt>
                <c:pt idx="174">
                  <c:v>2.0450059999999998E-3</c:v>
                </c:pt>
                <c:pt idx="175">
                  <c:v>2.056759E-3</c:v>
                </c:pt>
                <c:pt idx="176">
                  <c:v>2.0685120000000002E-3</c:v>
                </c:pt>
                <c:pt idx="177">
                  <c:v>2.080265E-3</c:v>
                </c:pt>
                <c:pt idx="178">
                  <c:v>2.0920180000000002E-3</c:v>
                </c:pt>
                <c:pt idx="179">
                  <c:v>2.1037709999999999E-3</c:v>
                </c:pt>
                <c:pt idx="180">
                  <c:v>2.1155240000000001E-3</c:v>
                </c:pt>
                <c:pt idx="181">
                  <c:v>2.1272769999999999E-3</c:v>
                </c:pt>
                <c:pt idx="182">
                  <c:v>2.1390300000000001E-3</c:v>
                </c:pt>
                <c:pt idx="183">
                  <c:v>2.1507829999999999E-3</c:v>
                </c:pt>
                <c:pt idx="184">
                  <c:v>2.1625350000000002E-3</c:v>
                </c:pt>
                <c:pt idx="185">
                  <c:v>2.1742879999999999E-3</c:v>
                </c:pt>
                <c:pt idx="186">
                  <c:v>2.1860410000000001E-3</c:v>
                </c:pt>
                <c:pt idx="187">
                  <c:v>2.1977939999999999E-3</c:v>
                </c:pt>
                <c:pt idx="188">
                  <c:v>2.2095470000000001E-3</c:v>
                </c:pt>
                <c:pt idx="189">
                  <c:v>2.2212999999999998E-3</c:v>
                </c:pt>
                <c:pt idx="190">
                  <c:v>2.233053E-3</c:v>
                </c:pt>
                <c:pt idx="191">
                  <c:v>2.2448059999999998E-3</c:v>
                </c:pt>
                <c:pt idx="192">
                  <c:v>2.256559E-3</c:v>
                </c:pt>
                <c:pt idx="193">
                  <c:v>2.2683120000000002E-3</c:v>
                </c:pt>
                <c:pt idx="194">
                  <c:v>2.280065E-3</c:v>
                </c:pt>
                <c:pt idx="195">
                  <c:v>2.2918169999999998E-3</c:v>
                </c:pt>
                <c:pt idx="196">
                  <c:v>2.30357E-3</c:v>
                </c:pt>
                <c:pt idx="197">
                  <c:v>2.3153230000000002E-3</c:v>
                </c:pt>
                <c:pt idx="198">
                  <c:v>2.327076E-3</c:v>
                </c:pt>
                <c:pt idx="199">
                  <c:v>2.3388290000000002E-3</c:v>
                </c:pt>
                <c:pt idx="200">
                  <c:v>2.3505819999999999E-3</c:v>
                </c:pt>
                <c:pt idx="201">
                  <c:v>2.3623350000000001E-3</c:v>
                </c:pt>
                <c:pt idx="202">
                  <c:v>2.3740879999999999E-3</c:v>
                </c:pt>
                <c:pt idx="203">
                  <c:v>2.3858410000000001E-3</c:v>
                </c:pt>
                <c:pt idx="204">
                  <c:v>2.3975939999999999E-3</c:v>
                </c:pt>
                <c:pt idx="205">
                  <c:v>2.4093470000000001E-3</c:v>
                </c:pt>
                <c:pt idx="206">
                  <c:v>2.4210989999999999E-3</c:v>
                </c:pt>
                <c:pt idx="207">
                  <c:v>2.4328520000000001E-3</c:v>
                </c:pt>
                <c:pt idx="208">
                  <c:v>2.4446049999999999E-3</c:v>
                </c:pt>
                <c:pt idx="209">
                  <c:v>2.4563580000000001E-3</c:v>
                </c:pt>
                <c:pt idx="210">
                  <c:v>2.4681109999999998E-3</c:v>
                </c:pt>
                <c:pt idx="211">
                  <c:v>2.479864E-3</c:v>
                </c:pt>
                <c:pt idx="212">
                  <c:v>2.4916169999999998E-3</c:v>
                </c:pt>
                <c:pt idx="213">
                  <c:v>2.50337E-3</c:v>
                </c:pt>
                <c:pt idx="214">
                  <c:v>2.5151230000000002E-3</c:v>
                </c:pt>
                <c:pt idx="215">
                  <c:v>2.5268759999999999E-3</c:v>
                </c:pt>
                <c:pt idx="216">
                  <c:v>2.5386290000000001E-3</c:v>
                </c:pt>
                <c:pt idx="217">
                  <c:v>2.550381E-3</c:v>
                </c:pt>
                <c:pt idx="218">
                  <c:v>2.5621340000000002E-3</c:v>
                </c:pt>
                <c:pt idx="219">
                  <c:v>2.573887E-3</c:v>
                </c:pt>
                <c:pt idx="220">
                  <c:v>2.5856400000000002E-3</c:v>
                </c:pt>
                <c:pt idx="221">
                  <c:v>2.5973929999999999E-3</c:v>
                </c:pt>
                <c:pt idx="222">
                  <c:v>2.6091460000000001E-3</c:v>
                </c:pt>
                <c:pt idx="223">
                  <c:v>2.6208989999999999E-3</c:v>
                </c:pt>
                <c:pt idx="224">
                  <c:v>2.6326520000000001E-3</c:v>
                </c:pt>
                <c:pt idx="225">
                  <c:v>2.6444049999999998E-3</c:v>
                </c:pt>
                <c:pt idx="226">
                  <c:v>2.656158E-3</c:v>
                </c:pt>
                <c:pt idx="227">
                  <c:v>2.6679109999999998E-3</c:v>
                </c:pt>
                <c:pt idx="228">
                  <c:v>2.6796630000000001E-3</c:v>
                </c:pt>
                <c:pt idx="229">
                  <c:v>2.6914159999999999E-3</c:v>
                </c:pt>
                <c:pt idx="230">
                  <c:v>2.7031690000000001E-3</c:v>
                </c:pt>
                <c:pt idx="231">
                  <c:v>2.7149219999999998E-3</c:v>
                </c:pt>
                <c:pt idx="232">
                  <c:v>2.726675E-3</c:v>
                </c:pt>
                <c:pt idx="233">
                  <c:v>2.7384280000000002E-3</c:v>
                </c:pt>
                <c:pt idx="234">
                  <c:v>2.750181E-3</c:v>
                </c:pt>
                <c:pt idx="235">
                  <c:v>2.7619340000000002E-3</c:v>
                </c:pt>
                <c:pt idx="236">
                  <c:v>2.7736869999999999E-3</c:v>
                </c:pt>
                <c:pt idx="237">
                  <c:v>2.7854400000000001E-3</c:v>
                </c:pt>
                <c:pt idx="238">
                  <c:v>2.7971929999999999E-3</c:v>
                </c:pt>
                <c:pt idx="239">
                  <c:v>2.8089460000000001E-3</c:v>
                </c:pt>
                <c:pt idx="240">
                  <c:v>2.820698E-3</c:v>
                </c:pt>
                <c:pt idx="241">
                  <c:v>2.8324510000000002E-3</c:v>
                </c:pt>
                <c:pt idx="242">
                  <c:v>2.8442039999999999E-3</c:v>
                </c:pt>
                <c:pt idx="243">
                  <c:v>2.8559570000000001E-3</c:v>
                </c:pt>
                <c:pt idx="244">
                  <c:v>2.8677099999999999E-3</c:v>
                </c:pt>
                <c:pt idx="245">
                  <c:v>2.8794630000000001E-3</c:v>
                </c:pt>
                <c:pt idx="246">
                  <c:v>2.8912159999999998E-3</c:v>
                </c:pt>
                <c:pt idx="247">
                  <c:v>2.902969E-3</c:v>
                </c:pt>
                <c:pt idx="248">
                  <c:v>2.9147219999999998E-3</c:v>
                </c:pt>
                <c:pt idx="249">
                  <c:v>2.926475E-3</c:v>
                </c:pt>
                <c:pt idx="250">
                  <c:v>2.9382280000000002E-3</c:v>
                </c:pt>
                <c:pt idx="251">
                  <c:v>2.9499800000000001E-3</c:v>
                </c:pt>
                <c:pt idx="252">
                  <c:v>2.9617329999999998E-3</c:v>
                </c:pt>
                <c:pt idx="253">
                  <c:v>2.973486E-3</c:v>
                </c:pt>
                <c:pt idx="254">
                  <c:v>2.9852390000000002E-3</c:v>
                </c:pt>
                <c:pt idx="255">
                  <c:v>2.996992E-3</c:v>
                </c:pt>
                <c:pt idx="256">
                  <c:v>3.0087450000000002E-3</c:v>
                </c:pt>
                <c:pt idx="257">
                  <c:v>3.0204979999999999E-3</c:v>
                </c:pt>
                <c:pt idx="258">
                  <c:v>3.0322510000000001E-3</c:v>
                </c:pt>
                <c:pt idx="259">
                  <c:v>3.0440039999999999E-3</c:v>
                </c:pt>
                <c:pt idx="260">
                  <c:v>3.0557570000000001E-3</c:v>
                </c:pt>
                <c:pt idx="261">
                  <c:v>3.0675099999999999E-3</c:v>
                </c:pt>
                <c:pt idx="262">
                  <c:v>3.0792620000000001E-3</c:v>
                </c:pt>
                <c:pt idx="263">
                  <c:v>3.0910149999999999E-3</c:v>
                </c:pt>
                <c:pt idx="264">
                  <c:v>3.1027680000000001E-3</c:v>
                </c:pt>
                <c:pt idx="265">
                  <c:v>3.1145209999999999E-3</c:v>
                </c:pt>
                <c:pt idx="266">
                  <c:v>3.1262740000000001E-3</c:v>
                </c:pt>
                <c:pt idx="267">
                  <c:v>3.1380269999999998E-3</c:v>
                </c:pt>
                <c:pt idx="268">
                  <c:v>3.14978E-3</c:v>
                </c:pt>
                <c:pt idx="269">
                  <c:v>3.1615329999999998E-3</c:v>
                </c:pt>
                <c:pt idx="270">
                  <c:v>3.173286E-3</c:v>
                </c:pt>
                <c:pt idx="271">
                  <c:v>3.1850390000000002E-3</c:v>
                </c:pt>
                <c:pt idx="272">
                  <c:v>3.1967919999999999E-3</c:v>
                </c:pt>
                <c:pt idx="273">
                  <c:v>3.2085439999999998E-3</c:v>
                </c:pt>
                <c:pt idx="274">
                  <c:v>3.220297E-3</c:v>
                </c:pt>
                <c:pt idx="275">
                  <c:v>3.2320500000000002E-3</c:v>
                </c:pt>
                <c:pt idx="276">
                  <c:v>3.243803E-3</c:v>
                </c:pt>
                <c:pt idx="277">
                  <c:v>3.2555560000000002E-3</c:v>
                </c:pt>
                <c:pt idx="278">
                  <c:v>3.2673089999999999E-3</c:v>
                </c:pt>
                <c:pt idx="279">
                  <c:v>3.2790620000000001E-3</c:v>
                </c:pt>
                <c:pt idx="280">
                  <c:v>3.2908149999999999E-3</c:v>
                </c:pt>
                <c:pt idx="281">
                  <c:v>3.3025680000000001E-3</c:v>
                </c:pt>
                <c:pt idx="282">
                  <c:v>3.3143209999999998E-3</c:v>
                </c:pt>
                <c:pt idx="283">
                  <c:v>3.326074E-3</c:v>
                </c:pt>
                <c:pt idx="284">
                  <c:v>3.3378259999999999E-3</c:v>
                </c:pt>
                <c:pt idx="285">
                  <c:v>3.3495790000000001E-3</c:v>
                </c:pt>
                <c:pt idx="286">
                  <c:v>3.3613319999999999E-3</c:v>
                </c:pt>
                <c:pt idx="287">
                  <c:v>3.3730850000000001E-3</c:v>
                </c:pt>
                <c:pt idx="288">
                  <c:v>3.3848379999999998E-3</c:v>
                </c:pt>
                <c:pt idx="289">
                  <c:v>3.396591E-3</c:v>
                </c:pt>
                <c:pt idx="290">
                  <c:v>3.4083439999999998E-3</c:v>
                </c:pt>
                <c:pt idx="291">
                  <c:v>3.420097E-3</c:v>
                </c:pt>
                <c:pt idx="292">
                  <c:v>3.4318500000000002E-3</c:v>
                </c:pt>
                <c:pt idx="293">
                  <c:v>3.4436029999999999E-3</c:v>
                </c:pt>
                <c:pt idx="294">
                  <c:v>3.4553560000000001E-3</c:v>
                </c:pt>
                <c:pt idx="295">
                  <c:v>3.467108E-3</c:v>
                </c:pt>
                <c:pt idx="296">
                  <c:v>3.4788610000000002E-3</c:v>
                </c:pt>
                <c:pt idx="297">
                  <c:v>3.490614E-3</c:v>
                </c:pt>
                <c:pt idx="298">
                  <c:v>3.5023670000000002E-3</c:v>
                </c:pt>
                <c:pt idx="299">
                  <c:v>3.5141199999999999E-3</c:v>
                </c:pt>
                <c:pt idx="300">
                  <c:v>3.5258730000000001E-3</c:v>
                </c:pt>
                <c:pt idx="301">
                  <c:v>3.5376259999999999E-3</c:v>
                </c:pt>
                <c:pt idx="302">
                  <c:v>3.5493790000000001E-3</c:v>
                </c:pt>
                <c:pt idx="303">
                  <c:v>3.5611319999999998E-3</c:v>
                </c:pt>
                <c:pt idx="304">
                  <c:v>3.572885E-3</c:v>
                </c:pt>
                <c:pt idx="305">
                  <c:v>3.5846379999999998E-3</c:v>
                </c:pt>
                <c:pt idx="306">
                  <c:v>3.5963900000000001E-3</c:v>
                </c:pt>
                <c:pt idx="307">
                  <c:v>3.6081429999999999E-3</c:v>
                </c:pt>
                <c:pt idx="308">
                  <c:v>3.6198960000000001E-3</c:v>
                </c:pt>
                <c:pt idx="309">
                  <c:v>3.6316489999999998E-3</c:v>
                </c:pt>
                <c:pt idx="310">
                  <c:v>3.643402E-3</c:v>
                </c:pt>
                <c:pt idx="311">
                  <c:v>3.6551550000000002E-3</c:v>
                </c:pt>
                <c:pt idx="312">
                  <c:v>3.666908E-3</c:v>
                </c:pt>
                <c:pt idx="313">
                  <c:v>3.6786610000000002E-3</c:v>
                </c:pt>
                <c:pt idx="314">
                  <c:v>3.6904139999999999E-3</c:v>
                </c:pt>
                <c:pt idx="315">
                  <c:v>3.7021670000000001E-3</c:v>
                </c:pt>
                <c:pt idx="316">
                  <c:v>3.7139199999999999E-3</c:v>
                </c:pt>
                <c:pt idx="317">
                  <c:v>3.7256720000000002E-3</c:v>
                </c:pt>
                <c:pt idx="318">
                  <c:v>3.7374249999999999E-3</c:v>
                </c:pt>
                <c:pt idx="319">
                  <c:v>3.7491780000000001E-3</c:v>
                </c:pt>
                <c:pt idx="320">
                  <c:v>3.7609309999999999E-3</c:v>
                </c:pt>
                <c:pt idx="321">
                  <c:v>3.7726840000000001E-3</c:v>
                </c:pt>
                <c:pt idx="322">
                  <c:v>3.7844369999999999E-3</c:v>
                </c:pt>
                <c:pt idx="323">
                  <c:v>3.7961900000000001E-3</c:v>
                </c:pt>
                <c:pt idx="324">
                  <c:v>3.8079429999999998E-3</c:v>
                </c:pt>
                <c:pt idx="325">
                  <c:v>3.819696E-3</c:v>
                </c:pt>
                <c:pt idx="326">
                  <c:v>3.8314489999999998E-3</c:v>
                </c:pt>
                <c:pt idx="327">
                  <c:v>3.843202E-3</c:v>
                </c:pt>
                <c:pt idx="328">
                  <c:v>3.8549539999999998E-3</c:v>
                </c:pt>
                <c:pt idx="329">
                  <c:v>3.866707E-3</c:v>
                </c:pt>
                <c:pt idx="330">
                  <c:v>3.8784599999999998E-3</c:v>
                </c:pt>
                <c:pt idx="331">
                  <c:v>3.890213E-3</c:v>
                </c:pt>
                <c:pt idx="332">
                  <c:v>3.9019660000000002E-3</c:v>
                </c:pt>
                <c:pt idx="333">
                  <c:v>3.9137190000000004E-3</c:v>
                </c:pt>
                <c:pt idx="334">
                  <c:v>3.9254720000000002E-3</c:v>
                </c:pt>
                <c:pt idx="335">
                  <c:v>3.9372249999999999E-3</c:v>
                </c:pt>
                <c:pt idx="336">
                  <c:v>3.9489779999999997E-3</c:v>
                </c:pt>
                <c:pt idx="337">
                  <c:v>3.9607310000000003E-3</c:v>
                </c:pt>
                <c:pt idx="338">
                  <c:v>3.9724840000000001E-3</c:v>
                </c:pt>
                <c:pt idx="339">
                  <c:v>3.9842369999999998E-3</c:v>
                </c:pt>
                <c:pt idx="340">
                  <c:v>3.9959890000000001E-3</c:v>
                </c:pt>
                <c:pt idx="341">
                  <c:v>4.0077419999999999E-3</c:v>
                </c:pt>
                <c:pt idx="342">
                  <c:v>4.0194949999999997E-3</c:v>
                </c:pt>
                <c:pt idx="343">
                  <c:v>4.0312480000000003E-3</c:v>
                </c:pt>
                <c:pt idx="344">
                  <c:v>4.0430010000000001E-3</c:v>
                </c:pt>
                <c:pt idx="345">
                  <c:v>4.0547539999999998E-3</c:v>
                </c:pt>
                <c:pt idx="346">
                  <c:v>4.0665069999999996E-3</c:v>
                </c:pt>
                <c:pt idx="347">
                  <c:v>4.0782600000000002E-3</c:v>
                </c:pt>
                <c:pt idx="348">
                  <c:v>4.090013E-3</c:v>
                </c:pt>
                <c:pt idx="349">
                  <c:v>4.1017659999999997E-3</c:v>
                </c:pt>
                <c:pt idx="350">
                  <c:v>4.1135190000000004E-3</c:v>
                </c:pt>
                <c:pt idx="351">
                  <c:v>4.1252709999999998E-3</c:v>
                </c:pt>
                <c:pt idx="352">
                  <c:v>4.1370240000000004E-3</c:v>
                </c:pt>
                <c:pt idx="353">
                  <c:v>4.1487770000000002E-3</c:v>
                </c:pt>
                <c:pt idx="354">
                  <c:v>4.16053E-3</c:v>
                </c:pt>
                <c:pt idx="355">
                  <c:v>4.1722829999999997E-3</c:v>
                </c:pt>
                <c:pt idx="356">
                  <c:v>4.1840360000000004E-3</c:v>
                </c:pt>
                <c:pt idx="357">
                  <c:v>4.1957890000000001E-3</c:v>
                </c:pt>
                <c:pt idx="358">
                  <c:v>4.2075419999999999E-3</c:v>
                </c:pt>
                <c:pt idx="359">
                  <c:v>4.2192949999999996E-3</c:v>
                </c:pt>
                <c:pt idx="360">
                  <c:v>4.2310480000000003E-3</c:v>
                </c:pt>
                <c:pt idx="361">
                  <c:v>4.242801E-3</c:v>
                </c:pt>
                <c:pt idx="362">
                  <c:v>4.2545530000000003E-3</c:v>
                </c:pt>
                <c:pt idx="363">
                  <c:v>4.2663060000000001E-3</c:v>
                </c:pt>
                <c:pt idx="364">
                  <c:v>4.2780589999999999E-3</c:v>
                </c:pt>
                <c:pt idx="365">
                  <c:v>4.2898119999999996E-3</c:v>
                </c:pt>
                <c:pt idx="366">
                  <c:v>4.3015650000000002E-3</c:v>
                </c:pt>
                <c:pt idx="367">
                  <c:v>4.313318E-3</c:v>
                </c:pt>
                <c:pt idx="368">
                  <c:v>4.3250709999999998E-3</c:v>
                </c:pt>
                <c:pt idx="369">
                  <c:v>4.3368240000000004E-3</c:v>
                </c:pt>
                <c:pt idx="370">
                  <c:v>4.3485770000000002E-3</c:v>
                </c:pt>
                <c:pt idx="371">
                  <c:v>4.3603299999999999E-3</c:v>
                </c:pt>
                <c:pt idx="372">
                  <c:v>4.3720829999999997E-3</c:v>
                </c:pt>
                <c:pt idx="373">
                  <c:v>4.383835E-3</c:v>
                </c:pt>
                <c:pt idx="374">
                  <c:v>4.3955879999999998E-3</c:v>
                </c:pt>
                <c:pt idx="375">
                  <c:v>4.4073410000000004E-3</c:v>
                </c:pt>
                <c:pt idx="376">
                  <c:v>4.4190940000000001E-3</c:v>
                </c:pt>
                <c:pt idx="377">
                  <c:v>4.4308469999999999E-3</c:v>
                </c:pt>
                <c:pt idx="378">
                  <c:v>4.4425999999999997E-3</c:v>
                </c:pt>
                <c:pt idx="379">
                  <c:v>4.4543530000000003E-3</c:v>
                </c:pt>
                <c:pt idx="380">
                  <c:v>4.4661060000000001E-3</c:v>
                </c:pt>
                <c:pt idx="381">
                  <c:v>4.4778589999999998E-3</c:v>
                </c:pt>
                <c:pt idx="382">
                  <c:v>4.4896119999999996E-3</c:v>
                </c:pt>
                <c:pt idx="383">
                  <c:v>4.5013650000000002E-3</c:v>
                </c:pt>
                <c:pt idx="384">
                  <c:v>4.5131169999999996E-3</c:v>
                </c:pt>
                <c:pt idx="385">
                  <c:v>4.5248700000000003E-3</c:v>
                </c:pt>
                <c:pt idx="386">
                  <c:v>4.536623E-3</c:v>
                </c:pt>
                <c:pt idx="387">
                  <c:v>4.5483759999999998E-3</c:v>
                </c:pt>
                <c:pt idx="388">
                  <c:v>4.5601289999999996E-3</c:v>
                </c:pt>
                <c:pt idx="389">
                  <c:v>4.5718820000000002E-3</c:v>
                </c:pt>
                <c:pt idx="390">
                  <c:v>4.583635E-3</c:v>
                </c:pt>
                <c:pt idx="391">
                  <c:v>4.5953879999999997E-3</c:v>
                </c:pt>
                <c:pt idx="392">
                  <c:v>4.6071410000000004E-3</c:v>
                </c:pt>
                <c:pt idx="393">
                  <c:v>4.6188940000000001E-3</c:v>
                </c:pt>
                <c:pt idx="394">
                  <c:v>4.6306469999999999E-3</c:v>
                </c:pt>
                <c:pt idx="395">
                  <c:v>4.6423990000000002E-3</c:v>
                </c:pt>
                <c:pt idx="396">
                  <c:v>4.6541519999999999E-3</c:v>
                </c:pt>
                <c:pt idx="397">
                  <c:v>4.6659049999999997E-3</c:v>
                </c:pt>
                <c:pt idx="398">
                  <c:v>4.6776580000000003E-3</c:v>
                </c:pt>
                <c:pt idx="399">
                  <c:v>4.6894110000000001E-3</c:v>
                </c:pt>
                <c:pt idx="400">
                  <c:v>4.7011639999999999E-3</c:v>
                </c:pt>
                <c:pt idx="401">
                  <c:v>4.7129169999999996E-3</c:v>
                </c:pt>
                <c:pt idx="402">
                  <c:v>4.7246700000000003E-3</c:v>
                </c:pt>
                <c:pt idx="403">
                  <c:v>4.736423E-3</c:v>
                </c:pt>
                <c:pt idx="404">
                  <c:v>4.7481759999999998E-3</c:v>
                </c:pt>
                <c:pt idx="405">
                  <c:v>4.7599290000000004E-3</c:v>
                </c:pt>
                <c:pt idx="406">
                  <c:v>4.7716809999999998E-3</c:v>
                </c:pt>
                <c:pt idx="407">
                  <c:v>4.7834339999999996E-3</c:v>
                </c:pt>
                <c:pt idx="408">
                  <c:v>4.7951870000000002E-3</c:v>
                </c:pt>
                <c:pt idx="409">
                  <c:v>4.80694E-3</c:v>
                </c:pt>
                <c:pt idx="410">
                  <c:v>4.8186929999999998E-3</c:v>
                </c:pt>
                <c:pt idx="411">
                  <c:v>4.8304460000000004E-3</c:v>
                </c:pt>
                <c:pt idx="412">
                  <c:v>4.8421990000000002E-3</c:v>
                </c:pt>
                <c:pt idx="413">
                  <c:v>4.8539519999999999E-3</c:v>
                </c:pt>
                <c:pt idx="414">
                  <c:v>4.8657049999999997E-3</c:v>
                </c:pt>
                <c:pt idx="415">
                  <c:v>4.8774580000000003E-3</c:v>
                </c:pt>
                <c:pt idx="416">
                  <c:v>4.8892110000000001E-3</c:v>
                </c:pt>
                <c:pt idx="417">
                  <c:v>4.9009630000000004E-3</c:v>
                </c:pt>
                <c:pt idx="418">
                  <c:v>4.9127160000000001E-3</c:v>
                </c:pt>
                <c:pt idx="419">
                  <c:v>4.9244689999999999E-3</c:v>
                </c:pt>
                <c:pt idx="420">
                  <c:v>4.9362219999999997E-3</c:v>
                </c:pt>
                <c:pt idx="421">
                  <c:v>4.9479750000000003E-3</c:v>
                </c:pt>
                <c:pt idx="422">
                  <c:v>4.9597280000000001E-3</c:v>
                </c:pt>
                <c:pt idx="423">
                  <c:v>4.9714809999999998E-3</c:v>
                </c:pt>
                <c:pt idx="424">
                  <c:v>4.9832339999999996E-3</c:v>
                </c:pt>
                <c:pt idx="425">
                  <c:v>4.9949870000000002E-3</c:v>
                </c:pt>
                <c:pt idx="426">
                  <c:v>5.00674E-3</c:v>
                </c:pt>
                <c:pt idx="427">
                  <c:v>5.0184929999999997E-3</c:v>
                </c:pt>
                <c:pt idx="428">
                  <c:v>5.0302460000000004E-3</c:v>
                </c:pt>
                <c:pt idx="429">
                  <c:v>5.0419979999999998E-3</c:v>
                </c:pt>
                <c:pt idx="430">
                  <c:v>5.0537510000000004E-3</c:v>
                </c:pt>
                <c:pt idx="431">
                  <c:v>5.0655040000000002E-3</c:v>
                </c:pt>
                <c:pt idx="432">
                  <c:v>5.077257E-3</c:v>
                </c:pt>
                <c:pt idx="433">
                  <c:v>5.0890099999999997E-3</c:v>
                </c:pt>
                <c:pt idx="434">
                  <c:v>5.1007630000000003E-3</c:v>
                </c:pt>
                <c:pt idx="435">
                  <c:v>5.1125160000000001E-3</c:v>
                </c:pt>
                <c:pt idx="436">
                  <c:v>5.1242689999999999E-3</c:v>
                </c:pt>
                <c:pt idx="437">
                  <c:v>5.1360219999999996E-3</c:v>
                </c:pt>
                <c:pt idx="438">
                  <c:v>5.1477750000000003E-3</c:v>
                </c:pt>
                <c:pt idx="439">
                  <c:v>5.159528E-3</c:v>
                </c:pt>
                <c:pt idx="440">
                  <c:v>5.1712800000000003E-3</c:v>
                </c:pt>
                <c:pt idx="441">
                  <c:v>5.1830330000000001E-3</c:v>
                </c:pt>
                <c:pt idx="442">
                  <c:v>5.1947859999999998E-3</c:v>
                </c:pt>
                <c:pt idx="443">
                  <c:v>5.2065389999999996E-3</c:v>
                </c:pt>
                <c:pt idx="444">
                  <c:v>5.2182920000000002E-3</c:v>
                </c:pt>
                <c:pt idx="445">
                  <c:v>5.230045E-3</c:v>
                </c:pt>
                <c:pt idx="446">
                  <c:v>5.2417979999999998E-3</c:v>
                </c:pt>
                <c:pt idx="447">
                  <c:v>5.2535510000000004E-3</c:v>
                </c:pt>
                <c:pt idx="448">
                  <c:v>5.2653040000000002E-3</c:v>
                </c:pt>
                <c:pt idx="449">
                  <c:v>5.2770569999999999E-3</c:v>
                </c:pt>
                <c:pt idx="450">
                  <c:v>5.2888099999999997E-3</c:v>
                </c:pt>
                <c:pt idx="451">
                  <c:v>5.300562E-3</c:v>
                </c:pt>
                <c:pt idx="452">
                  <c:v>5.3123149999999997E-3</c:v>
                </c:pt>
                <c:pt idx="453">
                  <c:v>5.3240680000000004E-3</c:v>
                </c:pt>
                <c:pt idx="454">
                  <c:v>5.3358210000000001E-3</c:v>
                </c:pt>
                <c:pt idx="455">
                  <c:v>5.3475739999999999E-3</c:v>
                </c:pt>
                <c:pt idx="456">
                  <c:v>5.3593269999999997E-3</c:v>
                </c:pt>
                <c:pt idx="457">
                  <c:v>5.3710800000000003E-3</c:v>
                </c:pt>
                <c:pt idx="458">
                  <c:v>5.3828330000000001E-3</c:v>
                </c:pt>
                <c:pt idx="459">
                  <c:v>5.3945859999999998E-3</c:v>
                </c:pt>
                <c:pt idx="460">
                  <c:v>5.4063389999999996E-3</c:v>
                </c:pt>
                <c:pt idx="461">
                  <c:v>5.4180920000000002E-3</c:v>
                </c:pt>
                <c:pt idx="462">
                  <c:v>5.4298439999999996E-3</c:v>
                </c:pt>
                <c:pt idx="463">
                  <c:v>5.4415970000000003E-3</c:v>
                </c:pt>
                <c:pt idx="464">
                  <c:v>5.45335E-3</c:v>
                </c:pt>
                <c:pt idx="465">
                  <c:v>5.4651029999999998E-3</c:v>
                </c:pt>
                <c:pt idx="466">
                  <c:v>5.4768560000000004E-3</c:v>
                </c:pt>
                <c:pt idx="467">
                  <c:v>5.4886090000000002E-3</c:v>
                </c:pt>
                <c:pt idx="468">
                  <c:v>5.500362E-3</c:v>
                </c:pt>
                <c:pt idx="469">
                  <c:v>5.5121149999999997E-3</c:v>
                </c:pt>
                <c:pt idx="470">
                  <c:v>5.5238680000000004E-3</c:v>
                </c:pt>
                <c:pt idx="471">
                  <c:v>5.5356210000000001E-3</c:v>
                </c:pt>
                <c:pt idx="472">
                  <c:v>5.5473739999999999E-3</c:v>
                </c:pt>
                <c:pt idx="473">
                  <c:v>5.5591260000000002E-3</c:v>
                </c:pt>
                <c:pt idx="474">
                  <c:v>5.5708789999999999E-3</c:v>
                </c:pt>
                <c:pt idx="475">
                  <c:v>5.5826319999999997E-3</c:v>
                </c:pt>
                <c:pt idx="476">
                  <c:v>5.5943850000000003E-3</c:v>
                </c:pt>
                <c:pt idx="477">
                  <c:v>5.6061380000000001E-3</c:v>
                </c:pt>
                <c:pt idx="478">
                  <c:v>5.6178909999999999E-3</c:v>
                </c:pt>
                <c:pt idx="479">
                  <c:v>5.6296439999999996E-3</c:v>
                </c:pt>
                <c:pt idx="480">
                  <c:v>5.6413970000000003E-3</c:v>
                </c:pt>
                <c:pt idx="481">
                  <c:v>5.65315E-3</c:v>
                </c:pt>
                <c:pt idx="482">
                  <c:v>5.6649029999999998E-3</c:v>
                </c:pt>
                <c:pt idx="483">
                  <c:v>5.6766560000000004E-3</c:v>
                </c:pt>
                <c:pt idx="484">
                  <c:v>5.6884079999999998E-3</c:v>
                </c:pt>
                <c:pt idx="485">
                  <c:v>5.7001609999999996E-3</c:v>
                </c:pt>
                <c:pt idx="486">
                  <c:v>5.7119140000000002E-3</c:v>
                </c:pt>
                <c:pt idx="487">
                  <c:v>5.723667E-3</c:v>
                </c:pt>
                <c:pt idx="488">
                  <c:v>5.7354199999999998E-3</c:v>
                </c:pt>
                <c:pt idx="489">
                  <c:v>5.7471730000000004E-3</c:v>
                </c:pt>
                <c:pt idx="490">
                  <c:v>5.7589260000000001E-3</c:v>
                </c:pt>
                <c:pt idx="491">
                  <c:v>5.7706789999999999E-3</c:v>
                </c:pt>
                <c:pt idx="492">
                  <c:v>5.7824319999999997E-3</c:v>
                </c:pt>
                <c:pt idx="493">
                  <c:v>5.7941850000000003E-3</c:v>
                </c:pt>
                <c:pt idx="494">
                  <c:v>5.8059380000000001E-3</c:v>
                </c:pt>
                <c:pt idx="495">
                  <c:v>5.8176900000000004E-3</c:v>
                </c:pt>
                <c:pt idx="496">
                  <c:v>5.8294430000000001E-3</c:v>
                </c:pt>
                <c:pt idx="497">
                  <c:v>5.8411959999999999E-3</c:v>
                </c:pt>
                <c:pt idx="498">
                  <c:v>5.8529489999999997E-3</c:v>
                </c:pt>
                <c:pt idx="499">
                  <c:v>5.8647020000000003E-3</c:v>
                </c:pt>
                <c:pt idx="500">
                  <c:v>5.876455E-3</c:v>
                </c:pt>
                <c:pt idx="501">
                  <c:v>5.8882079999999998E-3</c:v>
                </c:pt>
                <c:pt idx="502">
                  <c:v>5.8999609999999996E-3</c:v>
                </c:pt>
                <c:pt idx="503">
                  <c:v>5.9117140000000002E-3</c:v>
                </c:pt>
                <c:pt idx="504">
                  <c:v>5.923467E-3</c:v>
                </c:pt>
                <c:pt idx="505">
                  <c:v>5.9352199999999997E-3</c:v>
                </c:pt>
                <c:pt idx="506">
                  <c:v>5.946972E-3</c:v>
                </c:pt>
                <c:pt idx="507">
                  <c:v>5.9587249999999998E-3</c:v>
                </c:pt>
                <c:pt idx="508">
                  <c:v>5.9704780000000004E-3</c:v>
                </c:pt>
                <c:pt idx="509">
                  <c:v>5.9822310000000002E-3</c:v>
                </c:pt>
                <c:pt idx="510">
                  <c:v>5.9939839999999999E-3</c:v>
                </c:pt>
                <c:pt idx="511">
                  <c:v>6.0057369999999997E-3</c:v>
                </c:pt>
                <c:pt idx="512">
                  <c:v>6.0174900000000003E-3</c:v>
                </c:pt>
                <c:pt idx="513">
                  <c:v>6.0292430000000001E-3</c:v>
                </c:pt>
                <c:pt idx="514">
                  <c:v>6.0409959999999999E-3</c:v>
                </c:pt>
                <c:pt idx="515">
                  <c:v>6.0527489999999996E-3</c:v>
                </c:pt>
                <c:pt idx="516">
                  <c:v>6.0645020000000003E-3</c:v>
                </c:pt>
                <c:pt idx="517">
                  <c:v>6.0762539999999997E-3</c:v>
                </c:pt>
                <c:pt idx="518">
                  <c:v>6.0880070000000003E-3</c:v>
                </c:pt>
                <c:pt idx="519">
                  <c:v>6.0997600000000001E-3</c:v>
                </c:pt>
                <c:pt idx="520">
                  <c:v>6.1115129999999998E-3</c:v>
                </c:pt>
                <c:pt idx="521">
                  <c:v>6.1232659999999996E-3</c:v>
                </c:pt>
                <c:pt idx="522">
                  <c:v>6.1350190000000002E-3</c:v>
                </c:pt>
                <c:pt idx="523">
                  <c:v>6.146772E-3</c:v>
                </c:pt>
                <c:pt idx="524">
                  <c:v>6.1585249999999998E-3</c:v>
                </c:pt>
                <c:pt idx="525">
                  <c:v>6.1702780000000004E-3</c:v>
                </c:pt>
                <c:pt idx="526">
                  <c:v>6.1820310000000002E-3</c:v>
                </c:pt>
                <c:pt idx="527">
                  <c:v>6.1937839999999999E-3</c:v>
                </c:pt>
                <c:pt idx="528">
                  <c:v>6.2055369999999997E-3</c:v>
                </c:pt>
                <c:pt idx="529">
                  <c:v>6.217289E-3</c:v>
                </c:pt>
                <c:pt idx="530">
                  <c:v>6.2290419999999997E-3</c:v>
                </c:pt>
                <c:pt idx="531">
                  <c:v>6.2407950000000004E-3</c:v>
                </c:pt>
                <c:pt idx="532">
                  <c:v>6.2525480000000001E-3</c:v>
                </c:pt>
                <c:pt idx="533">
                  <c:v>6.2643009999999999E-3</c:v>
                </c:pt>
                <c:pt idx="534">
                  <c:v>6.2760539999999997E-3</c:v>
                </c:pt>
                <c:pt idx="535">
                  <c:v>6.2878070000000003E-3</c:v>
                </c:pt>
                <c:pt idx="536">
                  <c:v>6.2995600000000001E-3</c:v>
                </c:pt>
                <c:pt idx="537">
                  <c:v>6.3113129999999998E-3</c:v>
                </c:pt>
                <c:pt idx="538">
                  <c:v>6.3230659999999996E-3</c:v>
                </c:pt>
                <c:pt idx="539">
                  <c:v>6.3348190000000002E-3</c:v>
                </c:pt>
                <c:pt idx="540">
                  <c:v>6.3465709999999996E-3</c:v>
                </c:pt>
                <c:pt idx="541">
                  <c:v>6.3583240000000003E-3</c:v>
                </c:pt>
                <c:pt idx="542">
                  <c:v>6.370077E-3</c:v>
                </c:pt>
                <c:pt idx="543">
                  <c:v>6.3818299999999998E-3</c:v>
                </c:pt>
                <c:pt idx="544">
                  <c:v>6.3935830000000004E-3</c:v>
                </c:pt>
                <c:pt idx="545">
                  <c:v>6.4053360000000002E-3</c:v>
                </c:pt>
                <c:pt idx="546">
                  <c:v>6.417089E-3</c:v>
                </c:pt>
                <c:pt idx="547">
                  <c:v>6.4288419999999997E-3</c:v>
                </c:pt>
                <c:pt idx="548">
                  <c:v>6.4405950000000003E-3</c:v>
                </c:pt>
                <c:pt idx="549">
                  <c:v>6.4523480000000001E-3</c:v>
                </c:pt>
                <c:pt idx="550">
                  <c:v>6.4641009999999999E-3</c:v>
                </c:pt>
                <c:pt idx="551">
                  <c:v>6.4758530000000002E-3</c:v>
                </c:pt>
                <c:pt idx="552">
                  <c:v>6.4876059999999999E-3</c:v>
                </c:pt>
                <c:pt idx="553">
                  <c:v>6.4993589999999997E-3</c:v>
                </c:pt>
                <c:pt idx="554">
                  <c:v>6.5111120000000003E-3</c:v>
                </c:pt>
                <c:pt idx="555">
                  <c:v>6.5228650000000001E-3</c:v>
                </c:pt>
                <c:pt idx="556">
                  <c:v>6.5346179999999999E-3</c:v>
                </c:pt>
                <c:pt idx="557">
                  <c:v>6.5463709999999996E-3</c:v>
                </c:pt>
                <c:pt idx="558">
                  <c:v>6.5581240000000002E-3</c:v>
                </c:pt>
                <c:pt idx="559">
                  <c:v>6.569877E-3</c:v>
                </c:pt>
                <c:pt idx="560">
                  <c:v>6.5816299999999998E-3</c:v>
                </c:pt>
                <c:pt idx="561">
                  <c:v>6.5933830000000004E-3</c:v>
                </c:pt>
                <c:pt idx="562">
                  <c:v>6.6051349999999998E-3</c:v>
                </c:pt>
                <c:pt idx="563">
                  <c:v>6.6168879999999996E-3</c:v>
                </c:pt>
                <c:pt idx="564">
                  <c:v>6.6286410000000002E-3</c:v>
                </c:pt>
                <c:pt idx="565">
                  <c:v>6.640394E-3</c:v>
                </c:pt>
                <c:pt idx="566">
                  <c:v>6.6521469999999997E-3</c:v>
                </c:pt>
                <c:pt idx="567">
                  <c:v>6.6639000000000004E-3</c:v>
                </c:pt>
                <c:pt idx="568">
                  <c:v>6.6756530000000001E-3</c:v>
                </c:pt>
                <c:pt idx="569">
                  <c:v>6.6874059999999999E-3</c:v>
                </c:pt>
                <c:pt idx="570">
                  <c:v>6.6991589999999997E-3</c:v>
                </c:pt>
                <c:pt idx="571">
                  <c:v>6.7109120000000003E-3</c:v>
                </c:pt>
                <c:pt idx="572">
                  <c:v>6.7226650000000001E-3</c:v>
                </c:pt>
                <c:pt idx="573">
                  <c:v>6.7344170000000004E-3</c:v>
                </c:pt>
                <c:pt idx="574">
                  <c:v>6.7461700000000001E-3</c:v>
                </c:pt>
                <c:pt idx="575">
                  <c:v>6.7579229999999999E-3</c:v>
                </c:pt>
                <c:pt idx="576">
                  <c:v>6.7696759999999996E-3</c:v>
                </c:pt>
                <c:pt idx="577">
                  <c:v>6.7814290000000003E-3</c:v>
                </c:pt>
                <c:pt idx="578">
                  <c:v>6.793182E-3</c:v>
                </c:pt>
                <c:pt idx="579">
                  <c:v>6.8049349999999998E-3</c:v>
                </c:pt>
                <c:pt idx="580">
                  <c:v>6.8166879999999996E-3</c:v>
                </c:pt>
                <c:pt idx="581">
                  <c:v>6.8284410000000002E-3</c:v>
                </c:pt>
                <c:pt idx="582">
                  <c:v>6.840194E-3</c:v>
                </c:pt>
                <c:pt idx="583">
                  <c:v>6.8519469999999997E-3</c:v>
                </c:pt>
                <c:pt idx="584">
                  <c:v>6.863699E-3</c:v>
                </c:pt>
                <c:pt idx="585">
                  <c:v>6.8754519999999998E-3</c:v>
                </c:pt>
                <c:pt idx="586">
                  <c:v>6.8872050000000004E-3</c:v>
                </c:pt>
                <c:pt idx="587">
                  <c:v>6.8989580000000002E-3</c:v>
                </c:pt>
                <c:pt idx="588">
                  <c:v>6.9107109999999999E-3</c:v>
                </c:pt>
                <c:pt idx="589">
                  <c:v>6.9224639999999997E-3</c:v>
                </c:pt>
                <c:pt idx="590">
                  <c:v>6.9342170000000003E-3</c:v>
                </c:pt>
                <c:pt idx="591">
                  <c:v>6.9459700000000001E-3</c:v>
                </c:pt>
                <c:pt idx="592">
                  <c:v>6.9577229999999999E-3</c:v>
                </c:pt>
                <c:pt idx="593">
                  <c:v>6.9694759999999996E-3</c:v>
                </c:pt>
                <c:pt idx="594">
                  <c:v>6.9812290000000003E-3</c:v>
                </c:pt>
                <c:pt idx="595">
                  <c:v>6.9929809999999997E-3</c:v>
                </c:pt>
                <c:pt idx="596">
                  <c:v>7.0047340000000003E-3</c:v>
                </c:pt>
                <c:pt idx="597">
                  <c:v>7.0164870000000001E-3</c:v>
                </c:pt>
                <c:pt idx="598">
                  <c:v>7.0282399999999998E-3</c:v>
                </c:pt>
                <c:pt idx="599">
                  <c:v>7.0399929999999996E-3</c:v>
                </c:pt>
                <c:pt idx="600">
                  <c:v>7.0517460000000002E-3</c:v>
                </c:pt>
                <c:pt idx="601">
                  <c:v>7.063499E-3</c:v>
                </c:pt>
                <c:pt idx="602">
                  <c:v>7.0752519999999998E-3</c:v>
                </c:pt>
                <c:pt idx="603">
                  <c:v>7.0870050000000004E-3</c:v>
                </c:pt>
                <c:pt idx="604">
                  <c:v>7.0987580000000002E-3</c:v>
                </c:pt>
                <c:pt idx="605">
                  <c:v>7.1105109999999999E-3</c:v>
                </c:pt>
                <c:pt idx="606">
                  <c:v>7.1222630000000002E-3</c:v>
                </c:pt>
                <c:pt idx="607">
                  <c:v>7.134016E-3</c:v>
                </c:pt>
                <c:pt idx="608">
                  <c:v>7.1457689999999997E-3</c:v>
                </c:pt>
                <c:pt idx="609">
                  <c:v>7.1575220000000004E-3</c:v>
                </c:pt>
                <c:pt idx="610">
                  <c:v>7.1692750000000001E-3</c:v>
                </c:pt>
                <c:pt idx="611">
                  <c:v>7.1810279999999999E-3</c:v>
                </c:pt>
                <c:pt idx="612">
                  <c:v>7.1927809999999997E-3</c:v>
                </c:pt>
                <c:pt idx="613">
                  <c:v>7.2045340000000003E-3</c:v>
                </c:pt>
                <c:pt idx="614">
                  <c:v>7.216287E-3</c:v>
                </c:pt>
                <c:pt idx="615">
                  <c:v>7.2280399999999998E-3</c:v>
                </c:pt>
                <c:pt idx="616">
                  <c:v>7.2397929999999996E-3</c:v>
                </c:pt>
                <c:pt idx="617">
                  <c:v>7.2515460000000002E-3</c:v>
                </c:pt>
                <c:pt idx="618">
                  <c:v>7.2632979999999996E-3</c:v>
                </c:pt>
                <c:pt idx="619">
                  <c:v>7.2750510000000003E-3</c:v>
                </c:pt>
                <c:pt idx="620">
                  <c:v>7.286804E-3</c:v>
                </c:pt>
                <c:pt idx="621">
                  <c:v>7.2985569999999998E-3</c:v>
                </c:pt>
                <c:pt idx="622">
                  <c:v>7.3103100000000004E-3</c:v>
                </c:pt>
                <c:pt idx="623">
                  <c:v>7.3220630000000002E-3</c:v>
                </c:pt>
                <c:pt idx="624">
                  <c:v>7.3338159999999999E-3</c:v>
                </c:pt>
                <c:pt idx="625">
                  <c:v>7.3455689999999997E-3</c:v>
                </c:pt>
                <c:pt idx="626">
                  <c:v>7.3573220000000003E-3</c:v>
                </c:pt>
                <c:pt idx="627">
                  <c:v>7.3690750000000001E-3</c:v>
                </c:pt>
                <c:pt idx="628">
                  <c:v>7.3808279999999999E-3</c:v>
                </c:pt>
                <c:pt idx="629">
                  <c:v>7.3925800000000002E-3</c:v>
                </c:pt>
                <c:pt idx="630">
                  <c:v>7.4043329999999999E-3</c:v>
                </c:pt>
                <c:pt idx="631">
                  <c:v>7.4160859999999997E-3</c:v>
                </c:pt>
                <c:pt idx="632">
                  <c:v>7.4278390000000003E-3</c:v>
                </c:pt>
                <c:pt idx="633">
                  <c:v>7.4395920000000001E-3</c:v>
                </c:pt>
                <c:pt idx="634">
                  <c:v>7.4513449999999998E-3</c:v>
                </c:pt>
                <c:pt idx="635">
                  <c:v>7.4630979999999996E-3</c:v>
                </c:pt>
                <c:pt idx="636">
                  <c:v>7.4748510000000002E-3</c:v>
                </c:pt>
                <c:pt idx="637">
                  <c:v>7.486604E-3</c:v>
                </c:pt>
                <c:pt idx="638">
                  <c:v>7.4983569999999998E-3</c:v>
                </c:pt>
                <c:pt idx="639">
                  <c:v>7.5101100000000004E-3</c:v>
                </c:pt>
                <c:pt idx="640">
                  <c:v>7.5218619999999998E-3</c:v>
                </c:pt>
                <c:pt idx="641">
                  <c:v>7.5336149999999996E-3</c:v>
                </c:pt>
                <c:pt idx="642">
                  <c:v>7.5453680000000002E-3</c:v>
                </c:pt>
                <c:pt idx="643">
                  <c:v>7.557121E-3</c:v>
                </c:pt>
                <c:pt idx="644">
                  <c:v>7.5688739999999997E-3</c:v>
                </c:pt>
                <c:pt idx="645">
                  <c:v>7.5806270000000004E-3</c:v>
                </c:pt>
                <c:pt idx="646">
                  <c:v>7.5923800000000001E-3</c:v>
                </c:pt>
                <c:pt idx="647">
                  <c:v>7.6041329999999999E-3</c:v>
                </c:pt>
                <c:pt idx="648">
                  <c:v>7.6158859999999997E-3</c:v>
                </c:pt>
                <c:pt idx="649">
                  <c:v>7.6276390000000003E-3</c:v>
                </c:pt>
                <c:pt idx="650">
                  <c:v>7.6393920000000001E-3</c:v>
                </c:pt>
                <c:pt idx="651">
                  <c:v>7.6511440000000003E-3</c:v>
                </c:pt>
                <c:pt idx="652">
                  <c:v>7.6628970000000001E-3</c:v>
                </c:pt>
                <c:pt idx="653">
                  <c:v>7.6746499999999999E-3</c:v>
                </c:pt>
                <c:pt idx="654">
                  <c:v>7.6864029999999996E-3</c:v>
                </c:pt>
                <c:pt idx="655">
                  <c:v>7.6981560000000003E-3</c:v>
                </c:pt>
                <c:pt idx="656">
                  <c:v>7.709909E-3</c:v>
                </c:pt>
                <c:pt idx="657">
                  <c:v>7.7216619999999998E-3</c:v>
                </c:pt>
                <c:pt idx="658">
                  <c:v>7.7334150000000004E-3</c:v>
                </c:pt>
                <c:pt idx="659">
                  <c:v>7.7451680000000002E-3</c:v>
                </c:pt>
                <c:pt idx="660">
                  <c:v>7.756921E-3</c:v>
                </c:pt>
                <c:pt idx="661">
                  <c:v>7.7686739999999997E-3</c:v>
                </c:pt>
                <c:pt idx="662">
                  <c:v>7.780426E-3</c:v>
                </c:pt>
                <c:pt idx="663">
                  <c:v>7.7921789999999998E-3</c:v>
                </c:pt>
                <c:pt idx="664">
                  <c:v>7.8039320000000004E-3</c:v>
                </c:pt>
                <c:pt idx="665">
                  <c:v>7.8156849999999993E-3</c:v>
                </c:pt>
                <c:pt idx="666">
                  <c:v>7.8274380000000008E-3</c:v>
                </c:pt>
                <c:pt idx="667">
                  <c:v>7.8391910000000006E-3</c:v>
                </c:pt>
                <c:pt idx="668">
                  <c:v>7.8509440000000003E-3</c:v>
                </c:pt>
                <c:pt idx="669">
                  <c:v>7.8626970000000001E-3</c:v>
                </c:pt>
                <c:pt idx="670">
                  <c:v>7.8744499999999999E-3</c:v>
                </c:pt>
                <c:pt idx="671">
                  <c:v>7.8862029999999996E-3</c:v>
                </c:pt>
                <c:pt idx="672">
                  <c:v>7.8979559999999994E-3</c:v>
                </c:pt>
                <c:pt idx="673">
                  <c:v>7.9097079999999997E-3</c:v>
                </c:pt>
                <c:pt idx="674">
                  <c:v>7.9214609999999994E-3</c:v>
                </c:pt>
                <c:pt idx="675">
                  <c:v>7.9332139999999992E-3</c:v>
                </c:pt>
                <c:pt idx="676">
                  <c:v>7.9449670000000007E-3</c:v>
                </c:pt>
                <c:pt idx="677">
                  <c:v>7.9567200000000005E-3</c:v>
                </c:pt>
                <c:pt idx="678">
                  <c:v>7.9684730000000002E-3</c:v>
                </c:pt>
                <c:pt idx="679">
                  <c:v>7.980226E-3</c:v>
                </c:pt>
                <c:pt idx="680">
                  <c:v>7.9919789999999997E-3</c:v>
                </c:pt>
                <c:pt idx="681">
                  <c:v>8.0037319999999995E-3</c:v>
                </c:pt>
                <c:pt idx="682">
                  <c:v>8.0154849999999993E-3</c:v>
                </c:pt>
                <c:pt idx="683">
                  <c:v>8.0272380000000008E-3</c:v>
                </c:pt>
                <c:pt idx="684">
                  <c:v>8.0389899999999993E-3</c:v>
                </c:pt>
                <c:pt idx="685">
                  <c:v>8.0507430000000008E-3</c:v>
                </c:pt>
                <c:pt idx="686">
                  <c:v>8.0624960000000006E-3</c:v>
                </c:pt>
                <c:pt idx="687">
                  <c:v>8.0742490000000004E-3</c:v>
                </c:pt>
                <c:pt idx="688">
                  <c:v>8.0860020000000001E-3</c:v>
                </c:pt>
                <c:pt idx="689">
                  <c:v>8.0977549999999999E-3</c:v>
                </c:pt>
                <c:pt idx="690">
                  <c:v>8.1095079999999996E-3</c:v>
                </c:pt>
                <c:pt idx="691">
                  <c:v>8.1212609999999994E-3</c:v>
                </c:pt>
                <c:pt idx="692">
                  <c:v>8.1330139999999992E-3</c:v>
                </c:pt>
                <c:pt idx="693">
                  <c:v>8.1447670000000007E-3</c:v>
                </c:pt>
                <c:pt idx="694">
                  <c:v>8.1565200000000004E-3</c:v>
                </c:pt>
                <c:pt idx="695">
                  <c:v>8.1682720000000007E-3</c:v>
                </c:pt>
                <c:pt idx="696">
                  <c:v>8.1800250000000005E-3</c:v>
                </c:pt>
                <c:pt idx="697">
                  <c:v>8.1917780000000003E-3</c:v>
                </c:pt>
                <c:pt idx="698">
                  <c:v>8.203531E-3</c:v>
                </c:pt>
                <c:pt idx="699">
                  <c:v>8.2152839999999998E-3</c:v>
                </c:pt>
                <c:pt idx="700">
                  <c:v>8.2270369999999995E-3</c:v>
                </c:pt>
                <c:pt idx="701">
                  <c:v>8.2387899999999993E-3</c:v>
                </c:pt>
                <c:pt idx="702">
                  <c:v>8.2505430000000008E-3</c:v>
                </c:pt>
                <c:pt idx="703">
                  <c:v>8.2622960000000006E-3</c:v>
                </c:pt>
                <c:pt idx="704">
                  <c:v>8.2740490000000003E-3</c:v>
                </c:pt>
                <c:pt idx="705">
                  <c:v>8.2858020000000001E-3</c:v>
                </c:pt>
                <c:pt idx="706">
                  <c:v>8.2975540000000004E-3</c:v>
                </c:pt>
                <c:pt idx="707">
                  <c:v>8.3093070000000002E-3</c:v>
                </c:pt>
                <c:pt idx="708">
                  <c:v>8.3210599999999999E-3</c:v>
                </c:pt>
                <c:pt idx="709">
                  <c:v>8.3328129999999997E-3</c:v>
                </c:pt>
                <c:pt idx="710">
                  <c:v>8.3445659999999994E-3</c:v>
                </c:pt>
                <c:pt idx="711">
                  <c:v>8.3563189999999992E-3</c:v>
                </c:pt>
                <c:pt idx="712">
                  <c:v>8.3680720000000007E-3</c:v>
                </c:pt>
                <c:pt idx="713">
                  <c:v>8.3798250000000005E-3</c:v>
                </c:pt>
                <c:pt idx="714">
                  <c:v>8.3915780000000002E-3</c:v>
                </c:pt>
                <c:pt idx="715">
                  <c:v>8.403331E-3</c:v>
                </c:pt>
                <c:pt idx="716">
                  <c:v>8.4150839999999998E-3</c:v>
                </c:pt>
                <c:pt idx="717">
                  <c:v>8.4268369999999995E-3</c:v>
                </c:pt>
                <c:pt idx="718">
                  <c:v>8.4385889999999998E-3</c:v>
                </c:pt>
                <c:pt idx="719">
                  <c:v>8.4503419999999996E-3</c:v>
                </c:pt>
                <c:pt idx="720">
                  <c:v>8.4620949999999993E-3</c:v>
                </c:pt>
                <c:pt idx="721">
                  <c:v>8.4738480000000008E-3</c:v>
                </c:pt>
                <c:pt idx="722">
                  <c:v>8.4856010000000006E-3</c:v>
                </c:pt>
                <c:pt idx="723">
                  <c:v>8.4973540000000004E-3</c:v>
                </c:pt>
                <c:pt idx="724">
                  <c:v>8.5091070000000001E-3</c:v>
                </c:pt>
                <c:pt idx="725">
                  <c:v>8.5208599999999999E-3</c:v>
                </c:pt>
                <c:pt idx="726">
                  <c:v>8.5326129999999997E-3</c:v>
                </c:pt>
                <c:pt idx="727">
                  <c:v>8.5443659999999994E-3</c:v>
                </c:pt>
                <c:pt idx="728">
                  <c:v>8.5561189999999992E-3</c:v>
                </c:pt>
                <c:pt idx="729">
                  <c:v>8.5678709999999995E-3</c:v>
                </c:pt>
                <c:pt idx="730">
                  <c:v>8.5796239999999992E-3</c:v>
                </c:pt>
                <c:pt idx="731">
                  <c:v>8.5913770000000007E-3</c:v>
                </c:pt>
                <c:pt idx="732">
                  <c:v>8.6031300000000005E-3</c:v>
                </c:pt>
                <c:pt idx="733">
                  <c:v>8.6148830000000003E-3</c:v>
                </c:pt>
                <c:pt idx="734">
                  <c:v>8.626636E-3</c:v>
                </c:pt>
                <c:pt idx="735">
                  <c:v>8.6383889999999998E-3</c:v>
                </c:pt>
                <c:pt idx="736">
                  <c:v>8.6501419999999996E-3</c:v>
                </c:pt>
                <c:pt idx="737">
                  <c:v>8.6618949999999993E-3</c:v>
                </c:pt>
                <c:pt idx="738">
                  <c:v>8.6736480000000008E-3</c:v>
                </c:pt>
                <c:pt idx="739">
                  <c:v>8.6854010000000006E-3</c:v>
                </c:pt>
                <c:pt idx="740">
                  <c:v>8.6971529999999991E-3</c:v>
                </c:pt>
                <c:pt idx="741">
                  <c:v>8.7089060000000006E-3</c:v>
                </c:pt>
                <c:pt idx="742">
                  <c:v>8.7206590000000004E-3</c:v>
                </c:pt>
                <c:pt idx="743">
                  <c:v>8.7324120000000002E-3</c:v>
                </c:pt>
                <c:pt idx="744">
                  <c:v>8.7441649999999999E-3</c:v>
                </c:pt>
                <c:pt idx="745">
                  <c:v>8.7559179999999997E-3</c:v>
                </c:pt>
                <c:pt idx="746">
                  <c:v>8.7676709999999995E-3</c:v>
                </c:pt>
                <c:pt idx="747">
                  <c:v>8.7794239999999992E-3</c:v>
                </c:pt>
                <c:pt idx="748">
                  <c:v>8.7911770000000007E-3</c:v>
                </c:pt>
                <c:pt idx="749">
                  <c:v>8.8029300000000005E-3</c:v>
                </c:pt>
                <c:pt idx="750">
                  <c:v>1.224766E-2</c:v>
                </c:pt>
                <c:pt idx="751">
                  <c:v>1.5680630000000001E-2</c:v>
                </c:pt>
                <c:pt idx="752">
                  <c:v>1.911361E-2</c:v>
                </c:pt>
                <c:pt idx="753">
                  <c:v>2.254658E-2</c:v>
                </c:pt>
                <c:pt idx="754">
                  <c:v>2.5979559999999999E-2</c:v>
                </c:pt>
                <c:pt idx="755">
                  <c:v>2.9412529999999999E-2</c:v>
                </c:pt>
                <c:pt idx="756">
                  <c:v>3.2845510000000001E-2</c:v>
                </c:pt>
                <c:pt idx="757">
                  <c:v>3.6278480000000002E-2</c:v>
                </c:pt>
                <c:pt idx="758">
                  <c:v>3.9711459999999997E-2</c:v>
                </c:pt>
                <c:pt idx="759">
                  <c:v>4.3144439999999999E-2</c:v>
                </c:pt>
                <c:pt idx="760">
                  <c:v>4.657741E-2</c:v>
                </c:pt>
                <c:pt idx="761">
                  <c:v>5.0010390000000002E-2</c:v>
                </c:pt>
                <c:pt idx="762">
                  <c:v>5.3443360000000002E-2</c:v>
                </c:pt>
                <c:pt idx="763">
                  <c:v>5.6876339999999997E-2</c:v>
                </c:pt>
                <c:pt idx="764">
                  <c:v>6.0309309999999998E-2</c:v>
                </c:pt>
                <c:pt idx="765">
                  <c:v>6.3742289999999993E-2</c:v>
                </c:pt>
                <c:pt idx="766">
                  <c:v>6.7175260000000001E-2</c:v>
                </c:pt>
                <c:pt idx="767">
                  <c:v>7.0608240000000003E-2</c:v>
                </c:pt>
                <c:pt idx="768">
                  <c:v>7.4041209999999996E-2</c:v>
                </c:pt>
                <c:pt idx="769">
                  <c:v>7.7474189999999998E-2</c:v>
                </c:pt>
                <c:pt idx="770">
                  <c:v>8.0907160000000006E-2</c:v>
                </c:pt>
                <c:pt idx="771">
                  <c:v>8.4340139999999994E-2</c:v>
                </c:pt>
                <c:pt idx="772">
                  <c:v>8.7773110000000001E-2</c:v>
                </c:pt>
                <c:pt idx="773">
                  <c:v>9.1206090000000004E-2</c:v>
                </c:pt>
                <c:pt idx="774">
                  <c:v>9.4639059999999997E-2</c:v>
                </c:pt>
                <c:pt idx="775">
                  <c:v>9.8072039999999999E-2</c:v>
                </c:pt>
                <c:pt idx="776">
                  <c:v>0.101505</c:v>
                </c:pt>
                <c:pt idx="777">
                  <c:v>0.104938</c:v>
                </c:pt>
                <c:pt idx="778">
                  <c:v>0.108371</c:v>
                </c:pt>
                <c:pt idx="779">
                  <c:v>0.1118039</c:v>
                </c:pt>
                <c:pt idx="780">
                  <c:v>0.1152369</c:v>
                </c:pt>
                <c:pt idx="781">
                  <c:v>0.11866989999999999</c:v>
                </c:pt>
                <c:pt idx="782">
                  <c:v>0.1221029</c:v>
                </c:pt>
                <c:pt idx="783">
                  <c:v>0.1255358</c:v>
                </c:pt>
                <c:pt idx="784">
                  <c:v>0.12896879999999999</c:v>
                </c:pt>
                <c:pt idx="785">
                  <c:v>0.13240179999999999</c:v>
                </c:pt>
                <c:pt idx="786">
                  <c:v>0.13583480000000001</c:v>
                </c:pt>
                <c:pt idx="787">
                  <c:v>0.13926769999999999</c:v>
                </c:pt>
                <c:pt idx="788">
                  <c:v>0.14270070000000001</c:v>
                </c:pt>
                <c:pt idx="789">
                  <c:v>0.14613370000000001</c:v>
                </c:pt>
                <c:pt idx="790">
                  <c:v>0.1495667</c:v>
                </c:pt>
                <c:pt idx="791">
                  <c:v>0.15299960000000001</c:v>
                </c:pt>
                <c:pt idx="792">
                  <c:v>0.1564326</c:v>
                </c:pt>
                <c:pt idx="793">
                  <c:v>0.1598656</c:v>
                </c:pt>
                <c:pt idx="794">
                  <c:v>0.16329859999999999</c:v>
                </c:pt>
                <c:pt idx="795">
                  <c:v>0.1667315</c:v>
                </c:pt>
                <c:pt idx="796">
                  <c:v>0.1701645</c:v>
                </c:pt>
                <c:pt idx="797">
                  <c:v>0.17359749999999999</c:v>
                </c:pt>
                <c:pt idx="798">
                  <c:v>0.17703050000000001</c:v>
                </c:pt>
                <c:pt idx="799">
                  <c:v>0.1804634</c:v>
                </c:pt>
                <c:pt idx="800">
                  <c:v>0.18389639999999999</c:v>
                </c:pt>
                <c:pt idx="801">
                  <c:v>0.18732940000000001</c:v>
                </c:pt>
                <c:pt idx="802">
                  <c:v>0.1907624</c:v>
                </c:pt>
                <c:pt idx="803">
                  <c:v>0.19419529999999999</c:v>
                </c:pt>
                <c:pt idx="804">
                  <c:v>0.19762830000000001</c:v>
                </c:pt>
                <c:pt idx="805">
                  <c:v>0.2010613</c:v>
                </c:pt>
                <c:pt idx="806">
                  <c:v>0.20449429999999999</c:v>
                </c:pt>
                <c:pt idx="807">
                  <c:v>0.20792720000000001</c:v>
                </c:pt>
                <c:pt idx="808">
                  <c:v>0.2113602</c:v>
                </c:pt>
                <c:pt idx="809">
                  <c:v>0.21479319999999999</c:v>
                </c:pt>
                <c:pt idx="810">
                  <c:v>0.21822620000000001</c:v>
                </c:pt>
                <c:pt idx="811">
                  <c:v>0.2216591</c:v>
                </c:pt>
                <c:pt idx="812">
                  <c:v>0.22509209999999999</c:v>
                </c:pt>
                <c:pt idx="813">
                  <c:v>0.22852510000000001</c:v>
                </c:pt>
                <c:pt idx="814">
                  <c:v>0.2319581</c:v>
                </c:pt>
                <c:pt idx="815">
                  <c:v>0.23539099999999999</c:v>
                </c:pt>
                <c:pt idx="816">
                  <c:v>0.23882400000000001</c:v>
                </c:pt>
                <c:pt idx="817">
                  <c:v>0.242257</c:v>
                </c:pt>
                <c:pt idx="818">
                  <c:v>0.24568999999999999</c:v>
                </c:pt>
                <c:pt idx="819">
                  <c:v>0.24912300000000001</c:v>
                </c:pt>
                <c:pt idx="820">
                  <c:v>0.2525559</c:v>
                </c:pt>
                <c:pt idx="821">
                  <c:v>0.25598890000000002</c:v>
                </c:pt>
                <c:pt idx="822">
                  <c:v>0.25942189999999998</c:v>
                </c:pt>
                <c:pt idx="823">
                  <c:v>0.2628549</c:v>
                </c:pt>
                <c:pt idx="824">
                  <c:v>0.26628780000000002</c:v>
                </c:pt>
                <c:pt idx="825">
                  <c:v>0.26972079999999998</c:v>
                </c:pt>
                <c:pt idx="826">
                  <c:v>0.2731538</c:v>
                </c:pt>
                <c:pt idx="827">
                  <c:v>0.27658680000000002</c:v>
                </c:pt>
                <c:pt idx="828">
                  <c:v>0.28001969999999998</c:v>
                </c:pt>
                <c:pt idx="829">
                  <c:v>0.2834527</c:v>
                </c:pt>
                <c:pt idx="830">
                  <c:v>0.28688570000000002</c:v>
                </c:pt>
                <c:pt idx="831">
                  <c:v>0.29031869999999999</c:v>
                </c:pt>
                <c:pt idx="832">
                  <c:v>0.2937516</c:v>
                </c:pt>
                <c:pt idx="833">
                  <c:v>0.29718460000000002</c:v>
                </c:pt>
                <c:pt idx="834">
                  <c:v>0.30061759999999998</c:v>
                </c:pt>
                <c:pt idx="835">
                  <c:v>0.3040506</c:v>
                </c:pt>
                <c:pt idx="836">
                  <c:v>0.30748350000000002</c:v>
                </c:pt>
                <c:pt idx="837">
                  <c:v>0.31091649999999998</c:v>
                </c:pt>
                <c:pt idx="838">
                  <c:v>0.3143495</c:v>
                </c:pt>
                <c:pt idx="839">
                  <c:v>0.31778250000000002</c:v>
                </c:pt>
                <c:pt idx="840">
                  <c:v>0.32121539999999998</c:v>
                </c:pt>
                <c:pt idx="841">
                  <c:v>0.3246484</c:v>
                </c:pt>
                <c:pt idx="842">
                  <c:v>0.32808140000000002</c:v>
                </c:pt>
                <c:pt idx="843">
                  <c:v>0.33151439999999999</c:v>
                </c:pt>
                <c:pt idx="844">
                  <c:v>0.3349473</c:v>
                </c:pt>
                <c:pt idx="845">
                  <c:v>0.33838030000000002</c:v>
                </c:pt>
                <c:pt idx="846">
                  <c:v>0.34181329999999999</c:v>
                </c:pt>
                <c:pt idx="847">
                  <c:v>0.34524630000000001</c:v>
                </c:pt>
                <c:pt idx="848">
                  <c:v>0.34867920000000002</c:v>
                </c:pt>
                <c:pt idx="849">
                  <c:v>0.35211219999999999</c:v>
                </c:pt>
                <c:pt idx="850">
                  <c:v>0.35554520000000001</c:v>
                </c:pt>
                <c:pt idx="851">
                  <c:v>0.35897820000000003</c:v>
                </c:pt>
                <c:pt idx="852">
                  <c:v>0.36241109999999999</c:v>
                </c:pt>
                <c:pt idx="853">
                  <c:v>0.36584410000000001</c:v>
                </c:pt>
                <c:pt idx="854">
                  <c:v>0.36927710000000002</c:v>
                </c:pt>
                <c:pt idx="855">
                  <c:v>0.37271009999999999</c:v>
                </c:pt>
                <c:pt idx="856">
                  <c:v>0.37614300000000001</c:v>
                </c:pt>
                <c:pt idx="857">
                  <c:v>0.37957600000000002</c:v>
                </c:pt>
                <c:pt idx="858">
                  <c:v>0.38300899999999999</c:v>
                </c:pt>
                <c:pt idx="859">
                  <c:v>0.38644200000000001</c:v>
                </c:pt>
                <c:pt idx="860">
                  <c:v>0.38987490000000002</c:v>
                </c:pt>
                <c:pt idx="861">
                  <c:v>0.39330789999999999</c:v>
                </c:pt>
                <c:pt idx="862">
                  <c:v>0.39674090000000001</c:v>
                </c:pt>
                <c:pt idx="863">
                  <c:v>0.40017390000000003</c:v>
                </c:pt>
                <c:pt idx="864">
                  <c:v>0.40360679999999999</c:v>
                </c:pt>
                <c:pt idx="865">
                  <c:v>0.40703980000000001</c:v>
                </c:pt>
                <c:pt idx="866">
                  <c:v>0.41047280000000003</c:v>
                </c:pt>
                <c:pt idx="867">
                  <c:v>0.41390579999999999</c:v>
                </c:pt>
                <c:pt idx="868">
                  <c:v>0.41733870000000001</c:v>
                </c:pt>
                <c:pt idx="869">
                  <c:v>0.42077170000000003</c:v>
                </c:pt>
                <c:pt idx="870">
                  <c:v>0.42420469999999999</c:v>
                </c:pt>
                <c:pt idx="871">
                  <c:v>0.42763770000000001</c:v>
                </c:pt>
                <c:pt idx="872">
                  <c:v>0.43107060000000003</c:v>
                </c:pt>
                <c:pt idx="873">
                  <c:v>0.43450359999999999</c:v>
                </c:pt>
                <c:pt idx="874">
                  <c:v>0.43793660000000001</c:v>
                </c:pt>
                <c:pt idx="875">
                  <c:v>0.44136959999999997</c:v>
                </c:pt>
                <c:pt idx="876">
                  <c:v>0.44480249999999999</c:v>
                </c:pt>
                <c:pt idx="877">
                  <c:v>0.44823550000000001</c:v>
                </c:pt>
                <c:pt idx="878">
                  <c:v>0.45166849999999997</c:v>
                </c:pt>
                <c:pt idx="879">
                  <c:v>0.45510149999999999</c:v>
                </c:pt>
                <c:pt idx="880">
                  <c:v>0.45853440000000001</c:v>
                </c:pt>
                <c:pt idx="881">
                  <c:v>0.46196739999999997</c:v>
                </c:pt>
                <c:pt idx="882">
                  <c:v>0.46540039999999999</c:v>
                </c:pt>
                <c:pt idx="883">
                  <c:v>0.46883340000000001</c:v>
                </c:pt>
                <c:pt idx="884">
                  <c:v>0.47226630000000003</c:v>
                </c:pt>
                <c:pt idx="885">
                  <c:v>0.47569929999999999</c:v>
                </c:pt>
                <c:pt idx="886">
                  <c:v>0.47913230000000001</c:v>
                </c:pt>
                <c:pt idx="887">
                  <c:v>0.48256529999999997</c:v>
                </c:pt>
                <c:pt idx="888">
                  <c:v>0.48599819999999999</c:v>
                </c:pt>
                <c:pt idx="889">
                  <c:v>0.48943120000000001</c:v>
                </c:pt>
                <c:pt idx="890">
                  <c:v>0.49286419999999997</c:v>
                </c:pt>
                <c:pt idx="891">
                  <c:v>0.49629719999999999</c:v>
                </c:pt>
                <c:pt idx="892">
                  <c:v>0.49973010000000001</c:v>
                </c:pt>
                <c:pt idx="893">
                  <c:v>0.50316309999999997</c:v>
                </c:pt>
                <c:pt idx="894">
                  <c:v>0.50659609999999999</c:v>
                </c:pt>
                <c:pt idx="895">
                  <c:v>0.51002910000000001</c:v>
                </c:pt>
                <c:pt idx="896">
                  <c:v>0.51346199999999997</c:v>
                </c:pt>
                <c:pt idx="897">
                  <c:v>0.51689499999999999</c:v>
                </c:pt>
                <c:pt idx="898">
                  <c:v>0.52032800000000001</c:v>
                </c:pt>
                <c:pt idx="899">
                  <c:v>0.52376100000000003</c:v>
                </c:pt>
                <c:pt idx="900">
                  <c:v>0.52719389999999999</c:v>
                </c:pt>
                <c:pt idx="901">
                  <c:v>0.53062690000000001</c:v>
                </c:pt>
                <c:pt idx="902">
                  <c:v>0.53405990000000003</c:v>
                </c:pt>
                <c:pt idx="903">
                  <c:v>0.53749290000000005</c:v>
                </c:pt>
                <c:pt idx="904">
                  <c:v>0.54092580000000001</c:v>
                </c:pt>
                <c:pt idx="905">
                  <c:v>0.54435880000000003</c:v>
                </c:pt>
                <c:pt idx="906">
                  <c:v>0.54779180000000005</c:v>
                </c:pt>
                <c:pt idx="907">
                  <c:v>0.55122479999999996</c:v>
                </c:pt>
                <c:pt idx="908">
                  <c:v>0.55465770000000003</c:v>
                </c:pt>
                <c:pt idx="909">
                  <c:v>0.55809070000000005</c:v>
                </c:pt>
                <c:pt idx="910">
                  <c:v>0.56152369999999996</c:v>
                </c:pt>
                <c:pt idx="911">
                  <c:v>0.56495669999999998</c:v>
                </c:pt>
                <c:pt idx="912">
                  <c:v>0.56838960000000005</c:v>
                </c:pt>
                <c:pt idx="913">
                  <c:v>0.57182259999999996</c:v>
                </c:pt>
                <c:pt idx="914">
                  <c:v>0.57525559999999998</c:v>
                </c:pt>
                <c:pt idx="915">
                  <c:v>0.5786886</c:v>
                </c:pt>
                <c:pt idx="916">
                  <c:v>0.58212160000000002</c:v>
                </c:pt>
                <c:pt idx="917">
                  <c:v>0.58555449999999998</c:v>
                </c:pt>
                <c:pt idx="918">
                  <c:v>0.5889875</c:v>
                </c:pt>
                <c:pt idx="919">
                  <c:v>0.59242050000000002</c:v>
                </c:pt>
                <c:pt idx="920">
                  <c:v>0.59585350000000004</c:v>
                </c:pt>
                <c:pt idx="921">
                  <c:v>0.5992864</c:v>
                </c:pt>
                <c:pt idx="922">
                  <c:v>0.60271940000000002</c:v>
                </c:pt>
                <c:pt idx="923">
                  <c:v>0.60615240000000004</c:v>
                </c:pt>
                <c:pt idx="924">
                  <c:v>0.60958540000000005</c:v>
                </c:pt>
                <c:pt idx="925">
                  <c:v>0.61301830000000002</c:v>
                </c:pt>
                <c:pt idx="926">
                  <c:v>0.61645130000000004</c:v>
                </c:pt>
                <c:pt idx="927">
                  <c:v>0.61988430000000005</c:v>
                </c:pt>
                <c:pt idx="928">
                  <c:v>0.62331729999999996</c:v>
                </c:pt>
                <c:pt idx="929">
                  <c:v>0.62675020000000004</c:v>
                </c:pt>
                <c:pt idx="930">
                  <c:v>0.63018320000000005</c:v>
                </c:pt>
                <c:pt idx="931">
                  <c:v>0.63361619999999996</c:v>
                </c:pt>
                <c:pt idx="932">
                  <c:v>0.63704919999999998</c:v>
                </c:pt>
                <c:pt idx="933">
                  <c:v>0.64048210000000005</c:v>
                </c:pt>
                <c:pt idx="934">
                  <c:v>0.64391509999999996</c:v>
                </c:pt>
                <c:pt idx="935">
                  <c:v>0.64734809999999998</c:v>
                </c:pt>
                <c:pt idx="936">
                  <c:v>0.6507811</c:v>
                </c:pt>
                <c:pt idx="937">
                  <c:v>0.65421399999999996</c:v>
                </c:pt>
                <c:pt idx="938">
                  <c:v>0.65764699999999998</c:v>
                </c:pt>
                <c:pt idx="939">
                  <c:v>0.66108</c:v>
                </c:pt>
                <c:pt idx="940">
                  <c:v>0.66451300000000002</c:v>
                </c:pt>
                <c:pt idx="941">
                  <c:v>0.66794589999999998</c:v>
                </c:pt>
                <c:pt idx="942">
                  <c:v>0.6713789</c:v>
                </c:pt>
                <c:pt idx="943">
                  <c:v>0.67481190000000002</c:v>
                </c:pt>
                <c:pt idx="944">
                  <c:v>0.67824490000000004</c:v>
                </c:pt>
                <c:pt idx="945">
                  <c:v>0.6816778</c:v>
                </c:pt>
                <c:pt idx="946">
                  <c:v>0.68511080000000002</c:v>
                </c:pt>
                <c:pt idx="947">
                  <c:v>0.68854380000000004</c:v>
                </c:pt>
                <c:pt idx="948">
                  <c:v>0.69197679999999995</c:v>
                </c:pt>
                <c:pt idx="949">
                  <c:v>0.69540970000000002</c:v>
                </c:pt>
                <c:pt idx="950">
                  <c:v>0.69884270000000004</c:v>
                </c:pt>
                <c:pt idx="951">
                  <c:v>0.70227569999999995</c:v>
                </c:pt>
                <c:pt idx="952">
                  <c:v>0.70570869999999997</c:v>
                </c:pt>
                <c:pt idx="953">
                  <c:v>0.70914160000000004</c:v>
                </c:pt>
                <c:pt idx="954">
                  <c:v>0.71257459999999995</c:v>
                </c:pt>
                <c:pt idx="955">
                  <c:v>0.71600759999999997</c:v>
                </c:pt>
                <c:pt idx="956">
                  <c:v>0.71944059999999999</c:v>
                </c:pt>
                <c:pt idx="957">
                  <c:v>0.72287349999999995</c:v>
                </c:pt>
                <c:pt idx="958">
                  <c:v>0.72630649999999997</c:v>
                </c:pt>
                <c:pt idx="959">
                  <c:v>0.72973949999999999</c:v>
                </c:pt>
                <c:pt idx="960">
                  <c:v>0.7331725</c:v>
                </c:pt>
                <c:pt idx="961">
                  <c:v>0.73660539999999997</c:v>
                </c:pt>
                <c:pt idx="962">
                  <c:v>0.74003839999999999</c:v>
                </c:pt>
                <c:pt idx="963">
                  <c:v>0.7434714</c:v>
                </c:pt>
                <c:pt idx="964">
                  <c:v>0.74690440000000002</c:v>
                </c:pt>
                <c:pt idx="965">
                  <c:v>0.75033729999999998</c:v>
                </c:pt>
                <c:pt idx="966">
                  <c:v>0.7537703</c:v>
                </c:pt>
                <c:pt idx="967">
                  <c:v>0.75720330000000002</c:v>
                </c:pt>
                <c:pt idx="968">
                  <c:v>0.76063630000000004</c:v>
                </c:pt>
                <c:pt idx="969">
                  <c:v>0.7640692</c:v>
                </c:pt>
                <c:pt idx="970">
                  <c:v>0.76750220000000002</c:v>
                </c:pt>
                <c:pt idx="971">
                  <c:v>0.77093520000000004</c:v>
                </c:pt>
                <c:pt idx="972">
                  <c:v>0.77436819999999995</c:v>
                </c:pt>
                <c:pt idx="973">
                  <c:v>0.77780110000000002</c:v>
                </c:pt>
                <c:pt idx="974">
                  <c:v>0.78123410000000004</c:v>
                </c:pt>
                <c:pt idx="975">
                  <c:v>0.78466709999999995</c:v>
                </c:pt>
                <c:pt idx="976">
                  <c:v>0.78810009999999997</c:v>
                </c:pt>
                <c:pt idx="977">
                  <c:v>0.79153300000000004</c:v>
                </c:pt>
                <c:pt idx="978">
                  <c:v>0.79496599999999995</c:v>
                </c:pt>
                <c:pt idx="979">
                  <c:v>0.79839899999999997</c:v>
                </c:pt>
                <c:pt idx="980">
                  <c:v>0.80183199999999999</c:v>
                </c:pt>
                <c:pt idx="981">
                  <c:v>0.80526489999999995</c:v>
                </c:pt>
                <c:pt idx="982">
                  <c:v>0.80869789999999997</c:v>
                </c:pt>
                <c:pt idx="983">
                  <c:v>0.81213089999999999</c:v>
                </c:pt>
                <c:pt idx="984">
                  <c:v>0.81556390000000001</c:v>
                </c:pt>
                <c:pt idx="985">
                  <c:v>0.81899679999999997</c:v>
                </c:pt>
                <c:pt idx="986">
                  <c:v>0.82242979999999999</c:v>
                </c:pt>
                <c:pt idx="987">
                  <c:v>0.82586280000000001</c:v>
                </c:pt>
                <c:pt idx="988">
                  <c:v>0.82929580000000003</c:v>
                </c:pt>
                <c:pt idx="989">
                  <c:v>0.83272869999999999</c:v>
                </c:pt>
                <c:pt idx="990">
                  <c:v>0.83616170000000001</c:v>
                </c:pt>
                <c:pt idx="991">
                  <c:v>0.83959470000000003</c:v>
                </c:pt>
                <c:pt idx="992">
                  <c:v>0.84302770000000005</c:v>
                </c:pt>
                <c:pt idx="993">
                  <c:v>0.84646060000000001</c:v>
                </c:pt>
                <c:pt idx="994">
                  <c:v>0.84989360000000003</c:v>
                </c:pt>
                <c:pt idx="995">
                  <c:v>0.85332660000000005</c:v>
                </c:pt>
                <c:pt idx="996">
                  <c:v>0.85675959999999995</c:v>
                </c:pt>
                <c:pt idx="997">
                  <c:v>0.86019250000000003</c:v>
                </c:pt>
                <c:pt idx="998">
                  <c:v>0.86362550000000005</c:v>
                </c:pt>
                <c:pt idx="999">
                  <c:v>0.86705849999999995</c:v>
                </c:pt>
              </c:numCache>
            </c:numRef>
          </c:xVal>
          <c:yVal>
            <c:numRef>
              <c:f>'Bending Stiffness'!$K$18:$K$1267</c:f>
              <c:numCache>
                <c:formatCode>0.0000</c:formatCode>
                <c:ptCount val="1250"/>
                <c:pt idx="0">
                  <c:v>0</c:v>
                </c:pt>
                <c:pt idx="1">
                  <c:v>2.0619319999999999E-5</c:v>
                </c:pt>
                <c:pt idx="2">
                  <c:v>4.1238639999999998E-5</c:v>
                </c:pt>
                <c:pt idx="3">
                  <c:v>6.185796E-5</c:v>
                </c:pt>
                <c:pt idx="4">
                  <c:v>8.2477279999999996E-5</c:v>
                </c:pt>
                <c:pt idx="5">
                  <c:v>1.0309659999999999E-4</c:v>
                </c:pt>
                <c:pt idx="6">
                  <c:v>1.237159E-4</c:v>
                </c:pt>
                <c:pt idx="7">
                  <c:v>1.4433520000000001E-4</c:v>
                </c:pt>
                <c:pt idx="8">
                  <c:v>1.6495459999999999E-4</c:v>
                </c:pt>
                <c:pt idx="9">
                  <c:v>1.855739E-4</c:v>
                </c:pt>
                <c:pt idx="10">
                  <c:v>2.0619319999999998E-4</c:v>
                </c:pt>
                <c:pt idx="11">
                  <c:v>2.2681249999999999E-4</c:v>
                </c:pt>
                <c:pt idx="12">
                  <c:v>2.474318E-4</c:v>
                </c:pt>
                <c:pt idx="13">
                  <c:v>2.6805109999999998E-4</c:v>
                </c:pt>
                <c:pt idx="14">
                  <c:v>2.8867049999999999E-4</c:v>
                </c:pt>
                <c:pt idx="15">
                  <c:v>3.0879640000000004E-4</c:v>
                </c:pt>
                <c:pt idx="16">
                  <c:v>3.2439440000000001E-4</c:v>
                </c:pt>
                <c:pt idx="17">
                  <c:v>3.3999239999999998E-4</c:v>
                </c:pt>
                <c:pt idx="18">
                  <c:v>3.5559030000000002E-4</c:v>
                </c:pt>
                <c:pt idx="19">
                  <c:v>3.7118830000000005E-4</c:v>
                </c:pt>
                <c:pt idx="20">
                  <c:v>3.8678630000000001E-4</c:v>
                </c:pt>
                <c:pt idx="21">
                  <c:v>4.0238429999999998E-4</c:v>
                </c:pt>
                <c:pt idx="22">
                  <c:v>4.1798229999999995E-4</c:v>
                </c:pt>
                <c:pt idx="23">
                  <c:v>4.3358020000000005E-4</c:v>
                </c:pt>
                <c:pt idx="24">
                  <c:v>4.4917820000000002E-4</c:v>
                </c:pt>
                <c:pt idx="25">
                  <c:v>4.6397019999999998E-4</c:v>
                </c:pt>
                <c:pt idx="26">
                  <c:v>4.7464620000000002E-4</c:v>
                </c:pt>
                <c:pt idx="27">
                  <c:v>4.8532229999999999E-4</c:v>
                </c:pt>
                <c:pt idx="28">
                  <c:v>4.9599840000000002E-4</c:v>
                </c:pt>
                <c:pt idx="29">
                  <c:v>5.0667449999999999E-4</c:v>
                </c:pt>
                <c:pt idx="30">
                  <c:v>5.1735050000000003E-4</c:v>
                </c:pt>
                <c:pt idx="31">
                  <c:v>5.280266E-4</c:v>
                </c:pt>
                <c:pt idx="32">
                  <c:v>5.3870269999999997E-4</c:v>
                </c:pt>
                <c:pt idx="33">
                  <c:v>5.4937879999999994E-4</c:v>
                </c:pt>
                <c:pt idx="34">
                  <c:v>5.6005479999999999E-4</c:v>
                </c:pt>
                <c:pt idx="35">
                  <c:v>5.7073090000000007E-4</c:v>
                </c:pt>
                <c:pt idx="36">
                  <c:v>5.8140700000000004E-4</c:v>
                </c:pt>
                <c:pt idx="37">
                  <c:v>5.9208310000000001E-4</c:v>
                </c:pt>
                <c:pt idx="38">
                  <c:v>6.0275909999999995E-4</c:v>
                </c:pt>
                <c:pt idx="39">
                  <c:v>6.1343519999999992E-4</c:v>
                </c:pt>
                <c:pt idx="40">
                  <c:v>6.241113E-4</c:v>
                </c:pt>
                <c:pt idx="41">
                  <c:v>6.3478730000000004E-4</c:v>
                </c:pt>
                <c:pt idx="42">
                  <c:v>6.4546340000000001E-4</c:v>
                </c:pt>
                <c:pt idx="43">
                  <c:v>6.5613949999999998E-4</c:v>
                </c:pt>
                <c:pt idx="44">
                  <c:v>6.6681559999999995E-4</c:v>
                </c:pt>
                <c:pt idx="45">
                  <c:v>6.774916E-4</c:v>
                </c:pt>
                <c:pt idx="46">
                  <c:v>6.8816770000000008E-4</c:v>
                </c:pt>
                <c:pt idx="47">
                  <c:v>6.9884380000000005E-4</c:v>
                </c:pt>
                <c:pt idx="48">
                  <c:v>7.0951990000000002E-4</c:v>
                </c:pt>
                <c:pt idx="49">
                  <c:v>7.2019589999999995E-4</c:v>
                </c:pt>
                <c:pt idx="50">
                  <c:v>7.3087199999999992E-4</c:v>
                </c:pt>
                <c:pt idx="51">
                  <c:v>7.415481E-4</c:v>
                </c:pt>
                <c:pt idx="52">
                  <c:v>7.5222419999999997E-4</c:v>
                </c:pt>
                <c:pt idx="53">
                  <c:v>7.6290020000000002E-4</c:v>
                </c:pt>
                <c:pt idx="54">
                  <c:v>7.7357629999999999E-4</c:v>
                </c:pt>
                <c:pt idx="55">
                  <c:v>7.8425239999999996E-4</c:v>
                </c:pt>
                <c:pt idx="56">
                  <c:v>7.9492850000000004E-4</c:v>
                </c:pt>
                <c:pt idx="57">
                  <c:v>8.0560449999999997E-4</c:v>
                </c:pt>
                <c:pt idx="58">
                  <c:v>8.1628060000000005E-4</c:v>
                </c:pt>
                <c:pt idx="59">
                  <c:v>8.2695670000000002E-4</c:v>
                </c:pt>
                <c:pt idx="60">
                  <c:v>8.3763279999999999E-4</c:v>
                </c:pt>
                <c:pt idx="61">
                  <c:v>8.4830879999999993E-4</c:v>
                </c:pt>
                <c:pt idx="62">
                  <c:v>8.5898490000000001E-4</c:v>
                </c:pt>
                <c:pt idx="63">
                  <c:v>8.6966099999999998E-4</c:v>
                </c:pt>
                <c:pt idx="64">
                  <c:v>8.8033709999999995E-4</c:v>
                </c:pt>
                <c:pt idx="65">
                  <c:v>8.910131E-4</c:v>
                </c:pt>
                <c:pt idx="66">
                  <c:v>9.0168919999999997E-4</c:v>
                </c:pt>
                <c:pt idx="67">
                  <c:v>9.1236530000000004E-4</c:v>
                </c:pt>
                <c:pt idx="68">
                  <c:v>9.2304129999999998E-4</c:v>
                </c:pt>
                <c:pt idx="69">
                  <c:v>9.3371740000000006E-4</c:v>
                </c:pt>
                <c:pt idx="70">
                  <c:v>9.4439350000000003E-4</c:v>
                </c:pt>
                <c:pt idx="71">
                  <c:v>9.550696E-4</c:v>
                </c:pt>
                <c:pt idx="72">
                  <c:v>9.6574559999999994E-4</c:v>
                </c:pt>
                <c:pt idx="73">
                  <c:v>9.7642169999999991E-4</c:v>
                </c:pt>
                <c:pt idx="74">
                  <c:v>9.8709779999999999E-4</c:v>
                </c:pt>
                <c:pt idx="75">
                  <c:v>9.9777390000000007E-4</c:v>
                </c:pt>
                <c:pt idx="76">
                  <c:v>1.0084500000000001E-3</c:v>
                </c:pt>
                <c:pt idx="77">
                  <c:v>1.019126E-3</c:v>
                </c:pt>
                <c:pt idx="78">
                  <c:v>1.029802E-3</c:v>
                </c:pt>
                <c:pt idx="79">
                  <c:v>1.0404780000000001E-3</c:v>
                </c:pt>
                <c:pt idx="80">
                  <c:v>1.0511539999999999E-3</c:v>
                </c:pt>
                <c:pt idx="81">
                  <c:v>1.0618300000000002E-3</c:v>
                </c:pt>
                <c:pt idx="82">
                  <c:v>1.072506E-3</c:v>
                </c:pt>
                <c:pt idx="83">
                  <c:v>1.083182E-3</c:v>
                </c:pt>
                <c:pt idx="84">
                  <c:v>1.093859E-3</c:v>
                </c:pt>
                <c:pt idx="85">
                  <c:v>1.104535E-3</c:v>
                </c:pt>
                <c:pt idx="86">
                  <c:v>1.1152109999999998E-3</c:v>
                </c:pt>
                <c:pt idx="87">
                  <c:v>1.1258870000000001E-3</c:v>
                </c:pt>
                <c:pt idx="88">
                  <c:v>1.136562E-3</c:v>
                </c:pt>
                <c:pt idx="89">
                  <c:v>1.1465259999999999E-3</c:v>
                </c:pt>
                <c:pt idx="90">
                  <c:v>1.1559230000000001E-3</c:v>
                </c:pt>
                <c:pt idx="91">
                  <c:v>1.164963E-3</c:v>
                </c:pt>
                <c:pt idx="92">
                  <c:v>1.1737260000000002E-3</c:v>
                </c:pt>
                <c:pt idx="93">
                  <c:v>1.182256E-3</c:v>
                </c:pt>
                <c:pt idx="94">
                  <c:v>1.1905870000000001E-3</c:v>
                </c:pt>
                <c:pt idx="95">
                  <c:v>1.198742E-3</c:v>
                </c:pt>
                <c:pt idx="96">
                  <c:v>1.2067390000000001E-3</c:v>
                </c:pt>
                <c:pt idx="97">
                  <c:v>1.2145950000000002E-3</c:v>
                </c:pt>
                <c:pt idx="98">
                  <c:v>1.22232E-3</c:v>
                </c:pt>
                <c:pt idx="99">
                  <c:v>1.229927E-3</c:v>
                </c:pt>
                <c:pt idx="100">
                  <c:v>1.2374249999999999E-3</c:v>
                </c:pt>
                <c:pt idx="101">
                  <c:v>1.24482E-3</c:v>
                </c:pt>
                <c:pt idx="102">
                  <c:v>1.2521210000000001E-3</c:v>
                </c:pt>
                <c:pt idx="103">
                  <c:v>1.2593350000000001E-3</c:v>
                </c:pt>
                <c:pt idx="104">
                  <c:v>1.266465E-3</c:v>
                </c:pt>
                <c:pt idx="105">
                  <c:v>1.273518E-3</c:v>
                </c:pt>
                <c:pt idx="106">
                  <c:v>1.280499E-3</c:v>
                </c:pt>
                <c:pt idx="107">
                  <c:v>1.287411E-3</c:v>
                </c:pt>
                <c:pt idx="108">
                  <c:v>1.294258E-3</c:v>
                </c:pt>
                <c:pt idx="109">
                  <c:v>1.301045E-3</c:v>
                </c:pt>
                <c:pt idx="110">
                  <c:v>1.3077730000000001E-3</c:v>
                </c:pt>
                <c:pt idx="111">
                  <c:v>1.3144459999999999E-3</c:v>
                </c:pt>
                <c:pt idx="112">
                  <c:v>1.3210679999999999E-3</c:v>
                </c:pt>
                <c:pt idx="113">
                  <c:v>1.327639E-3</c:v>
                </c:pt>
                <c:pt idx="114">
                  <c:v>1.3341639999999999E-3</c:v>
                </c:pt>
                <c:pt idx="115">
                  <c:v>1.340644E-3</c:v>
                </c:pt>
                <c:pt idx="116">
                  <c:v>1.347081E-3</c:v>
                </c:pt>
                <c:pt idx="117">
                  <c:v>1.3534759999999999E-3</c:v>
                </c:pt>
                <c:pt idx="118">
                  <c:v>1.359833E-3</c:v>
                </c:pt>
                <c:pt idx="119">
                  <c:v>1.3661529999999999E-3</c:v>
                </c:pt>
                <c:pt idx="120">
                  <c:v>1.372437E-3</c:v>
                </c:pt>
                <c:pt idx="121">
                  <c:v>1.378687E-3</c:v>
                </c:pt>
                <c:pt idx="122">
                  <c:v>1.384904E-3</c:v>
                </c:pt>
                <c:pt idx="123">
                  <c:v>1.3910890000000001E-3</c:v>
                </c:pt>
                <c:pt idx="124">
                  <c:v>1.397244E-3</c:v>
                </c:pt>
                <c:pt idx="125">
                  <c:v>1.4033709999999998E-3</c:v>
                </c:pt>
                <c:pt idx="126">
                  <c:v>1.409469E-3</c:v>
                </c:pt>
                <c:pt idx="127">
                  <c:v>1.415541E-3</c:v>
                </c:pt>
                <c:pt idx="128">
                  <c:v>1.421587E-3</c:v>
                </c:pt>
                <c:pt idx="129">
                  <c:v>1.4276089999999998E-3</c:v>
                </c:pt>
                <c:pt idx="130">
                  <c:v>1.433606E-3</c:v>
                </c:pt>
                <c:pt idx="131">
                  <c:v>1.4395810000000001E-3</c:v>
                </c:pt>
                <c:pt idx="132">
                  <c:v>1.4455329999999999E-3</c:v>
                </c:pt>
                <c:pt idx="133">
                  <c:v>1.4514650000000001E-3</c:v>
                </c:pt>
                <c:pt idx="134">
                  <c:v>1.4573750000000001E-3</c:v>
                </c:pt>
                <c:pt idx="135">
                  <c:v>1.463266E-3</c:v>
                </c:pt>
                <c:pt idx="136">
                  <c:v>1.469138E-3</c:v>
                </c:pt>
                <c:pt idx="137">
                  <c:v>1.4749909999999999E-3</c:v>
                </c:pt>
                <c:pt idx="138">
                  <c:v>1.480826E-3</c:v>
                </c:pt>
                <c:pt idx="139">
                  <c:v>1.486645E-3</c:v>
                </c:pt>
                <c:pt idx="140">
                  <c:v>1.4924459999999999E-3</c:v>
                </c:pt>
                <c:pt idx="141">
                  <c:v>1.498231E-3</c:v>
                </c:pt>
                <c:pt idx="142">
                  <c:v>1.5040009999999998E-3</c:v>
                </c:pt>
                <c:pt idx="143">
                  <c:v>1.509755E-3</c:v>
                </c:pt>
                <c:pt idx="144">
                  <c:v>1.5154949999999999E-3</c:v>
                </c:pt>
                <c:pt idx="145">
                  <c:v>1.5212209999999999E-3</c:v>
                </c:pt>
                <c:pt idx="146">
                  <c:v>1.5269330000000001E-3</c:v>
                </c:pt>
                <c:pt idx="147">
                  <c:v>1.5326319999999999E-3</c:v>
                </c:pt>
                <c:pt idx="148">
                  <c:v>1.5383180000000001E-3</c:v>
                </c:pt>
                <c:pt idx="149">
                  <c:v>1.543991E-3</c:v>
                </c:pt>
                <c:pt idx="150">
                  <c:v>1.5496520000000001E-3</c:v>
                </c:pt>
                <c:pt idx="151">
                  <c:v>1.5553019999999999E-3</c:v>
                </c:pt>
                <c:pt idx="152">
                  <c:v>1.56094E-3</c:v>
                </c:pt>
                <c:pt idx="153">
                  <c:v>1.566567E-3</c:v>
                </c:pt>
                <c:pt idx="154">
                  <c:v>1.572183E-3</c:v>
                </c:pt>
                <c:pt idx="155">
                  <c:v>1.577789E-3</c:v>
                </c:pt>
                <c:pt idx="156">
                  <c:v>1.583384E-3</c:v>
                </c:pt>
                <c:pt idx="157">
                  <c:v>1.5889700000000001E-3</c:v>
                </c:pt>
                <c:pt idx="158">
                  <c:v>1.5945460000000001E-3</c:v>
                </c:pt>
                <c:pt idx="159">
                  <c:v>1.6001129999999998E-3</c:v>
                </c:pt>
                <c:pt idx="160">
                  <c:v>1.6056710000000001E-3</c:v>
                </c:pt>
                <c:pt idx="161">
                  <c:v>1.61122E-3</c:v>
                </c:pt>
                <c:pt idx="162">
                  <c:v>1.6167600000000001E-3</c:v>
                </c:pt>
                <c:pt idx="163">
                  <c:v>1.622292E-3</c:v>
                </c:pt>
                <c:pt idx="164">
                  <c:v>1.627816E-3</c:v>
                </c:pt>
                <c:pt idx="165">
                  <c:v>1.6333319999999999E-3</c:v>
                </c:pt>
                <c:pt idx="166">
                  <c:v>1.638841E-3</c:v>
                </c:pt>
                <c:pt idx="167">
                  <c:v>1.644342E-3</c:v>
                </c:pt>
                <c:pt idx="168">
                  <c:v>1.6498349999999999E-3</c:v>
                </c:pt>
                <c:pt idx="169">
                  <c:v>1.6553219999999999E-3</c:v>
                </c:pt>
                <c:pt idx="170">
                  <c:v>1.6608009999999999E-3</c:v>
                </c:pt>
                <c:pt idx="171">
                  <c:v>1.6662740000000001E-3</c:v>
                </c:pt>
                <c:pt idx="172">
                  <c:v>1.6717399999999999E-3</c:v>
                </c:pt>
                <c:pt idx="173">
                  <c:v>1.6772E-3</c:v>
                </c:pt>
                <c:pt idx="174">
                  <c:v>1.682654E-3</c:v>
                </c:pt>
                <c:pt idx="175">
                  <c:v>1.688101E-3</c:v>
                </c:pt>
                <c:pt idx="176">
                  <c:v>1.693543E-3</c:v>
                </c:pt>
                <c:pt idx="177">
                  <c:v>1.698979E-3</c:v>
                </c:pt>
                <c:pt idx="178">
                  <c:v>1.704409E-3</c:v>
                </c:pt>
                <c:pt idx="179">
                  <c:v>1.709833E-3</c:v>
                </c:pt>
                <c:pt idx="180">
                  <c:v>1.715252E-3</c:v>
                </c:pt>
                <c:pt idx="181">
                  <c:v>1.720666E-3</c:v>
                </c:pt>
                <c:pt idx="182">
                  <c:v>1.7260750000000001E-3</c:v>
                </c:pt>
                <c:pt idx="183">
                  <c:v>1.731479E-3</c:v>
                </c:pt>
                <c:pt idx="184">
                  <c:v>1.7368779999999999E-3</c:v>
                </c:pt>
                <c:pt idx="185">
                  <c:v>1.742272E-3</c:v>
                </c:pt>
                <c:pt idx="186">
                  <c:v>1.747661E-3</c:v>
                </c:pt>
                <c:pt idx="187">
                  <c:v>1.7530460000000001E-3</c:v>
                </c:pt>
                <c:pt idx="188">
                  <c:v>1.758426E-3</c:v>
                </c:pt>
                <c:pt idx="189">
                  <c:v>1.7638020000000001E-3</c:v>
                </c:pt>
                <c:pt idx="190">
                  <c:v>1.7691740000000001E-3</c:v>
                </c:pt>
                <c:pt idx="191">
                  <c:v>1.7745409999999999E-3</c:v>
                </c:pt>
                <c:pt idx="192">
                  <c:v>1.779905E-3</c:v>
                </c:pt>
                <c:pt idx="193">
                  <c:v>1.7852639999999999E-3</c:v>
                </c:pt>
                <c:pt idx="194">
                  <c:v>1.7906200000000001E-3</c:v>
                </c:pt>
                <c:pt idx="195">
                  <c:v>1.7959709999999999E-3</c:v>
                </c:pt>
                <c:pt idx="196">
                  <c:v>1.8013189999999998E-3</c:v>
                </c:pt>
                <c:pt idx="197">
                  <c:v>1.8066640000000001E-3</c:v>
                </c:pt>
                <c:pt idx="198">
                  <c:v>1.8120039999999999E-3</c:v>
                </c:pt>
                <c:pt idx="199">
                  <c:v>1.817342E-3</c:v>
                </c:pt>
                <c:pt idx="200">
                  <c:v>1.8226749999999999E-3</c:v>
                </c:pt>
                <c:pt idx="201">
                  <c:v>1.8280060000000001E-3</c:v>
                </c:pt>
                <c:pt idx="202">
                  <c:v>1.8333330000000001E-3</c:v>
                </c:pt>
                <c:pt idx="203">
                  <c:v>1.8386570000000001E-3</c:v>
                </c:pt>
                <c:pt idx="204">
                  <c:v>1.8439779999999998E-3</c:v>
                </c:pt>
                <c:pt idx="205">
                  <c:v>1.8492949999999999E-3</c:v>
                </c:pt>
                <c:pt idx="206">
                  <c:v>1.85461E-3</c:v>
                </c:pt>
                <c:pt idx="207">
                  <c:v>1.8599220000000002E-3</c:v>
                </c:pt>
                <c:pt idx="208">
                  <c:v>1.8652310000000002E-3</c:v>
                </c:pt>
                <c:pt idx="209">
                  <c:v>1.8705369999999998E-3</c:v>
                </c:pt>
                <c:pt idx="210">
                  <c:v>1.8758399999999999E-3</c:v>
                </c:pt>
                <c:pt idx="211">
                  <c:v>1.8811400000000001E-3</c:v>
                </c:pt>
                <c:pt idx="212">
                  <c:v>1.886438E-3</c:v>
                </c:pt>
                <c:pt idx="213">
                  <c:v>1.891733E-3</c:v>
                </c:pt>
                <c:pt idx="214">
                  <c:v>1.897026E-3</c:v>
                </c:pt>
                <c:pt idx="215">
                  <c:v>1.9023159999999998E-3</c:v>
                </c:pt>
                <c:pt idx="216">
                  <c:v>1.9076029999999999E-3</c:v>
                </c:pt>
                <c:pt idx="217">
                  <c:v>1.9128890000000001E-3</c:v>
                </c:pt>
                <c:pt idx="218">
                  <c:v>1.918171E-3</c:v>
                </c:pt>
                <c:pt idx="219">
                  <c:v>1.923452E-3</c:v>
                </c:pt>
                <c:pt idx="220">
                  <c:v>1.92873E-3</c:v>
                </c:pt>
                <c:pt idx="221">
                  <c:v>1.9340059999999998E-3</c:v>
                </c:pt>
                <c:pt idx="222">
                  <c:v>1.9392799999999998E-3</c:v>
                </c:pt>
                <c:pt idx="223">
                  <c:v>1.9445509999999999E-3</c:v>
                </c:pt>
                <c:pt idx="224">
                  <c:v>1.949821E-3</c:v>
                </c:pt>
                <c:pt idx="225">
                  <c:v>1.9550879999999998E-3</c:v>
                </c:pt>
                <c:pt idx="226">
                  <c:v>1.9603530000000002E-3</c:v>
                </c:pt>
                <c:pt idx="227">
                  <c:v>1.9656169999999998E-3</c:v>
                </c:pt>
                <c:pt idx="228">
                  <c:v>1.9708779999999997E-3</c:v>
                </c:pt>
                <c:pt idx="229">
                  <c:v>1.9761370000000002E-3</c:v>
                </c:pt>
                <c:pt idx="230">
                  <c:v>1.9813949999999999E-3</c:v>
                </c:pt>
                <c:pt idx="231">
                  <c:v>1.9866509999999999E-3</c:v>
                </c:pt>
                <c:pt idx="232">
                  <c:v>1.9919040000000001E-3</c:v>
                </c:pt>
                <c:pt idx="233">
                  <c:v>1.9971559999999999E-3</c:v>
                </c:pt>
                <c:pt idx="234">
                  <c:v>2.0024069999999999E-3</c:v>
                </c:pt>
                <c:pt idx="235">
                  <c:v>2.0076550000000001E-3</c:v>
                </c:pt>
                <c:pt idx="236">
                  <c:v>2.012902E-3</c:v>
                </c:pt>
                <c:pt idx="237">
                  <c:v>2.0181470000000001E-3</c:v>
                </c:pt>
                <c:pt idx="238">
                  <c:v>2.0233899999999999E-3</c:v>
                </c:pt>
                <c:pt idx="239">
                  <c:v>2.0286319999999998E-3</c:v>
                </c:pt>
                <c:pt idx="240">
                  <c:v>2.0338729999999998E-3</c:v>
                </c:pt>
                <c:pt idx="241">
                  <c:v>2.0391110000000001E-3</c:v>
                </c:pt>
                <c:pt idx="242">
                  <c:v>2.0443479999999997E-3</c:v>
                </c:pt>
                <c:pt idx="243">
                  <c:v>2.0495839999999997E-3</c:v>
                </c:pt>
                <c:pt idx="244">
                  <c:v>2.0548179999999999E-3</c:v>
                </c:pt>
                <c:pt idx="245">
                  <c:v>2.0600510000000002E-3</c:v>
                </c:pt>
                <c:pt idx="246">
                  <c:v>2.0652819999999999E-3</c:v>
                </c:pt>
                <c:pt idx="247">
                  <c:v>2.070512E-3</c:v>
                </c:pt>
                <c:pt idx="248">
                  <c:v>2.0757409999999999E-3</c:v>
                </c:pt>
                <c:pt idx="249">
                  <c:v>2.0809679999999999E-3</c:v>
                </c:pt>
                <c:pt idx="250">
                  <c:v>2.086194E-3</c:v>
                </c:pt>
                <c:pt idx="251">
                  <c:v>2.0910519999999999E-3</c:v>
                </c:pt>
                <c:pt idx="252">
                  <c:v>2.0956100000000004E-3</c:v>
                </c:pt>
                <c:pt idx="253">
                  <c:v>2.0999729999999998E-3</c:v>
                </c:pt>
                <c:pt idx="254">
                  <c:v>2.1041810000000001E-3</c:v>
                </c:pt>
                <c:pt idx="255">
                  <c:v>2.1082570000000001E-3</c:v>
                </c:pt>
                <c:pt idx="256">
                  <c:v>2.1122160000000001E-3</c:v>
                </c:pt>
                <c:pt idx="257">
                  <c:v>2.1160689999999999E-3</c:v>
                </c:pt>
                <c:pt idx="258">
                  <c:v>2.1198269999999999E-3</c:v>
                </c:pt>
                <c:pt idx="259">
                  <c:v>2.123495E-3</c:v>
                </c:pt>
                <c:pt idx="260">
                  <c:v>2.1270799999999999E-3</c:v>
                </c:pt>
                <c:pt idx="261">
                  <c:v>2.1305880000000001E-3</c:v>
                </c:pt>
                <c:pt idx="262">
                  <c:v>2.1340230000000001E-3</c:v>
                </c:pt>
                <c:pt idx="263">
                  <c:v>2.137388E-3</c:v>
                </c:pt>
                <c:pt idx="264">
                  <c:v>2.1406869999999996E-3</c:v>
                </c:pt>
                <c:pt idx="265">
                  <c:v>2.1439240000000002E-3</c:v>
                </c:pt>
                <c:pt idx="266">
                  <c:v>2.1471010000000002E-3</c:v>
                </c:pt>
                <c:pt idx="267">
                  <c:v>2.1502210000000003E-3</c:v>
                </c:pt>
                <c:pt idx="268">
                  <c:v>2.1532859999999999E-3</c:v>
                </c:pt>
                <c:pt idx="269">
                  <c:v>2.1562980000000001E-3</c:v>
                </c:pt>
                <c:pt idx="270">
                  <c:v>2.1592600000000001E-3</c:v>
                </c:pt>
                <c:pt idx="271">
                  <c:v>2.1621730000000003E-3</c:v>
                </c:pt>
                <c:pt idx="272">
                  <c:v>2.1650380000000002E-3</c:v>
                </c:pt>
                <c:pt idx="273">
                  <c:v>2.1678579999999999E-3</c:v>
                </c:pt>
                <c:pt idx="274">
                  <c:v>2.1706349999999998E-3</c:v>
                </c:pt>
                <c:pt idx="275">
                  <c:v>2.1733680000000002E-3</c:v>
                </c:pt>
                <c:pt idx="276">
                  <c:v>2.176061E-3</c:v>
                </c:pt>
                <c:pt idx="277">
                  <c:v>2.1787130000000001E-3</c:v>
                </c:pt>
                <c:pt idx="278">
                  <c:v>2.1813269999999998E-3</c:v>
                </c:pt>
                <c:pt idx="279">
                  <c:v>2.1839030000000001E-3</c:v>
                </c:pt>
                <c:pt idx="280">
                  <c:v>2.1864430000000002E-3</c:v>
                </c:pt>
                <c:pt idx="281">
                  <c:v>2.1889470000000001E-3</c:v>
                </c:pt>
                <c:pt idx="282">
                  <c:v>2.1914159999999999E-3</c:v>
                </c:pt>
                <c:pt idx="283">
                  <c:v>2.193852E-3</c:v>
                </c:pt>
                <c:pt idx="284">
                  <c:v>2.1962549999999998E-3</c:v>
                </c:pt>
                <c:pt idx="285">
                  <c:v>2.198626E-3</c:v>
                </c:pt>
                <c:pt idx="286">
                  <c:v>2.2009660000000004E-3</c:v>
                </c:pt>
                <c:pt idx="287">
                  <c:v>2.2032759999999997E-3</c:v>
                </c:pt>
                <c:pt idx="288">
                  <c:v>2.205556E-3</c:v>
                </c:pt>
                <c:pt idx="289">
                  <c:v>2.207807E-3</c:v>
                </c:pt>
                <c:pt idx="290">
                  <c:v>2.21003E-3</c:v>
                </c:pt>
                <c:pt idx="291">
                  <c:v>2.2122259999999999E-3</c:v>
                </c:pt>
                <c:pt idx="292">
                  <c:v>2.2143950000000001E-3</c:v>
                </c:pt>
                <c:pt idx="293">
                  <c:v>2.2165370000000002E-3</c:v>
                </c:pt>
                <c:pt idx="294">
                  <c:v>2.218654E-3</c:v>
                </c:pt>
                <c:pt idx="295">
                  <c:v>2.220746E-3</c:v>
                </c:pt>
                <c:pt idx="296">
                  <c:v>2.2228130000000001E-3</c:v>
                </c:pt>
                <c:pt idx="297">
                  <c:v>2.2248559999999999E-3</c:v>
                </c:pt>
                <c:pt idx="298">
                  <c:v>2.2268750000000001E-3</c:v>
                </c:pt>
                <c:pt idx="299">
                  <c:v>2.2288719999999998E-3</c:v>
                </c:pt>
                <c:pt idx="300">
                  <c:v>2.2308460000000003E-3</c:v>
                </c:pt>
                <c:pt idx="301">
                  <c:v>2.2327979999999998E-3</c:v>
                </c:pt>
                <c:pt idx="302">
                  <c:v>2.2347280000000001E-3</c:v>
                </c:pt>
                <c:pt idx="303">
                  <c:v>2.2366370000000001E-3</c:v>
                </c:pt>
                <c:pt idx="304">
                  <c:v>2.2385249999999999E-3</c:v>
                </c:pt>
                <c:pt idx="305">
                  <c:v>2.2403930000000002E-3</c:v>
                </c:pt>
                <c:pt idx="306">
                  <c:v>2.2422409999999999E-3</c:v>
                </c:pt>
                <c:pt idx="307">
                  <c:v>2.2440699999999999E-3</c:v>
                </c:pt>
                <c:pt idx="308">
                  <c:v>2.2458790000000001E-3</c:v>
                </c:pt>
                <c:pt idx="309">
                  <c:v>2.2476690000000003E-3</c:v>
                </c:pt>
                <c:pt idx="310">
                  <c:v>2.249441E-3</c:v>
                </c:pt>
                <c:pt idx="311">
                  <c:v>2.2511950000000001E-3</c:v>
                </c:pt>
                <c:pt idx="312">
                  <c:v>2.2529309999999997E-3</c:v>
                </c:pt>
                <c:pt idx="313">
                  <c:v>2.2546490000000001E-3</c:v>
                </c:pt>
                <c:pt idx="314">
                  <c:v>2.2563510000000002E-3</c:v>
                </c:pt>
                <c:pt idx="315">
                  <c:v>2.2580349999999998E-3</c:v>
                </c:pt>
                <c:pt idx="316">
                  <c:v>2.2597030000000001E-3</c:v>
                </c:pt>
                <c:pt idx="317">
                  <c:v>2.261355E-3</c:v>
                </c:pt>
                <c:pt idx="318">
                  <c:v>2.2629899999999999E-3</c:v>
                </c:pt>
                <c:pt idx="319">
                  <c:v>2.2646099999999998E-3</c:v>
                </c:pt>
                <c:pt idx="320">
                  <c:v>2.2662149999999998E-3</c:v>
                </c:pt>
                <c:pt idx="321">
                  <c:v>2.267804E-3</c:v>
                </c:pt>
                <c:pt idx="322">
                  <c:v>2.2693789999999998E-3</c:v>
                </c:pt>
                <c:pt idx="323">
                  <c:v>2.270939E-3</c:v>
                </c:pt>
                <c:pt idx="324">
                  <c:v>2.272484E-3</c:v>
                </c:pt>
                <c:pt idx="325">
                  <c:v>2.2740160000000002E-3</c:v>
                </c:pt>
                <c:pt idx="326">
                  <c:v>2.2755329999999997E-3</c:v>
                </c:pt>
                <c:pt idx="327">
                  <c:v>2.277037E-3</c:v>
                </c:pt>
                <c:pt idx="328">
                  <c:v>2.2785269999999998E-3</c:v>
                </c:pt>
                <c:pt idx="329">
                  <c:v>2.280004E-3</c:v>
                </c:pt>
                <c:pt idx="330">
                  <c:v>2.281468E-3</c:v>
                </c:pt>
                <c:pt idx="331">
                  <c:v>2.282919E-3</c:v>
                </c:pt>
                <c:pt idx="332">
                  <c:v>2.2843580000000002E-3</c:v>
                </c:pt>
                <c:pt idx="333">
                  <c:v>2.2857839999999999E-3</c:v>
                </c:pt>
                <c:pt idx="334">
                  <c:v>2.2871969999999999E-3</c:v>
                </c:pt>
                <c:pt idx="335">
                  <c:v>2.2885990000000001E-3</c:v>
                </c:pt>
                <c:pt idx="336">
                  <c:v>2.2899889999999997E-3</c:v>
                </c:pt>
                <c:pt idx="337">
                  <c:v>2.2913670000000003E-3</c:v>
                </c:pt>
                <c:pt idx="338">
                  <c:v>2.2927339999999998E-3</c:v>
                </c:pt>
                <c:pt idx="339">
                  <c:v>2.2940900000000004E-3</c:v>
                </c:pt>
                <c:pt idx="340">
                  <c:v>2.2954340000000003E-3</c:v>
                </c:pt>
                <c:pt idx="341">
                  <c:v>2.2967669999999999E-3</c:v>
                </c:pt>
                <c:pt idx="342">
                  <c:v>2.29809E-3</c:v>
                </c:pt>
                <c:pt idx="343">
                  <c:v>2.299401E-3</c:v>
                </c:pt>
                <c:pt idx="344">
                  <c:v>2.3007029999999999E-3</c:v>
                </c:pt>
                <c:pt idx="345">
                  <c:v>2.3019939999999999E-3</c:v>
                </c:pt>
                <c:pt idx="346">
                  <c:v>2.303275E-3</c:v>
                </c:pt>
                <c:pt idx="347">
                  <c:v>2.3045449999999999E-3</c:v>
                </c:pt>
                <c:pt idx="348">
                  <c:v>2.3058060000000001E-3</c:v>
                </c:pt>
                <c:pt idx="349">
                  <c:v>2.3070569999999999E-3</c:v>
                </c:pt>
                <c:pt idx="350">
                  <c:v>2.3082989999999998E-3</c:v>
                </c:pt>
                <c:pt idx="351">
                  <c:v>2.3095309999999997E-3</c:v>
                </c:pt>
                <c:pt idx="352">
                  <c:v>2.310753E-3</c:v>
                </c:pt>
                <c:pt idx="353">
                  <c:v>2.3119670000000003E-3</c:v>
                </c:pt>
                <c:pt idx="354">
                  <c:v>2.3131710000000002E-3</c:v>
                </c:pt>
                <c:pt idx="355">
                  <c:v>2.3143669999999999E-3</c:v>
                </c:pt>
                <c:pt idx="356">
                  <c:v>2.3155530000000001E-3</c:v>
                </c:pt>
                <c:pt idx="357">
                  <c:v>2.3167309999999998E-3</c:v>
                </c:pt>
                <c:pt idx="358">
                  <c:v>2.3178999999999999E-3</c:v>
                </c:pt>
                <c:pt idx="359">
                  <c:v>2.3190609999999999E-3</c:v>
                </c:pt>
                <c:pt idx="360">
                  <c:v>2.3202140000000001E-3</c:v>
                </c:pt>
                <c:pt idx="361">
                  <c:v>2.3213579999999999E-3</c:v>
                </c:pt>
                <c:pt idx="362">
                  <c:v>2.322494E-3</c:v>
                </c:pt>
                <c:pt idx="363">
                  <c:v>2.323622E-3</c:v>
                </c:pt>
                <c:pt idx="364">
                  <c:v>2.3247420000000003E-3</c:v>
                </c:pt>
                <c:pt idx="365">
                  <c:v>2.325854E-3</c:v>
                </c:pt>
                <c:pt idx="366">
                  <c:v>2.326959E-3</c:v>
                </c:pt>
                <c:pt idx="367">
                  <c:v>2.3280560000000002E-3</c:v>
                </c:pt>
                <c:pt idx="368">
                  <c:v>2.3291460000000003E-3</c:v>
                </c:pt>
                <c:pt idx="369">
                  <c:v>2.3302280000000002E-3</c:v>
                </c:pt>
                <c:pt idx="370">
                  <c:v>2.3313019999999999E-3</c:v>
                </c:pt>
                <c:pt idx="371">
                  <c:v>2.3323699999999998E-3</c:v>
                </c:pt>
                <c:pt idx="372">
                  <c:v>2.3334300000000001E-3</c:v>
                </c:pt>
                <c:pt idx="373">
                  <c:v>2.334484E-3</c:v>
                </c:pt>
                <c:pt idx="374">
                  <c:v>2.3355299999999997E-3</c:v>
                </c:pt>
                <c:pt idx="375">
                  <c:v>2.3365700000000001E-3</c:v>
                </c:pt>
                <c:pt idx="376">
                  <c:v>2.3376030000000002E-3</c:v>
                </c:pt>
                <c:pt idx="377">
                  <c:v>2.3386290000000001E-3</c:v>
                </c:pt>
                <c:pt idx="378">
                  <c:v>2.3396480000000002E-3</c:v>
                </c:pt>
                <c:pt idx="379">
                  <c:v>2.340661E-3</c:v>
                </c:pt>
                <c:pt idx="380">
                  <c:v>2.3416679999999999E-3</c:v>
                </c:pt>
                <c:pt idx="381">
                  <c:v>2.342668E-3</c:v>
                </c:pt>
                <c:pt idx="382">
                  <c:v>2.3436620000000003E-3</c:v>
                </c:pt>
                <c:pt idx="383">
                  <c:v>2.3446500000000002E-3</c:v>
                </c:pt>
                <c:pt idx="384">
                  <c:v>2.3456309999999999E-3</c:v>
                </c:pt>
                <c:pt idx="385">
                  <c:v>2.3466070000000001E-3</c:v>
                </c:pt>
                <c:pt idx="386">
                  <c:v>2.347577E-3</c:v>
                </c:pt>
                <c:pt idx="387">
                  <c:v>2.3485399999999997E-3</c:v>
                </c:pt>
                <c:pt idx="388">
                  <c:v>2.3494980000000002E-3</c:v>
                </c:pt>
                <c:pt idx="389">
                  <c:v>2.35045E-3</c:v>
                </c:pt>
                <c:pt idx="390">
                  <c:v>2.3513969999999999E-3</c:v>
                </c:pt>
                <c:pt idx="391">
                  <c:v>2.3523379999999998E-3</c:v>
                </c:pt>
                <c:pt idx="392">
                  <c:v>2.3532730000000003E-3</c:v>
                </c:pt>
                <c:pt idx="393">
                  <c:v>2.354203E-3</c:v>
                </c:pt>
                <c:pt idx="394">
                  <c:v>2.3551269999999998E-3</c:v>
                </c:pt>
                <c:pt idx="395">
                  <c:v>2.3560460000000001E-3</c:v>
                </c:pt>
                <c:pt idx="396">
                  <c:v>2.35696E-3</c:v>
                </c:pt>
                <c:pt idx="397">
                  <c:v>2.3578679999999999E-3</c:v>
                </c:pt>
                <c:pt idx="398">
                  <c:v>2.358771E-3</c:v>
                </c:pt>
                <c:pt idx="399">
                  <c:v>2.359669E-3</c:v>
                </c:pt>
                <c:pt idx="400">
                  <c:v>2.3605619999999996E-3</c:v>
                </c:pt>
                <c:pt idx="401">
                  <c:v>2.3614510000000001E-3</c:v>
                </c:pt>
                <c:pt idx="402">
                  <c:v>2.3623340000000002E-3</c:v>
                </c:pt>
                <c:pt idx="403">
                  <c:v>2.363212E-3</c:v>
                </c:pt>
                <c:pt idx="404">
                  <c:v>2.3640850000000001E-3</c:v>
                </c:pt>
                <c:pt idx="405">
                  <c:v>2.3649539999999998E-3</c:v>
                </c:pt>
                <c:pt idx="406">
                  <c:v>2.365818E-3</c:v>
                </c:pt>
                <c:pt idx="407">
                  <c:v>2.3666770000000002E-3</c:v>
                </c:pt>
                <c:pt idx="408">
                  <c:v>2.3675320000000003E-3</c:v>
                </c:pt>
                <c:pt idx="409">
                  <c:v>2.368382E-3</c:v>
                </c:pt>
                <c:pt idx="410">
                  <c:v>2.3692269999999998E-3</c:v>
                </c:pt>
                <c:pt idx="411">
                  <c:v>2.3700679999999999E-3</c:v>
                </c:pt>
                <c:pt idx="412">
                  <c:v>2.370905E-3</c:v>
                </c:pt>
                <c:pt idx="413">
                  <c:v>2.3717370000000001E-3</c:v>
                </c:pt>
                <c:pt idx="414">
                  <c:v>2.3725649999999997E-3</c:v>
                </c:pt>
                <c:pt idx="415">
                  <c:v>2.3733890000000001E-3</c:v>
                </c:pt>
                <c:pt idx="416">
                  <c:v>2.374209E-3</c:v>
                </c:pt>
                <c:pt idx="417">
                  <c:v>2.3750239999999999E-3</c:v>
                </c:pt>
                <c:pt idx="418">
                  <c:v>2.3758349999999998E-3</c:v>
                </c:pt>
                <c:pt idx="419">
                  <c:v>2.376642E-3</c:v>
                </c:pt>
                <c:pt idx="420">
                  <c:v>2.3774449999999997E-3</c:v>
                </c:pt>
                <c:pt idx="421">
                  <c:v>2.3782439999999998E-3</c:v>
                </c:pt>
                <c:pt idx="422">
                  <c:v>2.3790390000000003E-3</c:v>
                </c:pt>
                <c:pt idx="423">
                  <c:v>2.3798309999999998E-3</c:v>
                </c:pt>
                <c:pt idx="424">
                  <c:v>2.3806180000000001E-3</c:v>
                </c:pt>
                <c:pt idx="425">
                  <c:v>2.381401E-3</c:v>
                </c:pt>
                <c:pt idx="426">
                  <c:v>2.3821810000000001E-3</c:v>
                </c:pt>
                <c:pt idx="427">
                  <c:v>2.3829570000000002E-3</c:v>
                </c:pt>
                <c:pt idx="428">
                  <c:v>2.3837290000000002E-3</c:v>
                </c:pt>
                <c:pt idx="429">
                  <c:v>2.3844979999999997E-3</c:v>
                </c:pt>
                <c:pt idx="430">
                  <c:v>2.3852630000000003E-3</c:v>
                </c:pt>
                <c:pt idx="431">
                  <c:v>2.386024E-3</c:v>
                </c:pt>
                <c:pt idx="432">
                  <c:v>2.3867820000000001E-3</c:v>
                </c:pt>
                <c:pt idx="433">
                  <c:v>2.387536E-3</c:v>
                </c:pt>
                <c:pt idx="434">
                  <c:v>2.3882870000000002E-3</c:v>
                </c:pt>
                <c:pt idx="435">
                  <c:v>2.3890339999999999E-3</c:v>
                </c:pt>
                <c:pt idx="436">
                  <c:v>2.3897780000000004E-3</c:v>
                </c:pt>
                <c:pt idx="437">
                  <c:v>2.3905180000000003E-3</c:v>
                </c:pt>
                <c:pt idx="438">
                  <c:v>2.3912550000000001E-3</c:v>
                </c:pt>
                <c:pt idx="439">
                  <c:v>2.3919890000000002E-3</c:v>
                </c:pt>
                <c:pt idx="440">
                  <c:v>2.3927200000000001E-3</c:v>
                </c:pt>
                <c:pt idx="441">
                  <c:v>2.3934469999999999E-3</c:v>
                </c:pt>
                <c:pt idx="442">
                  <c:v>2.3941710000000001E-3</c:v>
                </c:pt>
                <c:pt idx="443">
                  <c:v>2.394892E-3</c:v>
                </c:pt>
                <c:pt idx="444">
                  <c:v>2.3956099999999998E-3</c:v>
                </c:pt>
                <c:pt idx="445">
                  <c:v>2.3963249999999999E-3</c:v>
                </c:pt>
                <c:pt idx="446">
                  <c:v>2.397036E-3</c:v>
                </c:pt>
                <c:pt idx="447">
                  <c:v>2.3977450000000002E-3</c:v>
                </c:pt>
                <c:pt idx="448">
                  <c:v>2.3984499999999999E-3</c:v>
                </c:pt>
                <c:pt idx="449">
                  <c:v>2.3991530000000002E-3</c:v>
                </c:pt>
                <c:pt idx="450">
                  <c:v>2.3998520000000001E-3</c:v>
                </c:pt>
                <c:pt idx="451">
                  <c:v>2.4005489999999997E-3</c:v>
                </c:pt>
                <c:pt idx="452">
                  <c:v>2.401242E-3</c:v>
                </c:pt>
                <c:pt idx="453">
                  <c:v>2.4019330000000002E-3</c:v>
                </c:pt>
                <c:pt idx="454">
                  <c:v>2.4026209999999997E-3</c:v>
                </c:pt>
                <c:pt idx="455">
                  <c:v>2.403306E-3</c:v>
                </c:pt>
                <c:pt idx="456">
                  <c:v>2.4039880000000001E-3</c:v>
                </c:pt>
                <c:pt idx="457">
                  <c:v>2.404668E-3</c:v>
                </c:pt>
                <c:pt idx="458">
                  <c:v>2.4053450000000001E-3</c:v>
                </c:pt>
                <c:pt idx="459">
                  <c:v>2.4060190000000001E-3</c:v>
                </c:pt>
                <c:pt idx="460">
                  <c:v>2.4066900000000004E-3</c:v>
                </c:pt>
                <c:pt idx="461">
                  <c:v>2.407359E-3</c:v>
                </c:pt>
                <c:pt idx="462">
                  <c:v>2.4080249999999998E-3</c:v>
                </c:pt>
                <c:pt idx="463">
                  <c:v>2.4086889999999999E-3</c:v>
                </c:pt>
                <c:pt idx="464">
                  <c:v>2.4093490000000003E-3</c:v>
                </c:pt>
                <c:pt idx="465">
                  <c:v>2.4100079999999999E-3</c:v>
                </c:pt>
                <c:pt idx="466">
                  <c:v>2.4106640000000003E-3</c:v>
                </c:pt>
                <c:pt idx="467">
                  <c:v>2.4113170000000001E-3</c:v>
                </c:pt>
                <c:pt idx="468">
                  <c:v>2.411968E-3</c:v>
                </c:pt>
                <c:pt idx="469">
                  <c:v>2.4126159999999998E-3</c:v>
                </c:pt>
                <c:pt idx="470">
                  <c:v>2.4132620000000002E-3</c:v>
                </c:pt>
                <c:pt idx="471">
                  <c:v>2.413905E-3</c:v>
                </c:pt>
                <c:pt idx="472">
                  <c:v>2.4145460000000001E-3</c:v>
                </c:pt>
                <c:pt idx="473">
                  <c:v>2.4151850000000002E-3</c:v>
                </c:pt>
                <c:pt idx="474">
                  <c:v>2.4158210000000003E-3</c:v>
                </c:pt>
                <c:pt idx="475">
                  <c:v>2.4164550000000001E-3</c:v>
                </c:pt>
                <c:pt idx="476">
                  <c:v>2.4170870000000001E-3</c:v>
                </c:pt>
                <c:pt idx="477">
                  <c:v>2.4177159999999999E-3</c:v>
                </c:pt>
                <c:pt idx="478">
                  <c:v>2.4183430000000003E-3</c:v>
                </c:pt>
                <c:pt idx="479">
                  <c:v>2.4189680000000001E-3</c:v>
                </c:pt>
                <c:pt idx="480">
                  <c:v>2.4195900000000001E-3</c:v>
                </c:pt>
                <c:pt idx="481">
                  <c:v>2.4202110000000002E-3</c:v>
                </c:pt>
                <c:pt idx="482">
                  <c:v>2.4208289999999998E-3</c:v>
                </c:pt>
                <c:pt idx="483">
                  <c:v>2.4214449999999999E-3</c:v>
                </c:pt>
                <c:pt idx="484">
                  <c:v>2.4220589999999998E-3</c:v>
                </c:pt>
                <c:pt idx="485">
                  <c:v>2.42267E-3</c:v>
                </c:pt>
                <c:pt idx="486">
                  <c:v>2.4232800000000003E-3</c:v>
                </c:pt>
                <c:pt idx="487">
                  <c:v>2.423887E-3</c:v>
                </c:pt>
                <c:pt idx="488">
                  <c:v>2.4244930000000002E-3</c:v>
                </c:pt>
                <c:pt idx="489">
                  <c:v>2.4250959999999998E-3</c:v>
                </c:pt>
                <c:pt idx="490">
                  <c:v>2.4256970000000001E-3</c:v>
                </c:pt>
                <c:pt idx="491">
                  <c:v>2.426297E-3</c:v>
                </c:pt>
                <c:pt idx="492">
                  <c:v>2.4268939999999998E-3</c:v>
                </c:pt>
                <c:pt idx="493">
                  <c:v>2.4274890000000001E-3</c:v>
                </c:pt>
                <c:pt idx="494">
                  <c:v>2.4280830000000002E-3</c:v>
                </c:pt>
                <c:pt idx="495">
                  <c:v>2.428674E-3</c:v>
                </c:pt>
                <c:pt idx="496">
                  <c:v>2.4292630000000001E-3</c:v>
                </c:pt>
                <c:pt idx="497">
                  <c:v>2.4298510000000002E-3</c:v>
                </c:pt>
                <c:pt idx="498">
                  <c:v>2.4304370000000001E-3</c:v>
                </c:pt>
                <c:pt idx="499">
                  <c:v>2.4310200000000003E-3</c:v>
                </c:pt>
                <c:pt idx="500">
                  <c:v>2.4316019999999997E-3</c:v>
                </c:pt>
                <c:pt idx="501">
                  <c:v>2.4321820000000002E-3</c:v>
                </c:pt>
                <c:pt idx="502">
                  <c:v>2.43276E-3</c:v>
                </c:pt>
                <c:pt idx="503">
                  <c:v>2.4333369999999998E-3</c:v>
                </c:pt>
                <c:pt idx="504">
                  <c:v>2.433911E-3</c:v>
                </c:pt>
                <c:pt idx="505">
                  <c:v>2.4344839999999998E-3</c:v>
                </c:pt>
                <c:pt idx="506">
                  <c:v>2.4350550000000002E-3</c:v>
                </c:pt>
                <c:pt idx="507">
                  <c:v>2.4356239999999999E-3</c:v>
                </c:pt>
                <c:pt idx="508">
                  <c:v>2.4361920000000002E-3</c:v>
                </c:pt>
                <c:pt idx="509">
                  <c:v>2.4367569999999999E-3</c:v>
                </c:pt>
                <c:pt idx="510">
                  <c:v>2.4373209999999997E-3</c:v>
                </c:pt>
                <c:pt idx="511">
                  <c:v>2.437884E-3</c:v>
                </c:pt>
                <c:pt idx="512">
                  <c:v>2.4384440000000001E-3</c:v>
                </c:pt>
                <c:pt idx="513">
                  <c:v>2.4390029999999999E-3</c:v>
                </c:pt>
                <c:pt idx="514">
                  <c:v>2.4395609999999998E-3</c:v>
                </c:pt>
                <c:pt idx="515">
                  <c:v>2.440116E-3</c:v>
                </c:pt>
                <c:pt idx="516">
                  <c:v>2.4406699999999998E-3</c:v>
                </c:pt>
                <c:pt idx="517">
                  <c:v>2.4412229999999997E-3</c:v>
                </c:pt>
                <c:pt idx="518">
                  <c:v>2.4417740000000003E-3</c:v>
                </c:pt>
                <c:pt idx="519">
                  <c:v>2.4423230000000002E-3</c:v>
                </c:pt>
                <c:pt idx="520">
                  <c:v>2.4428709999999997E-3</c:v>
                </c:pt>
                <c:pt idx="521">
                  <c:v>2.4434170000000002E-3</c:v>
                </c:pt>
                <c:pt idx="522">
                  <c:v>2.4439609999999997E-3</c:v>
                </c:pt>
                <c:pt idx="523">
                  <c:v>2.4445039999999997E-3</c:v>
                </c:pt>
                <c:pt idx="524">
                  <c:v>2.4450460000000002E-3</c:v>
                </c:pt>
                <c:pt idx="525">
                  <c:v>2.4455849999999997E-3</c:v>
                </c:pt>
                <c:pt idx="526">
                  <c:v>2.446124E-3</c:v>
                </c:pt>
                <c:pt idx="527">
                  <c:v>2.4466610000000001E-3</c:v>
                </c:pt>
                <c:pt idx="528">
                  <c:v>2.447196E-3</c:v>
                </c:pt>
                <c:pt idx="529">
                  <c:v>2.44773E-3</c:v>
                </c:pt>
                <c:pt idx="530">
                  <c:v>2.448263E-3</c:v>
                </c:pt>
                <c:pt idx="531">
                  <c:v>2.4487939999999998E-3</c:v>
                </c:pt>
                <c:pt idx="532">
                  <c:v>2.4493239999999997E-3</c:v>
                </c:pt>
                <c:pt idx="533">
                  <c:v>2.4498519999999998E-3</c:v>
                </c:pt>
                <c:pt idx="534">
                  <c:v>2.4503789999999999E-3</c:v>
                </c:pt>
                <c:pt idx="535">
                  <c:v>2.4509039999999998E-3</c:v>
                </c:pt>
                <c:pt idx="536">
                  <c:v>2.4514279999999999E-3</c:v>
                </c:pt>
                <c:pt idx="537">
                  <c:v>2.4519510000000004E-3</c:v>
                </c:pt>
                <c:pt idx="538">
                  <c:v>2.4524720000000002E-3</c:v>
                </c:pt>
                <c:pt idx="539">
                  <c:v>2.4529920000000002E-3</c:v>
                </c:pt>
                <c:pt idx="540">
                  <c:v>2.4535110000000002E-3</c:v>
                </c:pt>
                <c:pt idx="541">
                  <c:v>2.454028E-3</c:v>
                </c:pt>
                <c:pt idx="542">
                  <c:v>2.4545439999999999E-3</c:v>
                </c:pt>
                <c:pt idx="543">
                  <c:v>2.4550589999999999E-3</c:v>
                </c:pt>
                <c:pt idx="544">
                  <c:v>2.455572E-3</c:v>
                </c:pt>
                <c:pt idx="545">
                  <c:v>2.4560840000000003E-3</c:v>
                </c:pt>
                <c:pt idx="546">
                  <c:v>2.4565950000000002E-3</c:v>
                </c:pt>
                <c:pt idx="547">
                  <c:v>2.4571049999999998E-3</c:v>
                </c:pt>
                <c:pt idx="548">
                  <c:v>2.457613E-3</c:v>
                </c:pt>
                <c:pt idx="549">
                  <c:v>2.4581200000000003E-3</c:v>
                </c:pt>
                <c:pt idx="550">
                  <c:v>2.4586260000000002E-3</c:v>
                </c:pt>
                <c:pt idx="551">
                  <c:v>2.4591299999999999E-3</c:v>
                </c:pt>
                <c:pt idx="552">
                  <c:v>2.4596330000000001E-3</c:v>
                </c:pt>
                <c:pt idx="553">
                  <c:v>2.4601359999999999E-3</c:v>
                </c:pt>
                <c:pt idx="554">
                  <c:v>2.460636E-3</c:v>
                </c:pt>
                <c:pt idx="555">
                  <c:v>2.4611360000000001E-3</c:v>
                </c:pt>
                <c:pt idx="556">
                  <c:v>2.4616349999999998E-3</c:v>
                </c:pt>
                <c:pt idx="557">
                  <c:v>2.4621320000000001E-3</c:v>
                </c:pt>
                <c:pt idx="558">
                  <c:v>2.4626280000000001E-3</c:v>
                </c:pt>
                <c:pt idx="559">
                  <c:v>2.4631229999999998E-3</c:v>
                </c:pt>
                <c:pt idx="560">
                  <c:v>2.463617E-3</c:v>
                </c:pt>
                <c:pt idx="561">
                  <c:v>2.4641099999999998E-3</c:v>
                </c:pt>
                <c:pt idx="562">
                  <c:v>2.4646009999999999E-3</c:v>
                </c:pt>
                <c:pt idx="563">
                  <c:v>2.4650919999999999E-3</c:v>
                </c:pt>
                <c:pt idx="564">
                  <c:v>2.4655809999999997E-3</c:v>
                </c:pt>
                <c:pt idx="565">
                  <c:v>2.466069E-3</c:v>
                </c:pt>
                <c:pt idx="566">
                  <c:v>2.4665569999999999E-3</c:v>
                </c:pt>
                <c:pt idx="567">
                  <c:v>2.4670429999999999E-3</c:v>
                </c:pt>
                <c:pt idx="568">
                  <c:v>2.4675280000000001E-3</c:v>
                </c:pt>
                <c:pt idx="569">
                  <c:v>2.468011E-3</c:v>
                </c:pt>
                <c:pt idx="570">
                  <c:v>2.4684940000000003E-3</c:v>
                </c:pt>
                <c:pt idx="571">
                  <c:v>2.4689759999999999E-3</c:v>
                </c:pt>
                <c:pt idx="572">
                  <c:v>2.469457E-3</c:v>
                </c:pt>
                <c:pt idx="573">
                  <c:v>2.4699360000000003E-3</c:v>
                </c:pt>
                <c:pt idx="574">
                  <c:v>2.4704150000000001E-3</c:v>
                </c:pt>
                <c:pt idx="575">
                  <c:v>2.4708929999999996E-3</c:v>
                </c:pt>
                <c:pt idx="576">
                  <c:v>2.4713690000000002E-3</c:v>
                </c:pt>
                <c:pt idx="577">
                  <c:v>2.4718449999999999E-3</c:v>
                </c:pt>
                <c:pt idx="578">
                  <c:v>2.4723190000000002E-3</c:v>
                </c:pt>
                <c:pt idx="579">
                  <c:v>2.4727929999999996E-3</c:v>
                </c:pt>
                <c:pt idx="580">
                  <c:v>2.473266E-3</c:v>
                </c:pt>
                <c:pt idx="581">
                  <c:v>2.4737369999999997E-3</c:v>
                </c:pt>
                <c:pt idx="582">
                  <c:v>2.4742079999999999E-3</c:v>
                </c:pt>
                <c:pt idx="583">
                  <c:v>2.4746769999999998E-3</c:v>
                </c:pt>
                <c:pt idx="584">
                  <c:v>2.4751460000000001E-3</c:v>
                </c:pt>
                <c:pt idx="585">
                  <c:v>2.4756140000000001E-3</c:v>
                </c:pt>
                <c:pt idx="586">
                  <c:v>2.4760810000000002E-3</c:v>
                </c:pt>
                <c:pt idx="587">
                  <c:v>2.4765469999999999E-3</c:v>
                </c:pt>
                <c:pt idx="588">
                  <c:v>2.4770109999999999E-3</c:v>
                </c:pt>
                <c:pt idx="589">
                  <c:v>2.4774750000000002E-3</c:v>
                </c:pt>
                <c:pt idx="590">
                  <c:v>2.4779379999999998E-3</c:v>
                </c:pt>
                <c:pt idx="591">
                  <c:v>2.4784009999999999E-3</c:v>
                </c:pt>
                <c:pt idx="592">
                  <c:v>2.4788620000000001E-3</c:v>
                </c:pt>
                <c:pt idx="593">
                  <c:v>2.4793219999999999E-3</c:v>
                </c:pt>
                <c:pt idx="594">
                  <c:v>2.4797820000000003E-3</c:v>
                </c:pt>
                <c:pt idx="595">
                  <c:v>2.4802399999999999E-3</c:v>
                </c:pt>
                <c:pt idx="596">
                  <c:v>2.4806979999999999E-3</c:v>
                </c:pt>
                <c:pt idx="597">
                  <c:v>2.4811550000000001E-3</c:v>
                </c:pt>
                <c:pt idx="598">
                  <c:v>2.4816109999999999E-3</c:v>
                </c:pt>
                <c:pt idx="599">
                  <c:v>2.4820660000000002E-3</c:v>
                </c:pt>
                <c:pt idx="600">
                  <c:v>2.4825200000000002E-3</c:v>
                </c:pt>
                <c:pt idx="601">
                  <c:v>2.4829729999999999E-3</c:v>
                </c:pt>
                <c:pt idx="602">
                  <c:v>2.4834259999999999E-3</c:v>
                </c:pt>
                <c:pt idx="603">
                  <c:v>2.4838770000000002E-3</c:v>
                </c:pt>
                <c:pt idx="604">
                  <c:v>2.4843280000000001E-3</c:v>
                </c:pt>
                <c:pt idx="605">
                  <c:v>2.484778E-3</c:v>
                </c:pt>
                <c:pt idx="606">
                  <c:v>2.485227E-3</c:v>
                </c:pt>
                <c:pt idx="607">
                  <c:v>2.4856750000000001E-3</c:v>
                </c:pt>
                <c:pt idx="608">
                  <c:v>2.4861230000000002E-3</c:v>
                </c:pt>
                <c:pt idx="609">
                  <c:v>2.48657E-3</c:v>
                </c:pt>
                <c:pt idx="610">
                  <c:v>2.4870160000000003E-3</c:v>
                </c:pt>
                <c:pt idx="611">
                  <c:v>2.4874610000000003E-3</c:v>
                </c:pt>
                <c:pt idx="612">
                  <c:v>2.4879049999999999E-3</c:v>
                </c:pt>
                <c:pt idx="613">
                  <c:v>2.4883489999999999E-3</c:v>
                </c:pt>
                <c:pt idx="614">
                  <c:v>2.4887910000000002E-3</c:v>
                </c:pt>
                <c:pt idx="615">
                  <c:v>2.489233E-3</c:v>
                </c:pt>
                <c:pt idx="616">
                  <c:v>2.4896750000000002E-3</c:v>
                </c:pt>
                <c:pt idx="617">
                  <c:v>2.4901149999999998E-3</c:v>
                </c:pt>
                <c:pt idx="618">
                  <c:v>2.4905550000000002E-3</c:v>
                </c:pt>
                <c:pt idx="619">
                  <c:v>2.4909940000000003E-3</c:v>
                </c:pt>
                <c:pt idx="620">
                  <c:v>2.491432E-3</c:v>
                </c:pt>
                <c:pt idx="621">
                  <c:v>2.4918689999999999E-3</c:v>
                </c:pt>
                <c:pt idx="622">
                  <c:v>2.4923060000000001E-3</c:v>
                </c:pt>
                <c:pt idx="623">
                  <c:v>2.4927419999999996E-3</c:v>
                </c:pt>
                <c:pt idx="624">
                  <c:v>2.4931770000000001E-3</c:v>
                </c:pt>
                <c:pt idx="625">
                  <c:v>2.4936120000000001E-3</c:v>
                </c:pt>
                <c:pt idx="626">
                  <c:v>2.4940460000000002E-3</c:v>
                </c:pt>
                <c:pt idx="627">
                  <c:v>2.494479E-3</c:v>
                </c:pt>
                <c:pt idx="628">
                  <c:v>2.4949110000000003E-3</c:v>
                </c:pt>
                <c:pt idx="629">
                  <c:v>2.4953430000000001E-3</c:v>
                </c:pt>
                <c:pt idx="630">
                  <c:v>2.4957740000000001E-3</c:v>
                </c:pt>
                <c:pt idx="631">
                  <c:v>2.4962040000000001E-3</c:v>
                </c:pt>
                <c:pt idx="632">
                  <c:v>2.4966339999999997E-3</c:v>
                </c:pt>
                <c:pt idx="633">
                  <c:v>2.4970629999999999E-3</c:v>
                </c:pt>
                <c:pt idx="634">
                  <c:v>2.4974910000000001E-3</c:v>
                </c:pt>
                <c:pt idx="635">
                  <c:v>2.497918E-3</c:v>
                </c:pt>
                <c:pt idx="636">
                  <c:v>2.4983449999999999E-3</c:v>
                </c:pt>
                <c:pt idx="637">
                  <c:v>2.4987720000000002E-3</c:v>
                </c:pt>
                <c:pt idx="638">
                  <c:v>2.4991970000000003E-3</c:v>
                </c:pt>
                <c:pt idx="639">
                  <c:v>2.499622E-3</c:v>
                </c:pt>
                <c:pt idx="640">
                  <c:v>2.5000460000000001E-3</c:v>
                </c:pt>
                <c:pt idx="641">
                  <c:v>2.5004699999999999E-3</c:v>
                </c:pt>
                <c:pt idx="642">
                  <c:v>2.5008930000000001E-3</c:v>
                </c:pt>
                <c:pt idx="643">
                  <c:v>2.501315E-3</c:v>
                </c:pt>
                <c:pt idx="644">
                  <c:v>2.501737E-3</c:v>
                </c:pt>
                <c:pt idx="645">
                  <c:v>2.502158E-3</c:v>
                </c:pt>
                <c:pt idx="646">
                  <c:v>2.5025780000000001E-3</c:v>
                </c:pt>
                <c:pt idx="647">
                  <c:v>2.5029979999999998E-3</c:v>
                </c:pt>
                <c:pt idx="648">
                  <c:v>2.503417E-3</c:v>
                </c:pt>
                <c:pt idx="649">
                  <c:v>2.5038360000000002E-3</c:v>
                </c:pt>
                <c:pt idx="650">
                  <c:v>2.5042529999999997E-3</c:v>
                </c:pt>
                <c:pt idx="651">
                  <c:v>2.504671E-3</c:v>
                </c:pt>
                <c:pt idx="652">
                  <c:v>2.505087E-3</c:v>
                </c:pt>
                <c:pt idx="653">
                  <c:v>2.505504E-3</c:v>
                </c:pt>
                <c:pt idx="654">
                  <c:v>2.5059190000000001E-3</c:v>
                </c:pt>
                <c:pt idx="655">
                  <c:v>2.5063339999999998E-3</c:v>
                </c:pt>
                <c:pt idx="656">
                  <c:v>2.506748E-3</c:v>
                </c:pt>
                <c:pt idx="657">
                  <c:v>2.5071620000000003E-3</c:v>
                </c:pt>
                <c:pt idx="658">
                  <c:v>2.5075750000000002E-3</c:v>
                </c:pt>
                <c:pt idx="659">
                  <c:v>2.5079880000000001E-3</c:v>
                </c:pt>
                <c:pt idx="660">
                  <c:v>2.5084E-3</c:v>
                </c:pt>
                <c:pt idx="661">
                  <c:v>2.5088110000000001E-3</c:v>
                </c:pt>
                <c:pt idx="662">
                  <c:v>2.5092219999999998E-3</c:v>
                </c:pt>
                <c:pt idx="663">
                  <c:v>2.5096319999999999E-3</c:v>
                </c:pt>
                <c:pt idx="664">
                  <c:v>2.5100420000000001E-3</c:v>
                </c:pt>
                <c:pt idx="665">
                  <c:v>2.5104510000000003E-3</c:v>
                </c:pt>
                <c:pt idx="666">
                  <c:v>2.5108600000000002E-3</c:v>
                </c:pt>
                <c:pt idx="667">
                  <c:v>2.5112679999999997E-3</c:v>
                </c:pt>
                <c:pt idx="668">
                  <c:v>2.5116749999999997E-3</c:v>
                </c:pt>
                <c:pt idx="669">
                  <c:v>2.5120820000000001E-3</c:v>
                </c:pt>
                <c:pt idx="670">
                  <c:v>2.5124890000000001E-3</c:v>
                </c:pt>
                <c:pt idx="671">
                  <c:v>2.5128940000000003E-3</c:v>
                </c:pt>
                <c:pt idx="672">
                  <c:v>2.5133E-3</c:v>
                </c:pt>
                <c:pt idx="673">
                  <c:v>2.5137049999999998E-3</c:v>
                </c:pt>
                <c:pt idx="674">
                  <c:v>2.514109E-3</c:v>
                </c:pt>
                <c:pt idx="675">
                  <c:v>2.5145129999999999E-3</c:v>
                </c:pt>
                <c:pt idx="676">
                  <c:v>2.5149159999999999E-3</c:v>
                </c:pt>
                <c:pt idx="677">
                  <c:v>2.5153189999999998E-3</c:v>
                </c:pt>
                <c:pt idx="678">
                  <c:v>2.5157210000000003E-3</c:v>
                </c:pt>
                <c:pt idx="679">
                  <c:v>2.516122E-3</c:v>
                </c:pt>
                <c:pt idx="680">
                  <c:v>2.516524E-3</c:v>
                </c:pt>
                <c:pt idx="681">
                  <c:v>2.5169239999999998E-3</c:v>
                </c:pt>
                <c:pt idx="682">
                  <c:v>2.517324E-3</c:v>
                </c:pt>
                <c:pt idx="683">
                  <c:v>2.5177239999999998E-3</c:v>
                </c:pt>
                <c:pt idx="684">
                  <c:v>2.5181230000000001E-3</c:v>
                </c:pt>
                <c:pt idx="685">
                  <c:v>2.518522E-3</c:v>
                </c:pt>
                <c:pt idx="686">
                  <c:v>2.51892E-3</c:v>
                </c:pt>
                <c:pt idx="687">
                  <c:v>2.519318E-3</c:v>
                </c:pt>
                <c:pt idx="688">
                  <c:v>2.5197150000000001E-3</c:v>
                </c:pt>
                <c:pt idx="689">
                  <c:v>2.5201120000000001E-3</c:v>
                </c:pt>
                <c:pt idx="690">
                  <c:v>2.5205079999999999E-3</c:v>
                </c:pt>
                <c:pt idx="691">
                  <c:v>2.520904E-3</c:v>
                </c:pt>
                <c:pt idx="692">
                  <c:v>2.5212989999999998E-3</c:v>
                </c:pt>
                <c:pt idx="693">
                  <c:v>2.5216940000000001E-3</c:v>
                </c:pt>
                <c:pt idx="694">
                  <c:v>2.522088E-3</c:v>
                </c:pt>
                <c:pt idx="695">
                  <c:v>2.5224819999999999E-3</c:v>
                </c:pt>
                <c:pt idx="696">
                  <c:v>2.5228760000000003E-3</c:v>
                </c:pt>
                <c:pt idx="697">
                  <c:v>2.5232689999999999E-3</c:v>
                </c:pt>
                <c:pt idx="698">
                  <c:v>2.523661E-3</c:v>
                </c:pt>
                <c:pt idx="699">
                  <c:v>2.5240530000000001E-3</c:v>
                </c:pt>
                <c:pt idx="700">
                  <c:v>2.5244450000000002E-3</c:v>
                </c:pt>
                <c:pt idx="701">
                  <c:v>2.5248359999999999E-3</c:v>
                </c:pt>
                <c:pt idx="702">
                  <c:v>2.5252270000000001E-3</c:v>
                </c:pt>
                <c:pt idx="703">
                  <c:v>2.525617E-3</c:v>
                </c:pt>
                <c:pt idx="704">
                  <c:v>2.5260069999999998E-3</c:v>
                </c:pt>
                <c:pt idx="705">
                  <c:v>2.5263960000000002E-3</c:v>
                </c:pt>
                <c:pt idx="706">
                  <c:v>2.5267849999999997E-3</c:v>
                </c:pt>
                <c:pt idx="707">
                  <c:v>2.5271740000000001E-3</c:v>
                </c:pt>
                <c:pt idx="708">
                  <c:v>2.5275620000000001E-3</c:v>
                </c:pt>
                <c:pt idx="709">
                  <c:v>2.5279500000000002E-3</c:v>
                </c:pt>
                <c:pt idx="710">
                  <c:v>2.5283369999999999E-3</c:v>
                </c:pt>
                <c:pt idx="711">
                  <c:v>2.528724E-3</c:v>
                </c:pt>
                <c:pt idx="712">
                  <c:v>2.5291100000000002E-3</c:v>
                </c:pt>
                <c:pt idx="713">
                  <c:v>2.529496E-3</c:v>
                </c:pt>
                <c:pt idx="714">
                  <c:v>2.5298820000000002E-3</c:v>
                </c:pt>
                <c:pt idx="715">
                  <c:v>2.5302669999999997E-3</c:v>
                </c:pt>
                <c:pt idx="716">
                  <c:v>2.530652E-3</c:v>
                </c:pt>
                <c:pt idx="717">
                  <c:v>2.531036E-3</c:v>
                </c:pt>
                <c:pt idx="718">
                  <c:v>2.5314199999999999E-3</c:v>
                </c:pt>
                <c:pt idx="719">
                  <c:v>2.531803E-3</c:v>
                </c:pt>
                <c:pt idx="720">
                  <c:v>2.532187E-3</c:v>
                </c:pt>
                <c:pt idx="721">
                  <c:v>2.5325690000000001E-3</c:v>
                </c:pt>
                <c:pt idx="722">
                  <c:v>2.5329519999999998E-3</c:v>
                </c:pt>
                <c:pt idx="723">
                  <c:v>2.5333339999999999E-3</c:v>
                </c:pt>
                <c:pt idx="724">
                  <c:v>2.5337149999999998E-3</c:v>
                </c:pt>
                <c:pt idx="725">
                  <c:v>2.534096E-3</c:v>
                </c:pt>
                <c:pt idx="726">
                  <c:v>2.5344769999999998E-3</c:v>
                </c:pt>
                <c:pt idx="727">
                  <c:v>2.5348570000000002E-3</c:v>
                </c:pt>
                <c:pt idx="728">
                  <c:v>2.5352370000000001E-3</c:v>
                </c:pt>
                <c:pt idx="729">
                  <c:v>2.535617E-3</c:v>
                </c:pt>
                <c:pt idx="730">
                  <c:v>2.535996E-3</c:v>
                </c:pt>
                <c:pt idx="731">
                  <c:v>2.536375E-3</c:v>
                </c:pt>
                <c:pt idx="732">
                  <c:v>2.536754E-3</c:v>
                </c:pt>
                <c:pt idx="733">
                  <c:v>2.5371320000000001E-3</c:v>
                </c:pt>
                <c:pt idx="734">
                  <c:v>2.5375089999999999E-3</c:v>
                </c:pt>
                <c:pt idx="735">
                  <c:v>2.537887E-3</c:v>
                </c:pt>
                <c:pt idx="736">
                  <c:v>2.5382639999999997E-3</c:v>
                </c:pt>
                <c:pt idx="737">
                  <c:v>2.53864E-3</c:v>
                </c:pt>
                <c:pt idx="738">
                  <c:v>2.5390169999999997E-3</c:v>
                </c:pt>
                <c:pt idx="739">
                  <c:v>2.539393E-3</c:v>
                </c:pt>
                <c:pt idx="740">
                  <c:v>2.539768E-3</c:v>
                </c:pt>
                <c:pt idx="741">
                  <c:v>2.5401429999999999E-3</c:v>
                </c:pt>
                <c:pt idx="742">
                  <c:v>2.5405179999999999E-3</c:v>
                </c:pt>
                <c:pt idx="743">
                  <c:v>2.5408930000000002E-3</c:v>
                </c:pt>
                <c:pt idx="744">
                  <c:v>2.5412669999999998E-3</c:v>
                </c:pt>
                <c:pt idx="745">
                  <c:v>2.5416409999999999E-3</c:v>
                </c:pt>
                <c:pt idx="746">
                  <c:v>2.542014E-3</c:v>
                </c:pt>
                <c:pt idx="747">
                  <c:v>2.5423870000000001E-3</c:v>
                </c:pt>
                <c:pt idx="748">
                  <c:v>2.5427599999999998E-3</c:v>
                </c:pt>
                <c:pt idx="749">
                  <c:v>2.543132E-3</c:v>
                </c:pt>
                <c:pt idx="750">
                  <c:v>2.6428390000000001E-3</c:v>
                </c:pt>
                <c:pt idx="751">
                  <c:v>2.7335189999999998E-3</c:v>
                </c:pt>
                <c:pt idx="752">
                  <c:v>2.8211930000000001E-3</c:v>
                </c:pt>
                <c:pt idx="753">
                  <c:v>2.9075519999999999E-3</c:v>
                </c:pt>
                <c:pt idx="754">
                  <c:v>2.9932439999999999E-3</c:v>
                </c:pt>
                <c:pt idx="755">
                  <c:v>3.0785629999999999E-3</c:v>
                </c:pt>
                <c:pt idx="756">
                  <c:v>3.1636559999999999E-3</c:v>
                </c:pt>
                <c:pt idx="757">
                  <c:v>3.2486049999999999E-3</c:v>
                </c:pt>
                <c:pt idx="758">
                  <c:v>3.3334570000000002E-3</c:v>
                </c:pt>
                <c:pt idx="759">
                  <c:v>3.4182419999999997E-3</c:v>
                </c:pt>
                <c:pt idx="760">
                  <c:v>3.5029789999999998E-3</c:v>
                </c:pt>
                <c:pt idx="761">
                  <c:v>3.5876800000000002E-3</c:v>
                </c:pt>
                <c:pt idx="762">
                  <c:v>3.6723560000000003E-3</c:v>
                </c:pt>
                <c:pt idx="763">
                  <c:v>3.7570109999999998E-3</c:v>
                </c:pt>
                <c:pt idx="764">
                  <c:v>3.8416499999999998E-3</c:v>
                </c:pt>
                <c:pt idx="765">
                  <c:v>3.9262760000000002E-3</c:v>
                </c:pt>
                <c:pt idx="766">
                  <c:v>4.0108930000000006E-3</c:v>
                </c:pt>
                <c:pt idx="767">
                  <c:v>4.0955009999999997E-3</c:v>
                </c:pt>
                <c:pt idx="768">
                  <c:v>4.1801030000000001E-3</c:v>
                </c:pt>
                <c:pt idx="769">
                  <c:v>4.2647000000000006E-3</c:v>
                </c:pt>
                <c:pt idx="770">
                  <c:v>4.3492920000000003E-3</c:v>
                </c:pt>
                <c:pt idx="771">
                  <c:v>4.4338800000000003E-3</c:v>
                </c:pt>
                <c:pt idx="772">
                  <c:v>4.5184639999999998E-3</c:v>
                </c:pt>
                <c:pt idx="773">
                  <c:v>4.6030460000000004E-3</c:v>
                </c:pt>
                <c:pt idx="774">
                  <c:v>4.6876259999999994E-3</c:v>
                </c:pt>
                <c:pt idx="775">
                  <c:v>4.772203E-3</c:v>
                </c:pt>
                <c:pt idx="776">
                  <c:v>4.8567790000000003E-3</c:v>
                </c:pt>
                <c:pt idx="777">
                  <c:v>4.9413530000000008E-3</c:v>
                </c:pt>
                <c:pt idx="778">
                  <c:v>5.025926E-3</c:v>
                </c:pt>
                <c:pt idx="779">
                  <c:v>5.1104979999999998E-3</c:v>
                </c:pt>
                <c:pt idx="780">
                  <c:v>5.1950679999999997E-3</c:v>
                </c:pt>
                <c:pt idx="781">
                  <c:v>5.2796380000000006E-3</c:v>
                </c:pt>
                <c:pt idx="782">
                  <c:v>5.3642070000000002E-3</c:v>
                </c:pt>
                <c:pt idx="783">
                  <c:v>5.4487750000000003E-3</c:v>
                </c:pt>
                <c:pt idx="784">
                  <c:v>5.5333420000000001E-3</c:v>
                </c:pt>
                <c:pt idx="785">
                  <c:v>5.6179089999999999E-3</c:v>
                </c:pt>
                <c:pt idx="786">
                  <c:v>5.7024749999999994E-3</c:v>
                </c:pt>
                <c:pt idx="787">
                  <c:v>5.7870410000000006E-3</c:v>
                </c:pt>
                <c:pt idx="788">
                  <c:v>5.8716059999999997E-3</c:v>
                </c:pt>
                <c:pt idx="789">
                  <c:v>5.9561710000000006E-3</c:v>
                </c:pt>
                <c:pt idx="790">
                  <c:v>6.0407359999999997E-3</c:v>
                </c:pt>
                <c:pt idx="791">
                  <c:v>6.1253000000000002E-3</c:v>
                </c:pt>
                <c:pt idx="792">
                  <c:v>6.2098639999999998E-3</c:v>
                </c:pt>
                <c:pt idx="793">
                  <c:v>6.2944279999999995E-3</c:v>
                </c:pt>
                <c:pt idx="794">
                  <c:v>6.3789909999999997E-3</c:v>
                </c:pt>
                <c:pt idx="795">
                  <c:v>6.4635539999999998E-3</c:v>
                </c:pt>
                <c:pt idx="796">
                  <c:v>6.548117E-3</c:v>
                </c:pt>
                <c:pt idx="797">
                  <c:v>6.6326799999999993E-3</c:v>
                </c:pt>
                <c:pt idx="798">
                  <c:v>6.7172429999999995E-3</c:v>
                </c:pt>
                <c:pt idx="799">
                  <c:v>6.8018050000000002E-3</c:v>
                </c:pt>
                <c:pt idx="800">
                  <c:v>6.8863680000000004E-3</c:v>
                </c:pt>
                <c:pt idx="801">
                  <c:v>6.9709300000000002E-3</c:v>
                </c:pt>
                <c:pt idx="802">
                  <c:v>7.055492E-3</c:v>
                </c:pt>
                <c:pt idx="803">
                  <c:v>7.1400539999999998E-3</c:v>
                </c:pt>
                <c:pt idx="804">
                  <c:v>7.2246150000000002E-3</c:v>
                </c:pt>
                <c:pt idx="805">
                  <c:v>7.309177E-3</c:v>
                </c:pt>
                <c:pt idx="806">
                  <c:v>7.3937389999999999E-3</c:v>
                </c:pt>
                <c:pt idx="807">
                  <c:v>7.4783000000000002E-3</c:v>
                </c:pt>
                <c:pt idx="808">
                  <c:v>7.5628609999999997E-3</c:v>
                </c:pt>
                <c:pt idx="809">
                  <c:v>7.6474229999999995E-3</c:v>
                </c:pt>
                <c:pt idx="810">
                  <c:v>7.7319839999999999E-3</c:v>
                </c:pt>
                <c:pt idx="811">
                  <c:v>7.8165449999999994E-3</c:v>
                </c:pt>
                <c:pt idx="812">
                  <c:v>7.9011059999999998E-3</c:v>
                </c:pt>
                <c:pt idx="813">
                  <c:v>7.9856670000000001E-3</c:v>
                </c:pt>
                <c:pt idx="814">
                  <c:v>8.0702280000000005E-3</c:v>
                </c:pt>
                <c:pt idx="815">
                  <c:v>8.1547889999999991E-3</c:v>
                </c:pt>
                <c:pt idx="816">
                  <c:v>8.2393499999999995E-3</c:v>
                </c:pt>
                <c:pt idx="817">
                  <c:v>8.3239110000000015E-3</c:v>
                </c:pt>
                <c:pt idx="818">
                  <c:v>8.4084720000000002E-3</c:v>
                </c:pt>
                <c:pt idx="819">
                  <c:v>8.4930319999999993E-3</c:v>
                </c:pt>
                <c:pt idx="820">
                  <c:v>8.5775929999999997E-3</c:v>
                </c:pt>
                <c:pt idx="821">
                  <c:v>8.662154E-3</c:v>
                </c:pt>
                <c:pt idx="822">
                  <c:v>8.7467140000000009E-3</c:v>
                </c:pt>
                <c:pt idx="823">
                  <c:v>8.8312749999999995E-3</c:v>
                </c:pt>
                <c:pt idx="824">
                  <c:v>8.9158349999999987E-3</c:v>
                </c:pt>
                <c:pt idx="825">
                  <c:v>9.0003960000000008E-3</c:v>
                </c:pt>
                <c:pt idx="826">
                  <c:v>9.0849559999999999E-3</c:v>
                </c:pt>
                <c:pt idx="827">
                  <c:v>9.1695170000000003E-3</c:v>
                </c:pt>
                <c:pt idx="828">
                  <c:v>9.2540770000000012E-3</c:v>
                </c:pt>
                <c:pt idx="829">
                  <c:v>9.3386370000000003E-3</c:v>
                </c:pt>
                <c:pt idx="830">
                  <c:v>9.423197999999999E-3</c:v>
                </c:pt>
                <c:pt idx="831">
                  <c:v>9.5077580000000016E-3</c:v>
                </c:pt>
                <c:pt idx="832">
                  <c:v>9.5923180000000007E-3</c:v>
                </c:pt>
                <c:pt idx="833">
                  <c:v>9.6768789999999993E-3</c:v>
                </c:pt>
                <c:pt idx="834">
                  <c:v>9.7614389999999985E-3</c:v>
                </c:pt>
                <c:pt idx="835">
                  <c:v>9.8459990000000011E-3</c:v>
                </c:pt>
                <c:pt idx="836">
                  <c:v>9.9305590000000003E-3</c:v>
                </c:pt>
                <c:pt idx="837">
                  <c:v>1.0015119999999999E-2</c:v>
                </c:pt>
                <c:pt idx="838">
                  <c:v>1.009968E-2</c:v>
                </c:pt>
                <c:pt idx="839">
                  <c:v>1.0184240000000001E-2</c:v>
                </c:pt>
                <c:pt idx="840">
                  <c:v>1.02688E-2</c:v>
                </c:pt>
                <c:pt idx="841">
                  <c:v>1.0353360000000001E-2</c:v>
                </c:pt>
                <c:pt idx="842">
                  <c:v>1.043792E-2</c:v>
                </c:pt>
                <c:pt idx="843">
                  <c:v>1.0522479999999999E-2</c:v>
                </c:pt>
                <c:pt idx="844">
                  <c:v>1.060704E-2</c:v>
                </c:pt>
                <c:pt idx="845">
                  <c:v>1.0691599999999999E-2</c:v>
                </c:pt>
                <c:pt idx="846">
                  <c:v>1.0776160000000002E-2</c:v>
                </c:pt>
                <c:pt idx="847">
                  <c:v>1.0860720000000001E-2</c:v>
                </c:pt>
                <c:pt idx="848">
                  <c:v>1.094528E-2</c:v>
                </c:pt>
                <c:pt idx="849">
                  <c:v>1.1029840000000001E-2</c:v>
                </c:pt>
                <c:pt idx="850">
                  <c:v>1.11144E-2</c:v>
                </c:pt>
                <c:pt idx="851">
                  <c:v>1.1198959999999999E-2</c:v>
                </c:pt>
                <c:pt idx="852">
                  <c:v>1.128352E-2</c:v>
                </c:pt>
                <c:pt idx="853">
                  <c:v>1.1368080000000001E-2</c:v>
                </c:pt>
                <c:pt idx="854">
                  <c:v>1.145264E-2</c:v>
                </c:pt>
                <c:pt idx="855">
                  <c:v>1.1537200000000001E-2</c:v>
                </c:pt>
                <c:pt idx="856">
                  <c:v>1.162176E-2</c:v>
                </c:pt>
                <c:pt idx="857">
                  <c:v>1.1706319999999999E-2</c:v>
                </c:pt>
                <c:pt idx="858">
                  <c:v>1.179088E-2</c:v>
                </c:pt>
                <c:pt idx="859">
                  <c:v>1.1875439999999999E-2</c:v>
                </c:pt>
                <c:pt idx="860">
                  <c:v>1.196E-2</c:v>
                </c:pt>
                <c:pt idx="861">
                  <c:v>1.2044560000000001E-2</c:v>
                </c:pt>
                <c:pt idx="862">
                  <c:v>1.212912E-2</c:v>
                </c:pt>
                <c:pt idx="863">
                  <c:v>1.2213679999999999E-2</c:v>
                </c:pt>
                <c:pt idx="864">
                  <c:v>1.229824E-2</c:v>
                </c:pt>
                <c:pt idx="865">
                  <c:v>1.2382799999999999E-2</c:v>
                </c:pt>
                <c:pt idx="866">
                  <c:v>1.2467359999999999E-2</c:v>
                </c:pt>
                <c:pt idx="867">
                  <c:v>1.2551920000000001E-2</c:v>
                </c:pt>
                <c:pt idx="868">
                  <c:v>1.263648E-2</c:v>
                </c:pt>
                <c:pt idx="869">
                  <c:v>1.2721040000000001E-2</c:v>
                </c:pt>
                <c:pt idx="870">
                  <c:v>1.28056E-2</c:v>
                </c:pt>
                <c:pt idx="871">
                  <c:v>1.2890159999999999E-2</c:v>
                </c:pt>
                <c:pt idx="872">
                  <c:v>1.297472E-2</c:v>
                </c:pt>
                <c:pt idx="873">
                  <c:v>1.3059279999999999E-2</c:v>
                </c:pt>
                <c:pt idx="874">
                  <c:v>1.314384E-2</c:v>
                </c:pt>
                <c:pt idx="875">
                  <c:v>1.3228400000000001E-2</c:v>
                </c:pt>
                <c:pt idx="876">
                  <c:v>1.331296E-2</c:v>
                </c:pt>
                <c:pt idx="877">
                  <c:v>1.339752E-2</c:v>
                </c:pt>
                <c:pt idx="878">
                  <c:v>1.348208E-2</c:v>
                </c:pt>
                <c:pt idx="879">
                  <c:v>1.356664E-2</c:v>
                </c:pt>
                <c:pt idx="880">
                  <c:v>1.3651199999999999E-2</c:v>
                </c:pt>
                <c:pt idx="881">
                  <c:v>1.3735760000000001E-2</c:v>
                </c:pt>
                <c:pt idx="882">
                  <c:v>1.3820320000000001E-2</c:v>
                </c:pt>
                <c:pt idx="883">
                  <c:v>1.390488E-2</c:v>
                </c:pt>
                <c:pt idx="884">
                  <c:v>1.3989440000000001E-2</c:v>
                </c:pt>
                <c:pt idx="885">
                  <c:v>1.4074E-2</c:v>
                </c:pt>
                <c:pt idx="886">
                  <c:v>1.4158559999999999E-2</c:v>
                </c:pt>
                <c:pt idx="887">
                  <c:v>1.424312E-2</c:v>
                </c:pt>
                <c:pt idx="888">
                  <c:v>1.4327680000000001E-2</c:v>
                </c:pt>
                <c:pt idx="889">
                  <c:v>1.441224E-2</c:v>
                </c:pt>
                <c:pt idx="890">
                  <c:v>1.4496800000000001E-2</c:v>
                </c:pt>
                <c:pt idx="891">
                  <c:v>1.458136E-2</c:v>
                </c:pt>
                <c:pt idx="892">
                  <c:v>1.4665920000000001E-2</c:v>
                </c:pt>
                <c:pt idx="893">
                  <c:v>1.475048E-2</c:v>
                </c:pt>
                <c:pt idx="894">
                  <c:v>1.4835039999999999E-2</c:v>
                </c:pt>
                <c:pt idx="895">
                  <c:v>1.491959E-2</c:v>
                </c:pt>
                <c:pt idx="896">
                  <c:v>1.5004149999999999E-2</c:v>
                </c:pt>
                <c:pt idx="897">
                  <c:v>1.508871E-2</c:v>
                </c:pt>
                <c:pt idx="898">
                  <c:v>1.5173270000000001E-2</c:v>
                </c:pt>
                <c:pt idx="899">
                  <c:v>1.525783E-2</c:v>
                </c:pt>
                <c:pt idx="900">
                  <c:v>1.5342389999999999E-2</c:v>
                </c:pt>
                <c:pt idx="901">
                  <c:v>1.542695E-2</c:v>
                </c:pt>
                <c:pt idx="902">
                  <c:v>1.5511509999999999E-2</c:v>
                </c:pt>
                <c:pt idx="903">
                  <c:v>1.559607E-2</c:v>
                </c:pt>
                <c:pt idx="904">
                  <c:v>1.5680630000000001E-2</c:v>
                </c:pt>
                <c:pt idx="905">
                  <c:v>1.5765190000000002E-2</c:v>
                </c:pt>
                <c:pt idx="906">
                  <c:v>1.5849749999999999E-2</c:v>
                </c:pt>
                <c:pt idx="907">
                  <c:v>1.593431E-2</c:v>
                </c:pt>
                <c:pt idx="908">
                  <c:v>1.6018870000000001E-2</c:v>
                </c:pt>
                <c:pt idx="909">
                  <c:v>1.6103429999999998E-2</c:v>
                </c:pt>
                <c:pt idx="910">
                  <c:v>1.6187989999999999E-2</c:v>
                </c:pt>
                <c:pt idx="911">
                  <c:v>1.627255E-2</c:v>
                </c:pt>
                <c:pt idx="912">
                  <c:v>1.6357109999999998E-2</c:v>
                </c:pt>
                <c:pt idx="913">
                  <c:v>1.6441669999999999E-2</c:v>
                </c:pt>
                <c:pt idx="914">
                  <c:v>1.6526230000000003E-2</c:v>
                </c:pt>
                <c:pt idx="915">
                  <c:v>1.661079E-2</c:v>
                </c:pt>
                <c:pt idx="916">
                  <c:v>1.6695350000000001E-2</c:v>
                </c:pt>
                <c:pt idx="917">
                  <c:v>1.6779910000000002E-2</c:v>
                </c:pt>
                <c:pt idx="918">
                  <c:v>1.6864469999999999E-2</c:v>
                </c:pt>
                <c:pt idx="919">
                  <c:v>1.694903E-2</c:v>
                </c:pt>
                <c:pt idx="920">
                  <c:v>1.7033590000000001E-2</c:v>
                </c:pt>
                <c:pt idx="921">
                  <c:v>1.7118149999999999E-2</c:v>
                </c:pt>
                <c:pt idx="922">
                  <c:v>1.720271E-2</c:v>
                </c:pt>
                <c:pt idx="923">
                  <c:v>1.728727E-2</c:v>
                </c:pt>
                <c:pt idx="924">
                  <c:v>1.7371829999999998E-2</c:v>
                </c:pt>
                <c:pt idx="925">
                  <c:v>1.7456389999999999E-2</c:v>
                </c:pt>
                <c:pt idx="926">
                  <c:v>1.754095E-2</c:v>
                </c:pt>
                <c:pt idx="927">
                  <c:v>1.7625509999999997E-2</c:v>
                </c:pt>
                <c:pt idx="928">
                  <c:v>1.7710070000000001E-2</c:v>
                </c:pt>
                <c:pt idx="929">
                  <c:v>1.7794630000000002E-2</c:v>
                </c:pt>
                <c:pt idx="930">
                  <c:v>1.787919E-2</c:v>
                </c:pt>
                <c:pt idx="931">
                  <c:v>1.7963750000000001E-2</c:v>
                </c:pt>
                <c:pt idx="932">
                  <c:v>1.8048310000000001E-2</c:v>
                </c:pt>
                <c:pt idx="933">
                  <c:v>1.8132869999999999E-2</c:v>
                </c:pt>
                <c:pt idx="934">
                  <c:v>1.8217420000000002E-2</c:v>
                </c:pt>
                <c:pt idx="935">
                  <c:v>1.8301979999999999E-2</c:v>
                </c:pt>
                <c:pt idx="936">
                  <c:v>1.838654E-2</c:v>
                </c:pt>
                <c:pt idx="937">
                  <c:v>1.8471100000000001E-2</c:v>
                </c:pt>
                <c:pt idx="938">
                  <c:v>1.8555659999999998E-2</c:v>
                </c:pt>
                <c:pt idx="939">
                  <c:v>1.8640219999999999E-2</c:v>
                </c:pt>
                <c:pt idx="940">
                  <c:v>1.872478E-2</c:v>
                </c:pt>
                <c:pt idx="941">
                  <c:v>1.8809339999999997E-2</c:v>
                </c:pt>
                <c:pt idx="942">
                  <c:v>1.8893899999999998E-2</c:v>
                </c:pt>
                <c:pt idx="943">
                  <c:v>1.8978459999999999E-2</c:v>
                </c:pt>
                <c:pt idx="944">
                  <c:v>1.906302E-2</c:v>
                </c:pt>
                <c:pt idx="945">
                  <c:v>1.9147580000000001E-2</c:v>
                </c:pt>
                <c:pt idx="946">
                  <c:v>1.9232140000000002E-2</c:v>
                </c:pt>
                <c:pt idx="947">
                  <c:v>1.9316699999999999E-2</c:v>
                </c:pt>
                <c:pt idx="948">
                  <c:v>1.940126E-2</c:v>
                </c:pt>
                <c:pt idx="949">
                  <c:v>1.9485820000000001E-2</c:v>
                </c:pt>
                <c:pt idx="950">
                  <c:v>1.9570380000000002E-2</c:v>
                </c:pt>
                <c:pt idx="951">
                  <c:v>1.9654939999999999E-2</c:v>
                </c:pt>
                <c:pt idx="952">
                  <c:v>1.97395E-2</c:v>
                </c:pt>
                <c:pt idx="953">
                  <c:v>1.9824060000000001E-2</c:v>
                </c:pt>
                <c:pt idx="954">
                  <c:v>1.9908619999999998E-2</c:v>
                </c:pt>
                <c:pt idx="955">
                  <c:v>1.9993179999999999E-2</c:v>
                </c:pt>
                <c:pt idx="956">
                  <c:v>2.007774E-2</c:v>
                </c:pt>
                <c:pt idx="957">
                  <c:v>2.0162299999999998E-2</c:v>
                </c:pt>
                <c:pt idx="958">
                  <c:v>2.0246860000000002E-2</c:v>
                </c:pt>
                <c:pt idx="959">
                  <c:v>2.0331420000000003E-2</c:v>
                </c:pt>
                <c:pt idx="960">
                  <c:v>2.041598E-2</c:v>
                </c:pt>
                <c:pt idx="961">
                  <c:v>2.0500540000000001E-2</c:v>
                </c:pt>
                <c:pt idx="962">
                  <c:v>2.0585100000000002E-2</c:v>
                </c:pt>
                <c:pt idx="963">
                  <c:v>2.0669659999999999E-2</c:v>
                </c:pt>
                <c:pt idx="964">
                  <c:v>2.075422E-2</c:v>
                </c:pt>
                <c:pt idx="965">
                  <c:v>2.0838780000000001E-2</c:v>
                </c:pt>
                <c:pt idx="966">
                  <c:v>2.0923339999999999E-2</c:v>
                </c:pt>
                <c:pt idx="967">
                  <c:v>2.1007899999999999E-2</c:v>
                </c:pt>
                <c:pt idx="968">
                  <c:v>2.1092449999999999E-2</c:v>
                </c:pt>
                <c:pt idx="969">
                  <c:v>2.117701E-2</c:v>
                </c:pt>
                <c:pt idx="970">
                  <c:v>2.126157E-2</c:v>
                </c:pt>
                <c:pt idx="971">
                  <c:v>2.1346129999999998E-2</c:v>
                </c:pt>
                <c:pt idx="972">
                  <c:v>2.1430689999999999E-2</c:v>
                </c:pt>
                <c:pt idx="973">
                  <c:v>2.1515250000000003E-2</c:v>
                </c:pt>
                <c:pt idx="974">
                  <c:v>2.1599810000000001E-2</c:v>
                </c:pt>
                <c:pt idx="975">
                  <c:v>2.1684370000000001E-2</c:v>
                </c:pt>
                <c:pt idx="976">
                  <c:v>2.1768930000000002E-2</c:v>
                </c:pt>
                <c:pt idx="977">
                  <c:v>2.185349E-2</c:v>
                </c:pt>
                <c:pt idx="978">
                  <c:v>2.1938050000000001E-2</c:v>
                </c:pt>
                <c:pt idx="979">
                  <c:v>2.2022610000000001E-2</c:v>
                </c:pt>
                <c:pt idx="980">
                  <c:v>2.2107169999999999E-2</c:v>
                </c:pt>
                <c:pt idx="981">
                  <c:v>2.219173E-2</c:v>
                </c:pt>
                <c:pt idx="982">
                  <c:v>2.2276290000000001E-2</c:v>
                </c:pt>
                <c:pt idx="983">
                  <c:v>2.2360849999999998E-2</c:v>
                </c:pt>
                <c:pt idx="984">
                  <c:v>2.2445409999999999E-2</c:v>
                </c:pt>
                <c:pt idx="985">
                  <c:v>2.252997E-2</c:v>
                </c:pt>
                <c:pt idx="986">
                  <c:v>2.2614529999999997E-2</c:v>
                </c:pt>
                <c:pt idx="987">
                  <c:v>2.2699090000000002E-2</c:v>
                </c:pt>
                <c:pt idx="988">
                  <c:v>2.2783650000000003E-2</c:v>
                </c:pt>
                <c:pt idx="989">
                  <c:v>2.286821E-2</c:v>
                </c:pt>
                <c:pt idx="990">
                  <c:v>2.2952770000000001E-2</c:v>
                </c:pt>
                <c:pt idx="991">
                  <c:v>2.3037330000000002E-2</c:v>
                </c:pt>
                <c:pt idx="992">
                  <c:v>2.3121889999999999E-2</c:v>
                </c:pt>
                <c:pt idx="993">
                  <c:v>2.320645E-2</c:v>
                </c:pt>
                <c:pt idx="994">
                  <c:v>2.3291010000000001E-2</c:v>
                </c:pt>
                <c:pt idx="995">
                  <c:v>2.3375569999999998E-2</c:v>
                </c:pt>
                <c:pt idx="996">
                  <c:v>2.3460129999999999E-2</c:v>
                </c:pt>
                <c:pt idx="997">
                  <c:v>2.354469E-2</c:v>
                </c:pt>
                <c:pt idx="998">
                  <c:v>2.3629249999999997E-2</c:v>
                </c:pt>
                <c:pt idx="999">
                  <c:v>2.3713809999999998E-2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0F8-4F22-B3EB-F61D6DFF9E48}"/>
            </c:ext>
          </c:extLst>
        </c:ser>
        <c:ser>
          <c:idx val="1"/>
          <c:order val="1"/>
          <c:tx>
            <c:v>Reduzida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shade val="76000"/>
                </a:schemeClr>
              </a:solidFill>
              <a:ln w="9525">
                <a:solidFill>
                  <a:schemeClr val="accent4">
                    <a:shade val="76000"/>
                  </a:schemeClr>
                </a:solidFill>
              </a:ln>
              <a:effectLst/>
            </c:spPr>
          </c:marker>
          <c:xVal>
            <c:numRef>
              <c:f>'Bending Stiffness'!$M$18:$M$57</c:f>
              <c:numCache>
                <c:formatCode>0.0000</c:formatCode>
                <c:ptCount val="40"/>
                <c:pt idx="0">
                  <c:v>0</c:v>
                </c:pt>
                <c:pt idx="1">
                  <c:v>2.9382280000000001E-4</c:v>
                </c:pt>
                <c:pt idx="2">
                  <c:v>5.8764549999999998E-4</c:v>
                </c:pt>
                <c:pt idx="3">
                  <c:v>8.8146830000000005E-4</c:v>
                </c:pt>
                <c:pt idx="4">
                  <c:v>1.175291E-3</c:v>
                </c:pt>
                <c:pt idx="5">
                  <c:v>1.4691140000000001E-3</c:v>
                </c:pt>
                <c:pt idx="6">
                  <c:v>1.762937E-3</c:v>
                </c:pt>
                <c:pt idx="7">
                  <c:v>2.056759E-3</c:v>
                </c:pt>
                <c:pt idx="8">
                  <c:v>2.3505819999999999E-3</c:v>
                </c:pt>
                <c:pt idx="9">
                  <c:v>2.6444049999999998E-3</c:v>
                </c:pt>
                <c:pt idx="10">
                  <c:v>2.9382280000000002E-3</c:v>
                </c:pt>
                <c:pt idx="11">
                  <c:v>3.2320500000000002E-3</c:v>
                </c:pt>
                <c:pt idx="12">
                  <c:v>3.5258730000000001E-3</c:v>
                </c:pt>
                <c:pt idx="13">
                  <c:v>3.819696E-3</c:v>
                </c:pt>
                <c:pt idx="14">
                  <c:v>4.1135190000000004E-3</c:v>
                </c:pt>
                <c:pt idx="15">
                  <c:v>4.4073410000000004E-3</c:v>
                </c:pt>
                <c:pt idx="16">
                  <c:v>4.7011639999999999E-3</c:v>
                </c:pt>
                <c:pt idx="17">
                  <c:v>4.9949870000000002E-3</c:v>
                </c:pt>
                <c:pt idx="18">
                  <c:v>5.2888099999999997E-3</c:v>
                </c:pt>
                <c:pt idx="19">
                  <c:v>5.5826319999999997E-3</c:v>
                </c:pt>
                <c:pt idx="20">
                  <c:v>5.876455E-3</c:v>
                </c:pt>
                <c:pt idx="21">
                  <c:v>6.1702780000000004E-3</c:v>
                </c:pt>
                <c:pt idx="22">
                  <c:v>6.4641009999999999E-3</c:v>
                </c:pt>
                <c:pt idx="23">
                  <c:v>6.7579229999999999E-3</c:v>
                </c:pt>
                <c:pt idx="24">
                  <c:v>7.0517460000000002E-3</c:v>
                </c:pt>
                <c:pt idx="25">
                  <c:v>7.3455689999999997E-3</c:v>
                </c:pt>
                <c:pt idx="26">
                  <c:v>7.6393920000000001E-3</c:v>
                </c:pt>
                <c:pt idx="27">
                  <c:v>7.9332139999999992E-3</c:v>
                </c:pt>
                <c:pt idx="28">
                  <c:v>8.2270369999999995E-3</c:v>
                </c:pt>
                <c:pt idx="29">
                  <c:v>8.5208599999999999E-3</c:v>
                </c:pt>
                <c:pt idx="30">
                  <c:v>1.224766E-2</c:v>
                </c:pt>
                <c:pt idx="31">
                  <c:v>9.8072039999999999E-2</c:v>
                </c:pt>
                <c:pt idx="32">
                  <c:v>0.18389639999999999</c:v>
                </c:pt>
                <c:pt idx="33">
                  <c:v>0.26972079999999998</c:v>
                </c:pt>
                <c:pt idx="34">
                  <c:v>0.35554520000000001</c:v>
                </c:pt>
                <c:pt idx="35">
                  <c:v>0.44136959999999997</c:v>
                </c:pt>
                <c:pt idx="36">
                  <c:v>0.52719389999999999</c:v>
                </c:pt>
                <c:pt idx="37">
                  <c:v>0.61301830000000002</c:v>
                </c:pt>
                <c:pt idx="38">
                  <c:v>0.69884270000000004</c:v>
                </c:pt>
                <c:pt idx="39">
                  <c:v>0.78466709999999995</c:v>
                </c:pt>
              </c:numCache>
            </c:numRef>
          </c:xVal>
          <c:yVal>
            <c:numRef>
              <c:f>'Bending Stiffness'!$N$18:$N$57</c:f>
              <c:numCache>
                <c:formatCode>0.0000</c:formatCode>
                <c:ptCount val="40"/>
                <c:pt idx="0">
                  <c:v>0</c:v>
                </c:pt>
                <c:pt idx="1">
                  <c:v>4.6397019999999998E-4</c:v>
                </c:pt>
                <c:pt idx="2">
                  <c:v>7.3087199999999992E-4</c:v>
                </c:pt>
                <c:pt idx="3">
                  <c:v>9.9777390000000007E-4</c:v>
                </c:pt>
                <c:pt idx="4">
                  <c:v>1.2374249999999999E-3</c:v>
                </c:pt>
                <c:pt idx="5">
                  <c:v>1.4033709999999998E-3</c:v>
                </c:pt>
                <c:pt idx="6">
                  <c:v>1.5496520000000001E-3</c:v>
                </c:pt>
                <c:pt idx="7">
                  <c:v>1.688101E-3</c:v>
                </c:pt>
                <c:pt idx="8">
                  <c:v>1.8226749999999999E-3</c:v>
                </c:pt>
                <c:pt idx="9">
                  <c:v>1.9550879999999998E-3</c:v>
                </c:pt>
                <c:pt idx="10">
                  <c:v>2.086194E-3</c:v>
                </c:pt>
                <c:pt idx="11">
                  <c:v>2.1733680000000002E-3</c:v>
                </c:pt>
                <c:pt idx="12">
                  <c:v>2.2308460000000003E-3</c:v>
                </c:pt>
                <c:pt idx="13">
                  <c:v>2.2740160000000002E-3</c:v>
                </c:pt>
                <c:pt idx="14">
                  <c:v>2.3082989999999998E-3</c:v>
                </c:pt>
                <c:pt idx="15">
                  <c:v>2.3365700000000001E-3</c:v>
                </c:pt>
                <c:pt idx="16">
                  <c:v>2.3605619999999996E-3</c:v>
                </c:pt>
                <c:pt idx="17">
                  <c:v>2.381401E-3</c:v>
                </c:pt>
                <c:pt idx="18">
                  <c:v>2.3998520000000001E-3</c:v>
                </c:pt>
                <c:pt idx="19">
                  <c:v>2.4164550000000001E-3</c:v>
                </c:pt>
                <c:pt idx="20">
                  <c:v>2.4316019999999997E-3</c:v>
                </c:pt>
                <c:pt idx="21">
                  <c:v>2.4455849999999997E-3</c:v>
                </c:pt>
                <c:pt idx="22">
                  <c:v>2.4586260000000002E-3</c:v>
                </c:pt>
                <c:pt idx="23">
                  <c:v>2.4708929999999996E-3</c:v>
                </c:pt>
                <c:pt idx="24">
                  <c:v>2.4825200000000002E-3</c:v>
                </c:pt>
                <c:pt idx="25">
                  <c:v>2.4936120000000001E-3</c:v>
                </c:pt>
                <c:pt idx="26">
                  <c:v>2.5042529999999997E-3</c:v>
                </c:pt>
                <c:pt idx="27">
                  <c:v>2.5145129999999999E-3</c:v>
                </c:pt>
                <c:pt idx="28">
                  <c:v>2.5244450000000002E-3</c:v>
                </c:pt>
                <c:pt idx="29">
                  <c:v>2.534096E-3</c:v>
                </c:pt>
                <c:pt idx="30">
                  <c:v>2.6428390000000001E-3</c:v>
                </c:pt>
                <c:pt idx="31">
                  <c:v>4.772203E-3</c:v>
                </c:pt>
                <c:pt idx="32">
                  <c:v>6.8863680000000004E-3</c:v>
                </c:pt>
                <c:pt idx="33">
                  <c:v>9.0003960000000008E-3</c:v>
                </c:pt>
                <c:pt idx="34">
                  <c:v>1.11144E-2</c:v>
                </c:pt>
                <c:pt idx="35">
                  <c:v>1.3228400000000001E-2</c:v>
                </c:pt>
                <c:pt idx="36">
                  <c:v>1.5342389999999999E-2</c:v>
                </c:pt>
                <c:pt idx="37">
                  <c:v>1.7456389999999999E-2</c:v>
                </c:pt>
                <c:pt idx="38">
                  <c:v>1.9570380000000002E-2</c:v>
                </c:pt>
                <c:pt idx="39">
                  <c:v>2.1684370000000001E-2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0F8-4F22-B3EB-F61D6DFF9E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89914032"/>
        <c:axId val="689917312"/>
      </c:scatterChart>
      <c:valAx>
        <c:axId val="6899140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89917312"/>
        <c:crosses val="autoZero"/>
        <c:crossBetween val="midCat"/>
      </c:valAx>
      <c:valAx>
        <c:axId val="6899173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899140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pt-BR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pt-BR"/>
          </a:p>
        </c:txPr>
      </c:legendEntry>
      <c:layout>
        <c:manualLayout>
          <c:xMode val="edge"/>
          <c:yMode val="edge"/>
          <c:x val="0.25144756905386823"/>
          <c:y val="0.90603751084459372"/>
          <c:w val="0.52301637295338077"/>
          <c:h val="8.364662350946323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000">
                <a:latin typeface="Arial" panose="020B0604020202020204" pitchFamily="34" charset="0"/>
                <a:cs typeface="Arial" panose="020B0604020202020204" pitchFamily="34" charset="0"/>
              </a:rPr>
              <a:t>Curva de Operação</a:t>
            </a:r>
          </a:p>
        </c:rich>
      </c:tx>
      <c:layout>
        <c:manualLayout>
          <c:xMode val="edge"/>
          <c:yMode val="edge"/>
          <c:x val="0.3026062194613674"/>
          <c:y val="7.5679105748040296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5.497323250660905E-2"/>
          <c:y val="0.14486416598372129"/>
          <c:w val="0.91650267136649111"/>
          <c:h val="0.63090917420451709"/>
        </c:manualLayout>
      </c:layout>
      <c:scatterChart>
        <c:scatterStyle val="lineMarker"/>
        <c:varyColors val="0"/>
        <c:ser>
          <c:idx val="0"/>
          <c:order val="0"/>
          <c:tx>
            <c:v>Original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tint val="77000"/>
                </a:schemeClr>
              </a:solidFill>
              <a:ln w="9525">
                <a:solidFill>
                  <a:schemeClr val="accent4">
                    <a:tint val="77000"/>
                  </a:schemeClr>
                </a:solidFill>
              </a:ln>
              <a:effectLst/>
            </c:spPr>
          </c:marker>
          <c:xVal>
            <c:numRef>
              <c:f>'Bending Stiffness'!$P$18:$P$1267</c:f>
              <c:numCache>
                <c:formatCode>0.0000</c:formatCode>
                <c:ptCount val="1250"/>
                <c:pt idx="0">
                  <c:v>0</c:v>
                </c:pt>
                <c:pt idx="1">
                  <c:v>1.2928199999999999E-5</c:v>
                </c:pt>
                <c:pt idx="2">
                  <c:v>2.5856399999999999E-5</c:v>
                </c:pt>
                <c:pt idx="3">
                  <c:v>3.8784600000000001E-5</c:v>
                </c:pt>
                <c:pt idx="4">
                  <c:v>5.1712799999999997E-5</c:v>
                </c:pt>
                <c:pt idx="5">
                  <c:v>6.4641009999999994E-5</c:v>
                </c:pt>
                <c:pt idx="6">
                  <c:v>7.7569210000000003E-5</c:v>
                </c:pt>
                <c:pt idx="7">
                  <c:v>9.0497409999999999E-5</c:v>
                </c:pt>
                <c:pt idx="8">
                  <c:v>1.0342559999999999E-4</c:v>
                </c:pt>
                <c:pt idx="9">
                  <c:v>1.163538E-4</c:v>
                </c:pt>
                <c:pt idx="10">
                  <c:v>1.2928200000000001E-4</c:v>
                </c:pt>
                <c:pt idx="11">
                  <c:v>1.422102E-4</c:v>
                </c:pt>
                <c:pt idx="12">
                  <c:v>1.5513840000000001E-4</c:v>
                </c:pt>
                <c:pt idx="13">
                  <c:v>1.6806659999999999E-4</c:v>
                </c:pt>
                <c:pt idx="14">
                  <c:v>1.809948E-4</c:v>
                </c:pt>
                <c:pt idx="15">
                  <c:v>1.9392300000000001E-4</c:v>
                </c:pt>
                <c:pt idx="16">
                  <c:v>2.0685119999999999E-4</c:v>
                </c:pt>
                <c:pt idx="17">
                  <c:v>2.197794E-4</c:v>
                </c:pt>
                <c:pt idx="18">
                  <c:v>2.3270760000000001E-4</c:v>
                </c:pt>
                <c:pt idx="19">
                  <c:v>2.4563580000000002E-4</c:v>
                </c:pt>
                <c:pt idx="20">
                  <c:v>2.5856400000000003E-4</c:v>
                </c:pt>
                <c:pt idx="21">
                  <c:v>2.7149219999999998E-4</c:v>
                </c:pt>
                <c:pt idx="22">
                  <c:v>2.8442039999999999E-4</c:v>
                </c:pt>
                <c:pt idx="23">
                  <c:v>2.973486E-4</c:v>
                </c:pt>
                <c:pt idx="24">
                  <c:v>3.1027680000000001E-4</c:v>
                </c:pt>
                <c:pt idx="25">
                  <c:v>3.2320500000000002E-4</c:v>
                </c:pt>
                <c:pt idx="26">
                  <c:v>3.3613319999999998E-4</c:v>
                </c:pt>
                <c:pt idx="27">
                  <c:v>3.4906139999999998E-4</c:v>
                </c:pt>
                <c:pt idx="28">
                  <c:v>3.6198959999999999E-4</c:v>
                </c:pt>
                <c:pt idx="29">
                  <c:v>3.749178E-4</c:v>
                </c:pt>
                <c:pt idx="30">
                  <c:v>3.8784600000000001E-4</c:v>
                </c:pt>
                <c:pt idx="31">
                  <c:v>4.0077420000000002E-4</c:v>
                </c:pt>
                <c:pt idx="32">
                  <c:v>4.1370239999999998E-4</c:v>
                </c:pt>
                <c:pt idx="33">
                  <c:v>4.2663059999999999E-4</c:v>
                </c:pt>
                <c:pt idx="34">
                  <c:v>4.395588E-4</c:v>
                </c:pt>
                <c:pt idx="35">
                  <c:v>4.5248700000000001E-4</c:v>
                </c:pt>
                <c:pt idx="36">
                  <c:v>4.6541520000000002E-4</c:v>
                </c:pt>
                <c:pt idx="37">
                  <c:v>4.7834340000000003E-4</c:v>
                </c:pt>
                <c:pt idx="38">
                  <c:v>4.9127160000000003E-4</c:v>
                </c:pt>
                <c:pt idx="39">
                  <c:v>5.0419980000000004E-4</c:v>
                </c:pt>
                <c:pt idx="40">
                  <c:v>5.1712800000000005E-4</c:v>
                </c:pt>
                <c:pt idx="41">
                  <c:v>5.3005619999999995E-4</c:v>
                </c:pt>
                <c:pt idx="42">
                  <c:v>5.4298439999999996E-4</c:v>
                </c:pt>
                <c:pt idx="43">
                  <c:v>5.5591259999999997E-4</c:v>
                </c:pt>
                <c:pt idx="44">
                  <c:v>5.6884079999999998E-4</c:v>
                </c:pt>
                <c:pt idx="45">
                  <c:v>5.8176899999999999E-4</c:v>
                </c:pt>
                <c:pt idx="46">
                  <c:v>5.946972E-4</c:v>
                </c:pt>
                <c:pt idx="47">
                  <c:v>6.0762540000000001E-4</c:v>
                </c:pt>
                <c:pt idx="48">
                  <c:v>6.2055369999999995E-4</c:v>
                </c:pt>
                <c:pt idx="49">
                  <c:v>6.3348189999999996E-4</c:v>
                </c:pt>
                <c:pt idx="50">
                  <c:v>6.4641009999999997E-4</c:v>
                </c:pt>
                <c:pt idx="51">
                  <c:v>6.5933829999999998E-4</c:v>
                </c:pt>
                <c:pt idx="52">
                  <c:v>6.7226649999999998E-4</c:v>
                </c:pt>
                <c:pt idx="53">
                  <c:v>6.8519469999999999E-4</c:v>
                </c:pt>
                <c:pt idx="54">
                  <c:v>6.981229E-4</c:v>
                </c:pt>
                <c:pt idx="55">
                  <c:v>7.1105110000000001E-4</c:v>
                </c:pt>
                <c:pt idx="56">
                  <c:v>7.2397930000000002E-4</c:v>
                </c:pt>
                <c:pt idx="57">
                  <c:v>7.3690750000000003E-4</c:v>
                </c:pt>
                <c:pt idx="58">
                  <c:v>7.4983570000000004E-4</c:v>
                </c:pt>
                <c:pt idx="59">
                  <c:v>7.6276390000000005E-4</c:v>
                </c:pt>
                <c:pt idx="60">
                  <c:v>7.7569209999999995E-4</c:v>
                </c:pt>
                <c:pt idx="61">
                  <c:v>7.8862029999999996E-4</c:v>
                </c:pt>
                <c:pt idx="62">
                  <c:v>8.0154849999999997E-4</c:v>
                </c:pt>
                <c:pt idx="63">
                  <c:v>8.1447669999999998E-4</c:v>
                </c:pt>
                <c:pt idx="64">
                  <c:v>8.2740489999999999E-4</c:v>
                </c:pt>
                <c:pt idx="65">
                  <c:v>8.403331E-4</c:v>
                </c:pt>
                <c:pt idx="66">
                  <c:v>8.5326130000000001E-4</c:v>
                </c:pt>
                <c:pt idx="67">
                  <c:v>8.6618950000000002E-4</c:v>
                </c:pt>
                <c:pt idx="68">
                  <c:v>8.7911770000000003E-4</c:v>
                </c:pt>
                <c:pt idx="69">
                  <c:v>8.9204590000000004E-4</c:v>
                </c:pt>
                <c:pt idx="70">
                  <c:v>9.0497410000000005E-4</c:v>
                </c:pt>
                <c:pt idx="71">
                  <c:v>9.1790229999999995E-4</c:v>
                </c:pt>
                <c:pt idx="72">
                  <c:v>9.3083049999999996E-4</c:v>
                </c:pt>
                <c:pt idx="73">
                  <c:v>9.4375869999999997E-4</c:v>
                </c:pt>
                <c:pt idx="74">
                  <c:v>9.5668689999999998E-4</c:v>
                </c:pt>
                <c:pt idx="75">
                  <c:v>9.6961509999999999E-4</c:v>
                </c:pt>
                <c:pt idx="76">
                  <c:v>9.825433000000001E-4</c:v>
                </c:pt>
                <c:pt idx="77">
                  <c:v>9.954714999999999E-4</c:v>
                </c:pt>
                <c:pt idx="78">
                  <c:v>1.0084E-3</c:v>
                </c:pt>
                <c:pt idx="79">
                  <c:v>1.0213279999999999E-3</c:v>
                </c:pt>
                <c:pt idx="80">
                  <c:v>1.0342560000000001E-3</c:v>
                </c:pt>
                <c:pt idx="81">
                  <c:v>1.047184E-3</c:v>
                </c:pt>
                <c:pt idx="82">
                  <c:v>1.060112E-3</c:v>
                </c:pt>
                <c:pt idx="83">
                  <c:v>1.0730410000000001E-3</c:v>
                </c:pt>
                <c:pt idx="84">
                  <c:v>1.085969E-3</c:v>
                </c:pt>
                <c:pt idx="85">
                  <c:v>1.0988969999999999E-3</c:v>
                </c:pt>
                <c:pt idx="86">
                  <c:v>1.1118250000000001E-3</c:v>
                </c:pt>
                <c:pt idx="87">
                  <c:v>1.124753E-3</c:v>
                </c:pt>
                <c:pt idx="88">
                  <c:v>1.1376820000000001E-3</c:v>
                </c:pt>
                <c:pt idx="89">
                  <c:v>1.15061E-3</c:v>
                </c:pt>
                <c:pt idx="90">
                  <c:v>1.163538E-3</c:v>
                </c:pt>
                <c:pt idx="91">
                  <c:v>1.1764659999999999E-3</c:v>
                </c:pt>
                <c:pt idx="92">
                  <c:v>1.1893940000000001E-3</c:v>
                </c:pt>
                <c:pt idx="93">
                  <c:v>1.2023229999999999E-3</c:v>
                </c:pt>
                <c:pt idx="94">
                  <c:v>1.2152510000000001E-3</c:v>
                </c:pt>
                <c:pt idx="95">
                  <c:v>1.228179E-3</c:v>
                </c:pt>
                <c:pt idx="96">
                  <c:v>1.241107E-3</c:v>
                </c:pt>
                <c:pt idx="97">
                  <c:v>1.254036E-3</c:v>
                </c:pt>
                <c:pt idx="98">
                  <c:v>1.266964E-3</c:v>
                </c:pt>
                <c:pt idx="99">
                  <c:v>1.2798919999999999E-3</c:v>
                </c:pt>
                <c:pt idx="100">
                  <c:v>1.2928200000000001E-3</c:v>
                </c:pt>
                <c:pt idx="101">
                  <c:v>1.305748E-3</c:v>
                </c:pt>
                <c:pt idx="102">
                  <c:v>1.3186770000000001E-3</c:v>
                </c:pt>
                <c:pt idx="103">
                  <c:v>1.331605E-3</c:v>
                </c:pt>
                <c:pt idx="104">
                  <c:v>1.344533E-3</c:v>
                </c:pt>
                <c:pt idx="105">
                  <c:v>1.3574609999999999E-3</c:v>
                </c:pt>
                <c:pt idx="106">
                  <c:v>1.3703890000000001E-3</c:v>
                </c:pt>
                <c:pt idx="107">
                  <c:v>1.3833179999999999E-3</c:v>
                </c:pt>
                <c:pt idx="108">
                  <c:v>1.3962460000000001E-3</c:v>
                </c:pt>
                <c:pt idx="109">
                  <c:v>1.409174E-3</c:v>
                </c:pt>
                <c:pt idx="110">
                  <c:v>1.422102E-3</c:v>
                </c:pt>
                <c:pt idx="111">
                  <c:v>1.4350299999999999E-3</c:v>
                </c:pt>
                <c:pt idx="112">
                  <c:v>1.447959E-3</c:v>
                </c:pt>
                <c:pt idx="113">
                  <c:v>1.4608869999999999E-3</c:v>
                </c:pt>
                <c:pt idx="114">
                  <c:v>1.4738150000000001E-3</c:v>
                </c:pt>
                <c:pt idx="115">
                  <c:v>1.486743E-3</c:v>
                </c:pt>
                <c:pt idx="116">
                  <c:v>1.4996709999999999E-3</c:v>
                </c:pt>
                <c:pt idx="117">
                  <c:v>1.5126E-3</c:v>
                </c:pt>
                <c:pt idx="118">
                  <c:v>1.525528E-3</c:v>
                </c:pt>
                <c:pt idx="119">
                  <c:v>1.5384559999999999E-3</c:v>
                </c:pt>
                <c:pt idx="120">
                  <c:v>1.5513840000000001E-3</c:v>
                </c:pt>
                <c:pt idx="121">
                  <c:v>1.564312E-3</c:v>
                </c:pt>
                <c:pt idx="122">
                  <c:v>1.5772410000000001E-3</c:v>
                </c:pt>
                <c:pt idx="123">
                  <c:v>1.590169E-3</c:v>
                </c:pt>
                <c:pt idx="124">
                  <c:v>1.6030969999999999E-3</c:v>
                </c:pt>
                <c:pt idx="125">
                  <c:v>1.6160250000000001E-3</c:v>
                </c:pt>
                <c:pt idx="126">
                  <c:v>1.628953E-3</c:v>
                </c:pt>
                <c:pt idx="127">
                  <c:v>1.6418820000000001E-3</c:v>
                </c:pt>
                <c:pt idx="128">
                  <c:v>1.65481E-3</c:v>
                </c:pt>
                <c:pt idx="129">
                  <c:v>1.667738E-3</c:v>
                </c:pt>
                <c:pt idx="130">
                  <c:v>1.6806659999999999E-3</c:v>
                </c:pt>
                <c:pt idx="131">
                  <c:v>1.6935940000000001E-3</c:v>
                </c:pt>
                <c:pt idx="132">
                  <c:v>1.7065229999999999E-3</c:v>
                </c:pt>
                <c:pt idx="133">
                  <c:v>1.7194510000000001E-3</c:v>
                </c:pt>
                <c:pt idx="134">
                  <c:v>1.732379E-3</c:v>
                </c:pt>
                <c:pt idx="135">
                  <c:v>1.745307E-3</c:v>
                </c:pt>
                <c:pt idx="136">
                  <c:v>1.7582349999999999E-3</c:v>
                </c:pt>
                <c:pt idx="137">
                  <c:v>1.771164E-3</c:v>
                </c:pt>
                <c:pt idx="138">
                  <c:v>1.7840919999999999E-3</c:v>
                </c:pt>
                <c:pt idx="139">
                  <c:v>1.7970200000000001E-3</c:v>
                </c:pt>
                <c:pt idx="140">
                  <c:v>1.809948E-3</c:v>
                </c:pt>
                <c:pt idx="141">
                  <c:v>1.822876E-3</c:v>
                </c:pt>
                <c:pt idx="142">
                  <c:v>1.835805E-3</c:v>
                </c:pt>
                <c:pt idx="143">
                  <c:v>1.848733E-3</c:v>
                </c:pt>
                <c:pt idx="144">
                  <c:v>1.8616609999999999E-3</c:v>
                </c:pt>
                <c:pt idx="145">
                  <c:v>1.8745890000000001E-3</c:v>
                </c:pt>
                <c:pt idx="146">
                  <c:v>1.887517E-3</c:v>
                </c:pt>
                <c:pt idx="147">
                  <c:v>1.9004460000000001E-3</c:v>
                </c:pt>
                <c:pt idx="148">
                  <c:v>1.913374E-3</c:v>
                </c:pt>
                <c:pt idx="149">
                  <c:v>1.926302E-3</c:v>
                </c:pt>
                <c:pt idx="150">
                  <c:v>1.9392299999999999E-3</c:v>
                </c:pt>
                <c:pt idx="151">
                  <c:v>1.9521580000000001E-3</c:v>
                </c:pt>
                <c:pt idx="152">
                  <c:v>1.9650869999999999E-3</c:v>
                </c:pt>
                <c:pt idx="153">
                  <c:v>1.9780150000000001E-3</c:v>
                </c:pt>
                <c:pt idx="154">
                  <c:v>1.9909429999999998E-3</c:v>
                </c:pt>
                <c:pt idx="155">
                  <c:v>2.003871E-3</c:v>
                </c:pt>
                <c:pt idx="156">
                  <c:v>2.0167990000000001E-3</c:v>
                </c:pt>
                <c:pt idx="157">
                  <c:v>2.0297280000000002E-3</c:v>
                </c:pt>
                <c:pt idx="158">
                  <c:v>2.0426559999999999E-3</c:v>
                </c:pt>
                <c:pt idx="159">
                  <c:v>2.0555840000000001E-3</c:v>
                </c:pt>
                <c:pt idx="160">
                  <c:v>2.0685120000000002E-3</c:v>
                </c:pt>
                <c:pt idx="161">
                  <c:v>2.0814399999999999E-3</c:v>
                </c:pt>
                <c:pt idx="162">
                  <c:v>2.094369E-3</c:v>
                </c:pt>
                <c:pt idx="163">
                  <c:v>2.1072970000000002E-3</c:v>
                </c:pt>
                <c:pt idx="164">
                  <c:v>2.1202249999999999E-3</c:v>
                </c:pt>
                <c:pt idx="165">
                  <c:v>2.133153E-3</c:v>
                </c:pt>
                <c:pt idx="166">
                  <c:v>2.1460810000000002E-3</c:v>
                </c:pt>
                <c:pt idx="167">
                  <c:v>2.1590099999999998E-3</c:v>
                </c:pt>
                <c:pt idx="168">
                  <c:v>2.171938E-3</c:v>
                </c:pt>
                <c:pt idx="169">
                  <c:v>2.1848660000000002E-3</c:v>
                </c:pt>
                <c:pt idx="170">
                  <c:v>2.1977939999999999E-3</c:v>
                </c:pt>
                <c:pt idx="171">
                  <c:v>2.210722E-3</c:v>
                </c:pt>
                <c:pt idx="172">
                  <c:v>2.2236510000000001E-3</c:v>
                </c:pt>
                <c:pt idx="173">
                  <c:v>2.2365789999999998E-3</c:v>
                </c:pt>
                <c:pt idx="174">
                  <c:v>2.249507E-3</c:v>
                </c:pt>
                <c:pt idx="175">
                  <c:v>2.2624350000000001E-3</c:v>
                </c:pt>
                <c:pt idx="176">
                  <c:v>2.2753629999999999E-3</c:v>
                </c:pt>
                <c:pt idx="177">
                  <c:v>2.2882919999999999E-3</c:v>
                </c:pt>
                <c:pt idx="178">
                  <c:v>2.3012200000000001E-3</c:v>
                </c:pt>
                <c:pt idx="179">
                  <c:v>2.3141479999999998E-3</c:v>
                </c:pt>
                <c:pt idx="180">
                  <c:v>2.327076E-3</c:v>
                </c:pt>
                <c:pt idx="181">
                  <c:v>2.3400040000000001E-3</c:v>
                </c:pt>
                <c:pt idx="182">
                  <c:v>2.3529330000000002E-3</c:v>
                </c:pt>
                <c:pt idx="183">
                  <c:v>2.3658609999999999E-3</c:v>
                </c:pt>
                <c:pt idx="184">
                  <c:v>2.3787890000000001E-3</c:v>
                </c:pt>
                <c:pt idx="185">
                  <c:v>2.3917169999999998E-3</c:v>
                </c:pt>
                <c:pt idx="186">
                  <c:v>2.404645E-3</c:v>
                </c:pt>
                <c:pt idx="187">
                  <c:v>2.417574E-3</c:v>
                </c:pt>
                <c:pt idx="188">
                  <c:v>2.4305020000000002E-3</c:v>
                </c:pt>
                <c:pt idx="189">
                  <c:v>2.4434299999999999E-3</c:v>
                </c:pt>
                <c:pt idx="190">
                  <c:v>2.4563580000000001E-3</c:v>
                </c:pt>
                <c:pt idx="191">
                  <c:v>2.4692859999999998E-3</c:v>
                </c:pt>
                <c:pt idx="192">
                  <c:v>2.4822149999999999E-3</c:v>
                </c:pt>
                <c:pt idx="193">
                  <c:v>2.495143E-3</c:v>
                </c:pt>
                <c:pt idx="194">
                  <c:v>2.5080710000000002E-3</c:v>
                </c:pt>
                <c:pt idx="195">
                  <c:v>2.5209989999999999E-3</c:v>
                </c:pt>
                <c:pt idx="196">
                  <c:v>2.5339270000000001E-3</c:v>
                </c:pt>
                <c:pt idx="197">
                  <c:v>2.5468560000000001E-3</c:v>
                </c:pt>
                <c:pt idx="198">
                  <c:v>2.5597839999999998E-3</c:v>
                </c:pt>
                <c:pt idx="199">
                  <c:v>2.572712E-3</c:v>
                </c:pt>
                <c:pt idx="200">
                  <c:v>2.5856400000000002E-3</c:v>
                </c:pt>
                <c:pt idx="201">
                  <c:v>2.5985679999999999E-3</c:v>
                </c:pt>
                <c:pt idx="202">
                  <c:v>2.611497E-3</c:v>
                </c:pt>
                <c:pt idx="203">
                  <c:v>2.6244250000000001E-3</c:v>
                </c:pt>
                <c:pt idx="204">
                  <c:v>2.6373529999999998E-3</c:v>
                </c:pt>
                <c:pt idx="205">
                  <c:v>2.650281E-3</c:v>
                </c:pt>
                <c:pt idx="206">
                  <c:v>2.6632090000000001E-3</c:v>
                </c:pt>
                <c:pt idx="207">
                  <c:v>2.6761380000000002E-3</c:v>
                </c:pt>
                <c:pt idx="208">
                  <c:v>2.6890659999999999E-3</c:v>
                </c:pt>
                <c:pt idx="209">
                  <c:v>2.7019940000000001E-3</c:v>
                </c:pt>
                <c:pt idx="210">
                  <c:v>2.7149219999999998E-3</c:v>
                </c:pt>
                <c:pt idx="211">
                  <c:v>2.72785E-3</c:v>
                </c:pt>
                <c:pt idx="212">
                  <c:v>2.740779E-3</c:v>
                </c:pt>
                <c:pt idx="213">
                  <c:v>2.7537070000000002E-3</c:v>
                </c:pt>
                <c:pt idx="214">
                  <c:v>2.7666349999999999E-3</c:v>
                </c:pt>
                <c:pt idx="215">
                  <c:v>2.7795630000000001E-3</c:v>
                </c:pt>
                <c:pt idx="216">
                  <c:v>2.7924909999999998E-3</c:v>
                </c:pt>
                <c:pt idx="217">
                  <c:v>2.8054199999999999E-3</c:v>
                </c:pt>
                <c:pt idx="218">
                  <c:v>2.818348E-3</c:v>
                </c:pt>
                <c:pt idx="219">
                  <c:v>2.8312760000000002E-3</c:v>
                </c:pt>
                <c:pt idx="220">
                  <c:v>2.8442039999999999E-3</c:v>
                </c:pt>
                <c:pt idx="221">
                  <c:v>2.8571320000000001E-3</c:v>
                </c:pt>
                <c:pt idx="222">
                  <c:v>2.8700610000000001E-3</c:v>
                </c:pt>
                <c:pt idx="223">
                  <c:v>2.8829889999999999E-3</c:v>
                </c:pt>
                <c:pt idx="224">
                  <c:v>2.895917E-3</c:v>
                </c:pt>
                <c:pt idx="225">
                  <c:v>2.9088450000000002E-3</c:v>
                </c:pt>
                <c:pt idx="226">
                  <c:v>2.9217729999999999E-3</c:v>
                </c:pt>
                <c:pt idx="227">
                  <c:v>2.934702E-3</c:v>
                </c:pt>
                <c:pt idx="228">
                  <c:v>2.9476300000000001E-3</c:v>
                </c:pt>
                <c:pt idx="229">
                  <c:v>2.9605579999999999E-3</c:v>
                </c:pt>
                <c:pt idx="230">
                  <c:v>2.973486E-3</c:v>
                </c:pt>
                <c:pt idx="231">
                  <c:v>2.9864140000000002E-3</c:v>
                </c:pt>
                <c:pt idx="232">
                  <c:v>2.9993429999999998E-3</c:v>
                </c:pt>
                <c:pt idx="233">
                  <c:v>3.012271E-3</c:v>
                </c:pt>
                <c:pt idx="234">
                  <c:v>3.0251990000000001E-3</c:v>
                </c:pt>
                <c:pt idx="235">
                  <c:v>3.0381269999999998E-3</c:v>
                </c:pt>
                <c:pt idx="236">
                  <c:v>3.051055E-3</c:v>
                </c:pt>
                <c:pt idx="237">
                  <c:v>3.0639840000000001E-3</c:v>
                </c:pt>
                <c:pt idx="238">
                  <c:v>3.0769119999999998E-3</c:v>
                </c:pt>
                <c:pt idx="239">
                  <c:v>3.0898399999999999E-3</c:v>
                </c:pt>
                <c:pt idx="240">
                  <c:v>3.1027680000000001E-3</c:v>
                </c:pt>
                <c:pt idx="241">
                  <c:v>3.1156959999999998E-3</c:v>
                </c:pt>
                <c:pt idx="242">
                  <c:v>3.1286249999999999E-3</c:v>
                </c:pt>
                <c:pt idx="243">
                  <c:v>3.1415530000000001E-3</c:v>
                </c:pt>
                <c:pt idx="244">
                  <c:v>3.1544810000000002E-3</c:v>
                </c:pt>
                <c:pt idx="245">
                  <c:v>3.1674089999999999E-3</c:v>
                </c:pt>
                <c:pt idx="246">
                  <c:v>3.1803370000000001E-3</c:v>
                </c:pt>
                <c:pt idx="247">
                  <c:v>3.1932660000000002E-3</c:v>
                </c:pt>
                <c:pt idx="248">
                  <c:v>3.2061939999999999E-3</c:v>
                </c:pt>
                <c:pt idx="249">
                  <c:v>3.219122E-3</c:v>
                </c:pt>
                <c:pt idx="250">
                  <c:v>3.2320500000000002E-3</c:v>
                </c:pt>
                <c:pt idx="251">
                  <c:v>3.2449779999999999E-3</c:v>
                </c:pt>
                <c:pt idx="252">
                  <c:v>3.257907E-3</c:v>
                </c:pt>
                <c:pt idx="253">
                  <c:v>3.2708350000000001E-3</c:v>
                </c:pt>
                <c:pt idx="254">
                  <c:v>3.2837629999999999E-3</c:v>
                </c:pt>
                <c:pt idx="255">
                  <c:v>3.296691E-3</c:v>
                </c:pt>
                <c:pt idx="256">
                  <c:v>3.3096190000000002E-3</c:v>
                </c:pt>
                <c:pt idx="257">
                  <c:v>3.3225479999999998E-3</c:v>
                </c:pt>
                <c:pt idx="258">
                  <c:v>3.335476E-3</c:v>
                </c:pt>
                <c:pt idx="259">
                  <c:v>3.3484040000000001E-3</c:v>
                </c:pt>
                <c:pt idx="260">
                  <c:v>3.3613319999999999E-3</c:v>
                </c:pt>
                <c:pt idx="261">
                  <c:v>3.37426E-3</c:v>
                </c:pt>
                <c:pt idx="262">
                  <c:v>3.3871890000000001E-3</c:v>
                </c:pt>
                <c:pt idx="263">
                  <c:v>3.4001169999999998E-3</c:v>
                </c:pt>
                <c:pt idx="264">
                  <c:v>3.413045E-3</c:v>
                </c:pt>
                <c:pt idx="265">
                  <c:v>3.4259730000000001E-3</c:v>
                </c:pt>
                <c:pt idx="266">
                  <c:v>3.4389009999999999E-3</c:v>
                </c:pt>
                <c:pt idx="267">
                  <c:v>3.4518299999999999E-3</c:v>
                </c:pt>
                <c:pt idx="268">
                  <c:v>3.4647580000000001E-3</c:v>
                </c:pt>
                <c:pt idx="269">
                  <c:v>3.4776859999999998E-3</c:v>
                </c:pt>
                <c:pt idx="270">
                  <c:v>3.490614E-3</c:v>
                </c:pt>
                <c:pt idx="271">
                  <c:v>3.5035420000000001E-3</c:v>
                </c:pt>
                <c:pt idx="272">
                  <c:v>3.5164710000000002E-3</c:v>
                </c:pt>
                <c:pt idx="273">
                  <c:v>3.5293989999999999E-3</c:v>
                </c:pt>
                <c:pt idx="274">
                  <c:v>3.5423270000000001E-3</c:v>
                </c:pt>
                <c:pt idx="275">
                  <c:v>3.5552549999999998E-3</c:v>
                </c:pt>
                <c:pt idx="276">
                  <c:v>3.5681829999999999E-3</c:v>
                </c:pt>
                <c:pt idx="277">
                  <c:v>3.581112E-3</c:v>
                </c:pt>
                <c:pt idx="278">
                  <c:v>3.5940400000000002E-3</c:v>
                </c:pt>
                <c:pt idx="279">
                  <c:v>3.6069679999999999E-3</c:v>
                </c:pt>
                <c:pt idx="280">
                  <c:v>3.6198960000000001E-3</c:v>
                </c:pt>
                <c:pt idx="281">
                  <c:v>3.6328240000000002E-3</c:v>
                </c:pt>
                <c:pt idx="282">
                  <c:v>3.6457529999999998E-3</c:v>
                </c:pt>
                <c:pt idx="283">
                  <c:v>3.658681E-3</c:v>
                </c:pt>
                <c:pt idx="284">
                  <c:v>3.6716090000000002E-3</c:v>
                </c:pt>
                <c:pt idx="285">
                  <c:v>3.6845369999999999E-3</c:v>
                </c:pt>
                <c:pt idx="286">
                  <c:v>3.6974659999999999E-3</c:v>
                </c:pt>
                <c:pt idx="287">
                  <c:v>3.7103940000000001E-3</c:v>
                </c:pt>
                <c:pt idx="288">
                  <c:v>3.7233219999999998E-3</c:v>
                </c:pt>
                <c:pt idx="289">
                  <c:v>3.73625E-3</c:v>
                </c:pt>
                <c:pt idx="290">
                  <c:v>3.7491780000000001E-3</c:v>
                </c:pt>
                <c:pt idx="291">
                  <c:v>3.7621070000000002E-3</c:v>
                </c:pt>
                <c:pt idx="292">
                  <c:v>3.7750349999999999E-3</c:v>
                </c:pt>
                <c:pt idx="293">
                  <c:v>3.7879630000000001E-3</c:v>
                </c:pt>
                <c:pt idx="294">
                  <c:v>3.8008909999999998E-3</c:v>
                </c:pt>
                <c:pt idx="295">
                  <c:v>3.813819E-3</c:v>
                </c:pt>
                <c:pt idx="296">
                  <c:v>3.826748E-3</c:v>
                </c:pt>
                <c:pt idx="297">
                  <c:v>3.8396760000000002E-3</c:v>
                </c:pt>
                <c:pt idx="298">
                  <c:v>3.8526039999999999E-3</c:v>
                </c:pt>
                <c:pt idx="299">
                  <c:v>3.8655320000000001E-3</c:v>
                </c:pt>
                <c:pt idx="300">
                  <c:v>3.8784599999999998E-3</c:v>
                </c:pt>
                <c:pt idx="301">
                  <c:v>3.8913889999999999E-3</c:v>
                </c:pt>
                <c:pt idx="302">
                  <c:v>3.904317E-3</c:v>
                </c:pt>
                <c:pt idx="303">
                  <c:v>3.9172449999999998E-3</c:v>
                </c:pt>
                <c:pt idx="304">
                  <c:v>3.9301730000000003E-3</c:v>
                </c:pt>
                <c:pt idx="305">
                  <c:v>3.9431010000000001E-3</c:v>
                </c:pt>
                <c:pt idx="306">
                  <c:v>3.9560300000000001E-3</c:v>
                </c:pt>
                <c:pt idx="307">
                  <c:v>3.9689579999999999E-3</c:v>
                </c:pt>
                <c:pt idx="308">
                  <c:v>3.9818859999999996E-3</c:v>
                </c:pt>
                <c:pt idx="309">
                  <c:v>3.9948140000000002E-3</c:v>
                </c:pt>
                <c:pt idx="310">
                  <c:v>4.0077419999999999E-3</c:v>
                </c:pt>
                <c:pt idx="311">
                  <c:v>4.020671E-3</c:v>
                </c:pt>
                <c:pt idx="312">
                  <c:v>4.0335989999999997E-3</c:v>
                </c:pt>
                <c:pt idx="313">
                  <c:v>4.0465270000000003E-3</c:v>
                </c:pt>
                <c:pt idx="314">
                  <c:v>4.059455E-3</c:v>
                </c:pt>
                <c:pt idx="315">
                  <c:v>4.0723829999999997E-3</c:v>
                </c:pt>
                <c:pt idx="316">
                  <c:v>4.0853119999999998E-3</c:v>
                </c:pt>
                <c:pt idx="317">
                  <c:v>4.0982400000000004E-3</c:v>
                </c:pt>
                <c:pt idx="318">
                  <c:v>4.1111680000000001E-3</c:v>
                </c:pt>
                <c:pt idx="319">
                  <c:v>4.1240959999999998E-3</c:v>
                </c:pt>
                <c:pt idx="320">
                  <c:v>4.1370240000000004E-3</c:v>
                </c:pt>
                <c:pt idx="321">
                  <c:v>4.1499529999999996E-3</c:v>
                </c:pt>
                <c:pt idx="322">
                  <c:v>4.1628810000000002E-3</c:v>
                </c:pt>
                <c:pt idx="323">
                  <c:v>4.1758089999999999E-3</c:v>
                </c:pt>
                <c:pt idx="324">
                  <c:v>4.1887369999999997E-3</c:v>
                </c:pt>
                <c:pt idx="325">
                  <c:v>4.2016650000000003E-3</c:v>
                </c:pt>
                <c:pt idx="326">
                  <c:v>4.2145940000000003E-3</c:v>
                </c:pt>
                <c:pt idx="327">
                  <c:v>4.2275220000000001E-3</c:v>
                </c:pt>
                <c:pt idx="328">
                  <c:v>4.2404499999999998E-3</c:v>
                </c:pt>
                <c:pt idx="329">
                  <c:v>4.2533780000000004E-3</c:v>
                </c:pt>
                <c:pt idx="330">
                  <c:v>4.2663060000000001E-3</c:v>
                </c:pt>
                <c:pt idx="331">
                  <c:v>4.2792350000000002E-3</c:v>
                </c:pt>
                <c:pt idx="332">
                  <c:v>4.2921629999999999E-3</c:v>
                </c:pt>
                <c:pt idx="333">
                  <c:v>4.3050909999999996E-3</c:v>
                </c:pt>
                <c:pt idx="334">
                  <c:v>4.3180190000000002E-3</c:v>
                </c:pt>
                <c:pt idx="335">
                  <c:v>4.3309469999999999E-3</c:v>
                </c:pt>
                <c:pt idx="336">
                  <c:v>4.343876E-3</c:v>
                </c:pt>
                <c:pt idx="337">
                  <c:v>4.3568039999999997E-3</c:v>
                </c:pt>
                <c:pt idx="338">
                  <c:v>4.3697320000000003E-3</c:v>
                </c:pt>
                <c:pt idx="339">
                  <c:v>4.38266E-3</c:v>
                </c:pt>
                <c:pt idx="340">
                  <c:v>4.3955879999999998E-3</c:v>
                </c:pt>
                <c:pt idx="341">
                  <c:v>4.4085169999999998E-3</c:v>
                </c:pt>
                <c:pt idx="342">
                  <c:v>4.4214450000000004E-3</c:v>
                </c:pt>
                <c:pt idx="343">
                  <c:v>4.4343730000000001E-3</c:v>
                </c:pt>
                <c:pt idx="344">
                  <c:v>4.4473009999999999E-3</c:v>
                </c:pt>
                <c:pt idx="345">
                  <c:v>4.4602289999999996E-3</c:v>
                </c:pt>
                <c:pt idx="346">
                  <c:v>4.4731579999999996E-3</c:v>
                </c:pt>
                <c:pt idx="347">
                  <c:v>4.4860860000000002E-3</c:v>
                </c:pt>
                <c:pt idx="348">
                  <c:v>4.499014E-3</c:v>
                </c:pt>
                <c:pt idx="349">
                  <c:v>4.5119419999999997E-3</c:v>
                </c:pt>
                <c:pt idx="350">
                  <c:v>4.5248700000000003E-3</c:v>
                </c:pt>
                <c:pt idx="351">
                  <c:v>4.5377990000000003E-3</c:v>
                </c:pt>
                <c:pt idx="352">
                  <c:v>4.5507270000000001E-3</c:v>
                </c:pt>
                <c:pt idx="353">
                  <c:v>4.5636549999999998E-3</c:v>
                </c:pt>
                <c:pt idx="354">
                  <c:v>4.5765830000000004E-3</c:v>
                </c:pt>
                <c:pt idx="355">
                  <c:v>4.5895110000000001E-3</c:v>
                </c:pt>
                <c:pt idx="356">
                  <c:v>4.6024400000000002E-3</c:v>
                </c:pt>
                <c:pt idx="357">
                  <c:v>4.6153679999999999E-3</c:v>
                </c:pt>
                <c:pt idx="358">
                  <c:v>4.6282959999999996E-3</c:v>
                </c:pt>
                <c:pt idx="359">
                  <c:v>4.6412240000000002E-3</c:v>
                </c:pt>
                <c:pt idx="360">
                  <c:v>4.6541519999999999E-3</c:v>
                </c:pt>
                <c:pt idx="361">
                  <c:v>4.667081E-3</c:v>
                </c:pt>
                <c:pt idx="362">
                  <c:v>4.6800089999999997E-3</c:v>
                </c:pt>
                <c:pt idx="363">
                  <c:v>4.6929370000000003E-3</c:v>
                </c:pt>
                <c:pt idx="364">
                  <c:v>4.705865E-3</c:v>
                </c:pt>
                <c:pt idx="365">
                  <c:v>4.7187929999999998E-3</c:v>
                </c:pt>
                <c:pt idx="366">
                  <c:v>4.7317219999999998E-3</c:v>
                </c:pt>
                <c:pt idx="367">
                  <c:v>4.7446500000000004E-3</c:v>
                </c:pt>
                <c:pt idx="368">
                  <c:v>4.7575780000000002E-3</c:v>
                </c:pt>
                <c:pt idx="369">
                  <c:v>4.7705059999999999E-3</c:v>
                </c:pt>
                <c:pt idx="370">
                  <c:v>4.7834339999999996E-3</c:v>
                </c:pt>
                <c:pt idx="371">
                  <c:v>4.7963629999999997E-3</c:v>
                </c:pt>
                <c:pt idx="372">
                  <c:v>4.8092910000000003E-3</c:v>
                </c:pt>
                <c:pt idx="373">
                  <c:v>4.822219E-3</c:v>
                </c:pt>
                <c:pt idx="374">
                  <c:v>4.8351469999999997E-3</c:v>
                </c:pt>
                <c:pt idx="375">
                  <c:v>4.8480750000000003E-3</c:v>
                </c:pt>
                <c:pt idx="376">
                  <c:v>4.8610040000000004E-3</c:v>
                </c:pt>
                <c:pt idx="377">
                  <c:v>4.8739320000000001E-3</c:v>
                </c:pt>
                <c:pt idx="378">
                  <c:v>4.8868599999999998E-3</c:v>
                </c:pt>
                <c:pt idx="379">
                  <c:v>4.8997880000000004E-3</c:v>
                </c:pt>
                <c:pt idx="380">
                  <c:v>4.9127160000000001E-3</c:v>
                </c:pt>
                <c:pt idx="381">
                  <c:v>4.9256450000000002E-3</c:v>
                </c:pt>
                <c:pt idx="382">
                  <c:v>4.9385729999999999E-3</c:v>
                </c:pt>
                <c:pt idx="383">
                  <c:v>4.9515009999999996E-3</c:v>
                </c:pt>
                <c:pt idx="384">
                  <c:v>4.9644290000000002E-3</c:v>
                </c:pt>
                <c:pt idx="385">
                  <c:v>4.977357E-3</c:v>
                </c:pt>
                <c:pt idx="386">
                  <c:v>4.990286E-3</c:v>
                </c:pt>
                <c:pt idx="387">
                  <c:v>5.0032139999999998E-3</c:v>
                </c:pt>
                <c:pt idx="388">
                  <c:v>5.0161420000000003E-3</c:v>
                </c:pt>
                <c:pt idx="389">
                  <c:v>5.0290700000000001E-3</c:v>
                </c:pt>
                <c:pt idx="390">
                  <c:v>5.0419979999999998E-3</c:v>
                </c:pt>
                <c:pt idx="391">
                  <c:v>5.0549269999999999E-3</c:v>
                </c:pt>
                <c:pt idx="392">
                  <c:v>5.0678549999999996E-3</c:v>
                </c:pt>
                <c:pt idx="393">
                  <c:v>5.0807830000000002E-3</c:v>
                </c:pt>
                <c:pt idx="394">
                  <c:v>5.0937109999999999E-3</c:v>
                </c:pt>
                <c:pt idx="395">
                  <c:v>5.1066389999999996E-3</c:v>
                </c:pt>
                <c:pt idx="396">
                  <c:v>5.1195679999999997E-3</c:v>
                </c:pt>
                <c:pt idx="397">
                  <c:v>5.1324960000000003E-3</c:v>
                </c:pt>
                <c:pt idx="398">
                  <c:v>5.145424E-3</c:v>
                </c:pt>
                <c:pt idx="399">
                  <c:v>5.1583519999999997E-3</c:v>
                </c:pt>
                <c:pt idx="400">
                  <c:v>5.1712800000000003E-3</c:v>
                </c:pt>
                <c:pt idx="401">
                  <c:v>5.1842090000000004E-3</c:v>
                </c:pt>
                <c:pt idx="402">
                  <c:v>5.1971370000000001E-3</c:v>
                </c:pt>
                <c:pt idx="403">
                  <c:v>5.2100649999999998E-3</c:v>
                </c:pt>
                <c:pt idx="404">
                  <c:v>5.2229930000000004E-3</c:v>
                </c:pt>
                <c:pt idx="405">
                  <c:v>5.2359210000000002E-3</c:v>
                </c:pt>
                <c:pt idx="406">
                  <c:v>5.2488500000000002E-3</c:v>
                </c:pt>
                <c:pt idx="407">
                  <c:v>5.2617779999999999E-3</c:v>
                </c:pt>
                <c:pt idx="408">
                  <c:v>5.2747059999999997E-3</c:v>
                </c:pt>
                <c:pt idx="409">
                  <c:v>5.2876340000000003E-3</c:v>
                </c:pt>
                <c:pt idx="410">
                  <c:v>5.300562E-3</c:v>
                </c:pt>
                <c:pt idx="411">
                  <c:v>5.313491E-3</c:v>
                </c:pt>
                <c:pt idx="412">
                  <c:v>5.3264189999999998E-3</c:v>
                </c:pt>
                <c:pt idx="413">
                  <c:v>5.3393470000000004E-3</c:v>
                </c:pt>
                <c:pt idx="414">
                  <c:v>5.3522750000000001E-3</c:v>
                </c:pt>
                <c:pt idx="415">
                  <c:v>5.3652029999999998E-3</c:v>
                </c:pt>
                <c:pt idx="416">
                  <c:v>5.3781319999999999E-3</c:v>
                </c:pt>
                <c:pt idx="417">
                  <c:v>5.3910599999999996E-3</c:v>
                </c:pt>
                <c:pt idx="418">
                  <c:v>5.4039880000000002E-3</c:v>
                </c:pt>
                <c:pt idx="419">
                  <c:v>5.4169159999999999E-3</c:v>
                </c:pt>
                <c:pt idx="420">
                  <c:v>5.4298439999999996E-3</c:v>
                </c:pt>
                <c:pt idx="421">
                  <c:v>5.4427729999999997E-3</c:v>
                </c:pt>
                <c:pt idx="422">
                  <c:v>5.4557010000000003E-3</c:v>
                </c:pt>
                <c:pt idx="423">
                  <c:v>5.468629E-3</c:v>
                </c:pt>
                <c:pt idx="424">
                  <c:v>5.4815569999999997E-3</c:v>
                </c:pt>
                <c:pt idx="425">
                  <c:v>5.4944850000000003E-3</c:v>
                </c:pt>
                <c:pt idx="426">
                  <c:v>5.5074140000000004E-3</c:v>
                </c:pt>
                <c:pt idx="427">
                  <c:v>5.5203420000000001E-3</c:v>
                </c:pt>
                <c:pt idx="428">
                  <c:v>5.5332699999999999E-3</c:v>
                </c:pt>
                <c:pt idx="429">
                  <c:v>5.5461979999999996E-3</c:v>
                </c:pt>
                <c:pt idx="430">
                  <c:v>5.5591260000000002E-3</c:v>
                </c:pt>
                <c:pt idx="431">
                  <c:v>5.5720550000000002E-3</c:v>
                </c:pt>
                <c:pt idx="432">
                  <c:v>5.584983E-3</c:v>
                </c:pt>
                <c:pt idx="433">
                  <c:v>5.5979109999999997E-3</c:v>
                </c:pt>
                <c:pt idx="434">
                  <c:v>5.6108390000000003E-3</c:v>
                </c:pt>
                <c:pt idx="435">
                  <c:v>5.623767E-3</c:v>
                </c:pt>
                <c:pt idx="436">
                  <c:v>5.6366960000000001E-3</c:v>
                </c:pt>
                <c:pt idx="437">
                  <c:v>5.6496239999999998E-3</c:v>
                </c:pt>
                <c:pt idx="438">
                  <c:v>5.6625520000000004E-3</c:v>
                </c:pt>
                <c:pt idx="439">
                  <c:v>5.6754800000000001E-3</c:v>
                </c:pt>
                <c:pt idx="440">
                  <c:v>5.6884079999999998E-3</c:v>
                </c:pt>
                <c:pt idx="441">
                  <c:v>5.7013369999999999E-3</c:v>
                </c:pt>
                <c:pt idx="442">
                  <c:v>5.7142649999999996E-3</c:v>
                </c:pt>
                <c:pt idx="443">
                  <c:v>5.7271930000000002E-3</c:v>
                </c:pt>
                <c:pt idx="444">
                  <c:v>5.7401209999999999E-3</c:v>
                </c:pt>
                <c:pt idx="445">
                  <c:v>5.7530489999999997E-3</c:v>
                </c:pt>
                <c:pt idx="446">
                  <c:v>5.7659779999999997E-3</c:v>
                </c:pt>
                <c:pt idx="447">
                  <c:v>5.7789060000000003E-3</c:v>
                </c:pt>
                <c:pt idx="448">
                  <c:v>5.791834E-3</c:v>
                </c:pt>
                <c:pt idx="449">
                  <c:v>5.8047619999999998E-3</c:v>
                </c:pt>
                <c:pt idx="450">
                  <c:v>5.8176900000000004E-3</c:v>
                </c:pt>
                <c:pt idx="451">
                  <c:v>5.8306190000000004E-3</c:v>
                </c:pt>
                <c:pt idx="452">
                  <c:v>5.8435470000000002E-3</c:v>
                </c:pt>
                <c:pt idx="453">
                  <c:v>5.8564749999999999E-3</c:v>
                </c:pt>
                <c:pt idx="454">
                  <c:v>5.8694029999999996E-3</c:v>
                </c:pt>
                <c:pt idx="455">
                  <c:v>5.8823310000000002E-3</c:v>
                </c:pt>
                <c:pt idx="456">
                  <c:v>5.8952600000000003E-3</c:v>
                </c:pt>
                <c:pt idx="457">
                  <c:v>5.908188E-3</c:v>
                </c:pt>
                <c:pt idx="458">
                  <c:v>5.9211159999999997E-3</c:v>
                </c:pt>
                <c:pt idx="459">
                  <c:v>5.9340440000000003E-3</c:v>
                </c:pt>
                <c:pt idx="460">
                  <c:v>5.946972E-3</c:v>
                </c:pt>
                <c:pt idx="461">
                  <c:v>5.9599010000000001E-3</c:v>
                </c:pt>
                <c:pt idx="462">
                  <c:v>5.9728289999999998E-3</c:v>
                </c:pt>
                <c:pt idx="463">
                  <c:v>5.9857570000000004E-3</c:v>
                </c:pt>
                <c:pt idx="464">
                  <c:v>5.9986850000000001E-3</c:v>
                </c:pt>
                <c:pt idx="465">
                  <c:v>6.0116129999999999E-3</c:v>
                </c:pt>
                <c:pt idx="466">
                  <c:v>6.0245419999999999E-3</c:v>
                </c:pt>
                <c:pt idx="467">
                  <c:v>6.0374699999999996E-3</c:v>
                </c:pt>
                <c:pt idx="468">
                  <c:v>6.0503980000000002E-3</c:v>
                </c:pt>
                <c:pt idx="469">
                  <c:v>6.063326E-3</c:v>
                </c:pt>
                <c:pt idx="470">
                  <c:v>6.0762539999999997E-3</c:v>
                </c:pt>
                <c:pt idx="471">
                  <c:v>6.0891829999999997E-3</c:v>
                </c:pt>
                <c:pt idx="472">
                  <c:v>6.1021110000000003E-3</c:v>
                </c:pt>
                <c:pt idx="473">
                  <c:v>6.1150390000000001E-3</c:v>
                </c:pt>
                <c:pt idx="474">
                  <c:v>6.1279669999999998E-3</c:v>
                </c:pt>
                <c:pt idx="475">
                  <c:v>6.1408959999999999E-3</c:v>
                </c:pt>
                <c:pt idx="476">
                  <c:v>6.1538239999999996E-3</c:v>
                </c:pt>
                <c:pt idx="477">
                  <c:v>6.1667520000000002E-3</c:v>
                </c:pt>
                <c:pt idx="478">
                  <c:v>6.1796799999999999E-3</c:v>
                </c:pt>
                <c:pt idx="479">
                  <c:v>6.1926079999999996E-3</c:v>
                </c:pt>
                <c:pt idx="480">
                  <c:v>6.2055369999999997E-3</c:v>
                </c:pt>
                <c:pt idx="481">
                  <c:v>6.2184650000000003E-3</c:v>
                </c:pt>
                <c:pt idx="482">
                  <c:v>6.231393E-3</c:v>
                </c:pt>
                <c:pt idx="483">
                  <c:v>6.2443209999999997E-3</c:v>
                </c:pt>
                <c:pt idx="484">
                  <c:v>6.2572490000000003E-3</c:v>
                </c:pt>
                <c:pt idx="485">
                  <c:v>6.2701780000000004E-3</c:v>
                </c:pt>
                <c:pt idx="486">
                  <c:v>6.2831060000000001E-3</c:v>
                </c:pt>
                <c:pt idx="487">
                  <c:v>6.2960339999999998E-3</c:v>
                </c:pt>
                <c:pt idx="488">
                  <c:v>6.3089620000000004E-3</c:v>
                </c:pt>
                <c:pt idx="489">
                  <c:v>6.3218900000000001E-3</c:v>
                </c:pt>
                <c:pt idx="490">
                  <c:v>6.3348190000000002E-3</c:v>
                </c:pt>
                <c:pt idx="491">
                  <c:v>6.3477469999999999E-3</c:v>
                </c:pt>
                <c:pt idx="492">
                  <c:v>6.3606749999999997E-3</c:v>
                </c:pt>
                <c:pt idx="493">
                  <c:v>6.3736030000000003E-3</c:v>
                </c:pt>
                <c:pt idx="494">
                  <c:v>6.386531E-3</c:v>
                </c:pt>
                <c:pt idx="495">
                  <c:v>6.39946E-3</c:v>
                </c:pt>
                <c:pt idx="496">
                  <c:v>6.4123879999999998E-3</c:v>
                </c:pt>
                <c:pt idx="497">
                  <c:v>6.4253160000000004E-3</c:v>
                </c:pt>
                <c:pt idx="498">
                  <c:v>6.4382440000000001E-3</c:v>
                </c:pt>
                <c:pt idx="499">
                  <c:v>6.4511719999999998E-3</c:v>
                </c:pt>
                <c:pt idx="500">
                  <c:v>6.4641009999999999E-3</c:v>
                </c:pt>
                <c:pt idx="501">
                  <c:v>6.4770289999999996E-3</c:v>
                </c:pt>
                <c:pt idx="502">
                  <c:v>6.4899570000000002E-3</c:v>
                </c:pt>
                <c:pt idx="503">
                  <c:v>6.5028849999999999E-3</c:v>
                </c:pt>
                <c:pt idx="504">
                  <c:v>6.5158129999999996E-3</c:v>
                </c:pt>
                <c:pt idx="505">
                  <c:v>6.5287419999999997E-3</c:v>
                </c:pt>
                <c:pt idx="506">
                  <c:v>6.5416700000000003E-3</c:v>
                </c:pt>
                <c:pt idx="507">
                  <c:v>6.554598E-3</c:v>
                </c:pt>
                <c:pt idx="508">
                  <c:v>6.5675259999999997E-3</c:v>
                </c:pt>
                <c:pt idx="509">
                  <c:v>6.5804540000000003E-3</c:v>
                </c:pt>
                <c:pt idx="510">
                  <c:v>6.5933830000000004E-3</c:v>
                </c:pt>
                <c:pt idx="511">
                  <c:v>6.6063110000000001E-3</c:v>
                </c:pt>
                <c:pt idx="512">
                  <c:v>6.6192389999999999E-3</c:v>
                </c:pt>
                <c:pt idx="513">
                  <c:v>6.6321669999999996E-3</c:v>
                </c:pt>
                <c:pt idx="514">
                  <c:v>6.6450950000000002E-3</c:v>
                </c:pt>
                <c:pt idx="515">
                  <c:v>6.6580240000000002E-3</c:v>
                </c:pt>
                <c:pt idx="516">
                  <c:v>6.670952E-3</c:v>
                </c:pt>
                <c:pt idx="517">
                  <c:v>6.6838799999999997E-3</c:v>
                </c:pt>
                <c:pt idx="518">
                  <c:v>6.6968080000000003E-3</c:v>
                </c:pt>
                <c:pt idx="519">
                  <c:v>6.709736E-3</c:v>
                </c:pt>
                <c:pt idx="520">
                  <c:v>6.7226650000000001E-3</c:v>
                </c:pt>
                <c:pt idx="521">
                  <c:v>6.7355929999999998E-3</c:v>
                </c:pt>
                <c:pt idx="522">
                  <c:v>6.7485210000000004E-3</c:v>
                </c:pt>
                <c:pt idx="523">
                  <c:v>6.7614490000000001E-3</c:v>
                </c:pt>
                <c:pt idx="524">
                  <c:v>6.7743769999999998E-3</c:v>
                </c:pt>
                <c:pt idx="525">
                  <c:v>6.7873059999999999E-3</c:v>
                </c:pt>
                <c:pt idx="526">
                  <c:v>6.8002339999999996E-3</c:v>
                </c:pt>
                <c:pt idx="527">
                  <c:v>6.8131620000000002E-3</c:v>
                </c:pt>
                <c:pt idx="528">
                  <c:v>6.8260899999999999E-3</c:v>
                </c:pt>
                <c:pt idx="529">
                  <c:v>6.8390179999999997E-3</c:v>
                </c:pt>
                <c:pt idx="530">
                  <c:v>6.8519469999999997E-3</c:v>
                </c:pt>
                <c:pt idx="531">
                  <c:v>6.8648750000000003E-3</c:v>
                </c:pt>
                <c:pt idx="532">
                  <c:v>6.877803E-3</c:v>
                </c:pt>
                <c:pt idx="533">
                  <c:v>6.8907309999999998E-3</c:v>
                </c:pt>
                <c:pt idx="534">
                  <c:v>6.9036590000000004E-3</c:v>
                </c:pt>
                <c:pt idx="535">
                  <c:v>6.9165880000000004E-3</c:v>
                </c:pt>
                <c:pt idx="536">
                  <c:v>6.9295160000000001E-3</c:v>
                </c:pt>
                <c:pt idx="537">
                  <c:v>6.9424439999999999E-3</c:v>
                </c:pt>
                <c:pt idx="538">
                  <c:v>6.9553719999999996E-3</c:v>
                </c:pt>
                <c:pt idx="539">
                  <c:v>6.9683000000000002E-3</c:v>
                </c:pt>
                <c:pt idx="540">
                  <c:v>6.9812290000000003E-3</c:v>
                </c:pt>
                <c:pt idx="541">
                  <c:v>6.994157E-3</c:v>
                </c:pt>
                <c:pt idx="542">
                  <c:v>7.0070849999999997E-3</c:v>
                </c:pt>
                <c:pt idx="543">
                  <c:v>7.0200130000000003E-3</c:v>
                </c:pt>
                <c:pt idx="544">
                  <c:v>7.032941E-3</c:v>
                </c:pt>
                <c:pt idx="545">
                  <c:v>7.0458700000000001E-3</c:v>
                </c:pt>
                <c:pt idx="546">
                  <c:v>7.0587979999999998E-3</c:v>
                </c:pt>
                <c:pt idx="547">
                  <c:v>7.0717260000000004E-3</c:v>
                </c:pt>
                <c:pt idx="548">
                  <c:v>7.0846540000000001E-3</c:v>
                </c:pt>
                <c:pt idx="549">
                  <c:v>7.0975819999999998E-3</c:v>
                </c:pt>
                <c:pt idx="550">
                  <c:v>7.1105109999999999E-3</c:v>
                </c:pt>
                <c:pt idx="551">
                  <c:v>7.1234389999999996E-3</c:v>
                </c:pt>
                <c:pt idx="552">
                  <c:v>7.1363670000000002E-3</c:v>
                </c:pt>
                <c:pt idx="553">
                  <c:v>7.149295E-3</c:v>
                </c:pt>
                <c:pt idx="554">
                  <c:v>7.1622229999999997E-3</c:v>
                </c:pt>
                <c:pt idx="555">
                  <c:v>7.1751519999999997E-3</c:v>
                </c:pt>
                <c:pt idx="556">
                  <c:v>7.1880800000000003E-3</c:v>
                </c:pt>
                <c:pt idx="557">
                  <c:v>7.2010080000000001E-3</c:v>
                </c:pt>
                <c:pt idx="558">
                  <c:v>7.2139359999999998E-3</c:v>
                </c:pt>
                <c:pt idx="559">
                  <c:v>7.2268640000000004E-3</c:v>
                </c:pt>
                <c:pt idx="560">
                  <c:v>7.2397929999999996E-3</c:v>
                </c:pt>
                <c:pt idx="561">
                  <c:v>7.2527210000000002E-3</c:v>
                </c:pt>
                <c:pt idx="562">
                  <c:v>7.2656489999999999E-3</c:v>
                </c:pt>
                <c:pt idx="563">
                  <c:v>7.2785769999999996E-3</c:v>
                </c:pt>
                <c:pt idx="564">
                  <c:v>7.2915050000000002E-3</c:v>
                </c:pt>
                <c:pt idx="565">
                  <c:v>7.3044340000000003E-3</c:v>
                </c:pt>
                <c:pt idx="566">
                  <c:v>7.317362E-3</c:v>
                </c:pt>
                <c:pt idx="567">
                  <c:v>7.3302899999999997E-3</c:v>
                </c:pt>
                <c:pt idx="568">
                  <c:v>7.3432180000000003E-3</c:v>
                </c:pt>
                <c:pt idx="569">
                  <c:v>7.356146E-3</c:v>
                </c:pt>
                <c:pt idx="570">
                  <c:v>7.3690750000000001E-3</c:v>
                </c:pt>
                <c:pt idx="571">
                  <c:v>7.3820029999999998E-3</c:v>
                </c:pt>
                <c:pt idx="572">
                  <c:v>7.3949310000000004E-3</c:v>
                </c:pt>
                <c:pt idx="573">
                  <c:v>7.4078590000000001E-3</c:v>
                </c:pt>
                <c:pt idx="574">
                  <c:v>7.4207869999999999E-3</c:v>
                </c:pt>
                <c:pt idx="575">
                  <c:v>7.4337159999999999E-3</c:v>
                </c:pt>
                <c:pt idx="576">
                  <c:v>7.4466439999999997E-3</c:v>
                </c:pt>
                <c:pt idx="577">
                  <c:v>7.4595720000000003E-3</c:v>
                </c:pt>
                <c:pt idx="578">
                  <c:v>7.4725E-3</c:v>
                </c:pt>
                <c:pt idx="579">
                  <c:v>7.4854279999999997E-3</c:v>
                </c:pt>
                <c:pt idx="580">
                  <c:v>7.4983569999999998E-3</c:v>
                </c:pt>
                <c:pt idx="581">
                  <c:v>7.5112850000000004E-3</c:v>
                </c:pt>
                <c:pt idx="582">
                  <c:v>7.5242130000000001E-3</c:v>
                </c:pt>
                <c:pt idx="583">
                  <c:v>7.5371409999999998E-3</c:v>
                </c:pt>
                <c:pt idx="584">
                  <c:v>7.5500690000000004E-3</c:v>
                </c:pt>
                <c:pt idx="585">
                  <c:v>7.5629979999999996E-3</c:v>
                </c:pt>
                <c:pt idx="586">
                  <c:v>7.5759260000000002E-3</c:v>
                </c:pt>
                <c:pt idx="587">
                  <c:v>7.5888539999999999E-3</c:v>
                </c:pt>
                <c:pt idx="588">
                  <c:v>7.6017819999999996E-3</c:v>
                </c:pt>
                <c:pt idx="589">
                  <c:v>7.6147100000000002E-3</c:v>
                </c:pt>
                <c:pt idx="590">
                  <c:v>7.6276390000000003E-3</c:v>
                </c:pt>
                <c:pt idx="591">
                  <c:v>7.640567E-3</c:v>
                </c:pt>
                <c:pt idx="592">
                  <c:v>7.6534949999999997E-3</c:v>
                </c:pt>
                <c:pt idx="593">
                  <c:v>7.6664230000000003E-3</c:v>
                </c:pt>
                <c:pt idx="594">
                  <c:v>7.6793510000000001E-3</c:v>
                </c:pt>
                <c:pt idx="595">
                  <c:v>7.6922800000000001E-3</c:v>
                </c:pt>
                <c:pt idx="596">
                  <c:v>7.7052079999999998E-3</c:v>
                </c:pt>
                <c:pt idx="597">
                  <c:v>7.7181359999999996E-3</c:v>
                </c:pt>
                <c:pt idx="598">
                  <c:v>7.7310640000000002E-3</c:v>
                </c:pt>
                <c:pt idx="599">
                  <c:v>7.7439919999999999E-3</c:v>
                </c:pt>
                <c:pt idx="600">
                  <c:v>7.756921E-3</c:v>
                </c:pt>
                <c:pt idx="601">
                  <c:v>7.7698489999999997E-3</c:v>
                </c:pt>
                <c:pt idx="602">
                  <c:v>7.7827770000000003E-3</c:v>
                </c:pt>
                <c:pt idx="603">
                  <c:v>7.795705E-3</c:v>
                </c:pt>
                <c:pt idx="604">
                  <c:v>7.8086329999999997E-3</c:v>
                </c:pt>
                <c:pt idx="605">
                  <c:v>7.8215620000000007E-3</c:v>
                </c:pt>
                <c:pt idx="606">
                  <c:v>7.8344899999999995E-3</c:v>
                </c:pt>
                <c:pt idx="607">
                  <c:v>7.8474180000000001E-3</c:v>
                </c:pt>
                <c:pt idx="608">
                  <c:v>7.8603460000000007E-3</c:v>
                </c:pt>
                <c:pt idx="609">
                  <c:v>7.8732739999999996E-3</c:v>
                </c:pt>
                <c:pt idx="610">
                  <c:v>7.8862029999999996E-3</c:v>
                </c:pt>
                <c:pt idx="611">
                  <c:v>7.8991310000000002E-3</c:v>
                </c:pt>
                <c:pt idx="612">
                  <c:v>7.9120590000000008E-3</c:v>
                </c:pt>
                <c:pt idx="613">
                  <c:v>7.9249869999999997E-3</c:v>
                </c:pt>
                <c:pt idx="614">
                  <c:v>7.9379150000000002E-3</c:v>
                </c:pt>
                <c:pt idx="615">
                  <c:v>7.9508440000000003E-3</c:v>
                </c:pt>
                <c:pt idx="616">
                  <c:v>7.9637719999999992E-3</c:v>
                </c:pt>
                <c:pt idx="617">
                  <c:v>7.9766999999999998E-3</c:v>
                </c:pt>
                <c:pt idx="618">
                  <c:v>7.9896280000000004E-3</c:v>
                </c:pt>
                <c:pt idx="619">
                  <c:v>8.0025559999999992E-3</c:v>
                </c:pt>
                <c:pt idx="620">
                  <c:v>8.0154849999999993E-3</c:v>
                </c:pt>
                <c:pt idx="621">
                  <c:v>8.0284129999999999E-3</c:v>
                </c:pt>
                <c:pt idx="622">
                  <c:v>8.0413410000000005E-3</c:v>
                </c:pt>
                <c:pt idx="623">
                  <c:v>8.0542689999999993E-3</c:v>
                </c:pt>
                <c:pt idx="624">
                  <c:v>8.0671969999999999E-3</c:v>
                </c:pt>
                <c:pt idx="625">
                  <c:v>8.080126E-3</c:v>
                </c:pt>
                <c:pt idx="626">
                  <c:v>8.0930540000000006E-3</c:v>
                </c:pt>
                <c:pt idx="627">
                  <c:v>8.1059819999999994E-3</c:v>
                </c:pt>
                <c:pt idx="628">
                  <c:v>8.11891E-3</c:v>
                </c:pt>
                <c:pt idx="629">
                  <c:v>8.1318380000000006E-3</c:v>
                </c:pt>
                <c:pt idx="630">
                  <c:v>8.1447670000000007E-3</c:v>
                </c:pt>
                <c:pt idx="631">
                  <c:v>8.1576949999999995E-3</c:v>
                </c:pt>
                <c:pt idx="632">
                  <c:v>8.1706230000000001E-3</c:v>
                </c:pt>
                <c:pt idx="633">
                  <c:v>8.1835510000000007E-3</c:v>
                </c:pt>
                <c:pt idx="634">
                  <c:v>8.1964789999999996E-3</c:v>
                </c:pt>
                <c:pt idx="635">
                  <c:v>8.2094079999999996E-3</c:v>
                </c:pt>
                <c:pt idx="636">
                  <c:v>8.2223360000000002E-3</c:v>
                </c:pt>
                <c:pt idx="637">
                  <c:v>8.2352640000000008E-3</c:v>
                </c:pt>
                <c:pt idx="638">
                  <c:v>8.2481919999999997E-3</c:v>
                </c:pt>
                <c:pt idx="639">
                  <c:v>8.2611200000000003E-3</c:v>
                </c:pt>
                <c:pt idx="640">
                  <c:v>8.2740490000000003E-3</c:v>
                </c:pt>
                <c:pt idx="641">
                  <c:v>8.2869769999999992E-3</c:v>
                </c:pt>
                <c:pt idx="642">
                  <c:v>8.2999049999999998E-3</c:v>
                </c:pt>
                <c:pt idx="643">
                  <c:v>8.3128330000000004E-3</c:v>
                </c:pt>
                <c:pt idx="644">
                  <c:v>8.3257609999999992E-3</c:v>
                </c:pt>
                <c:pt idx="645">
                  <c:v>8.3386899999999993E-3</c:v>
                </c:pt>
                <c:pt idx="646">
                  <c:v>8.3516179999999999E-3</c:v>
                </c:pt>
                <c:pt idx="647">
                  <c:v>8.3645460000000005E-3</c:v>
                </c:pt>
                <c:pt idx="648">
                  <c:v>8.3774739999999993E-3</c:v>
                </c:pt>
                <c:pt idx="649">
                  <c:v>8.3904019999999999E-3</c:v>
                </c:pt>
                <c:pt idx="650">
                  <c:v>8.403331E-3</c:v>
                </c:pt>
                <c:pt idx="651">
                  <c:v>8.4162590000000006E-3</c:v>
                </c:pt>
                <c:pt idx="652">
                  <c:v>8.4291869999999994E-3</c:v>
                </c:pt>
                <c:pt idx="653">
                  <c:v>8.442115E-3</c:v>
                </c:pt>
                <c:pt idx="654">
                  <c:v>8.4550430000000006E-3</c:v>
                </c:pt>
                <c:pt idx="655">
                  <c:v>8.4679720000000007E-3</c:v>
                </c:pt>
                <c:pt idx="656">
                  <c:v>8.4808999999999996E-3</c:v>
                </c:pt>
                <c:pt idx="657">
                  <c:v>8.4938280000000001E-3</c:v>
                </c:pt>
                <c:pt idx="658">
                  <c:v>8.5067560000000007E-3</c:v>
                </c:pt>
                <c:pt idx="659">
                  <c:v>8.5196839999999996E-3</c:v>
                </c:pt>
                <c:pt idx="660">
                  <c:v>8.5326129999999997E-3</c:v>
                </c:pt>
                <c:pt idx="661">
                  <c:v>8.5455410000000002E-3</c:v>
                </c:pt>
                <c:pt idx="662">
                  <c:v>8.5584690000000008E-3</c:v>
                </c:pt>
                <c:pt idx="663">
                  <c:v>8.5713969999999997E-3</c:v>
                </c:pt>
                <c:pt idx="664">
                  <c:v>8.5843259999999998E-3</c:v>
                </c:pt>
                <c:pt idx="665">
                  <c:v>8.5972540000000004E-3</c:v>
                </c:pt>
                <c:pt idx="666">
                  <c:v>8.6101819999999992E-3</c:v>
                </c:pt>
                <c:pt idx="667">
                  <c:v>8.6231099999999998E-3</c:v>
                </c:pt>
                <c:pt idx="668">
                  <c:v>8.6360380000000004E-3</c:v>
                </c:pt>
                <c:pt idx="669">
                  <c:v>8.6489670000000005E-3</c:v>
                </c:pt>
                <c:pt idx="670">
                  <c:v>8.6618949999999993E-3</c:v>
                </c:pt>
                <c:pt idx="671">
                  <c:v>8.6748229999999999E-3</c:v>
                </c:pt>
                <c:pt idx="672">
                  <c:v>8.6877510000000005E-3</c:v>
                </c:pt>
                <c:pt idx="673">
                  <c:v>8.7006789999999994E-3</c:v>
                </c:pt>
                <c:pt idx="674">
                  <c:v>8.7136079999999994E-3</c:v>
                </c:pt>
                <c:pt idx="675">
                  <c:v>8.726536E-3</c:v>
                </c:pt>
                <c:pt idx="676">
                  <c:v>8.7394640000000006E-3</c:v>
                </c:pt>
                <c:pt idx="677">
                  <c:v>8.7523919999999995E-3</c:v>
                </c:pt>
                <c:pt idx="678">
                  <c:v>8.7653200000000001E-3</c:v>
                </c:pt>
                <c:pt idx="679">
                  <c:v>8.7782490000000001E-3</c:v>
                </c:pt>
                <c:pt idx="680">
                  <c:v>8.7911770000000007E-3</c:v>
                </c:pt>
                <c:pt idx="681">
                  <c:v>8.8041049999999996E-3</c:v>
                </c:pt>
                <c:pt idx="682">
                  <c:v>8.8170330000000002E-3</c:v>
                </c:pt>
                <c:pt idx="683">
                  <c:v>8.8299610000000008E-3</c:v>
                </c:pt>
                <c:pt idx="684">
                  <c:v>8.8428900000000008E-3</c:v>
                </c:pt>
                <c:pt idx="685">
                  <c:v>8.8558179999999997E-3</c:v>
                </c:pt>
                <c:pt idx="686">
                  <c:v>8.8687460000000003E-3</c:v>
                </c:pt>
                <c:pt idx="687">
                  <c:v>8.8816740000000009E-3</c:v>
                </c:pt>
                <c:pt idx="688">
                  <c:v>8.8946019999999997E-3</c:v>
                </c:pt>
                <c:pt idx="689">
                  <c:v>8.9075309999999998E-3</c:v>
                </c:pt>
                <c:pt idx="690">
                  <c:v>8.9204590000000004E-3</c:v>
                </c:pt>
                <c:pt idx="691">
                  <c:v>8.9333869999999992E-3</c:v>
                </c:pt>
                <c:pt idx="692">
                  <c:v>8.9463149999999998E-3</c:v>
                </c:pt>
                <c:pt idx="693">
                  <c:v>8.9592430000000004E-3</c:v>
                </c:pt>
                <c:pt idx="694">
                  <c:v>8.9721720000000005E-3</c:v>
                </c:pt>
                <c:pt idx="695">
                  <c:v>8.9850999999999993E-3</c:v>
                </c:pt>
                <c:pt idx="696">
                  <c:v>8.9980279999999999E-3</c:v>
                </c:pt>
                <c:pt idx="697">
                  <c:v>9.0109560000000005E-3</c:v>
                </c:pt>
                <c:pt idx="698">
                  <c:v>9.0238839999999994E-3</c:v>
                </c:pt>
                <c:pt idx="699">
                  <c:v>9.0368129999999994E-3</c:v>
                </c:pt>
                <c:pt idx="700">
                  <c:v>9.049741E-3</c:v>
                </c:pt>
                <c:pt idx="701">
                  <c:v>9.0626690000000006E-3</c:v>
                </c:pt>
                <c:pt idx="702">
                  <c:v>9.0755969999999995E-3</c:v>
                </c:pt>
                <c:pt idx="703">
                  <c:v>9.0885250000000001E-3</c:v>
                </c:pt>
                <c:pt idx="704">
                  <c:v>9.1014540000000001E-3</c:v>
                </c:pt>
                <c:pt idx="705">
                  <c:v>9.1143820000000007E-3</c:v>
                </c:pt>
                <c:pt idx="706">
                  <c:v>9.1273099999999996E-3</c:v>
                </c:pt>
                <c:pt idx="707">
                  <c:v>9.1402380000000002E-3</c:v>
                </c:pt>
                <c:pt idx="708">
                  <c:v>9.1531660000000008E-3</c:v>
                </c:pt>
                <c:pt idx="709">
                  <c:v>9.1660950000000008E-3</c:v>
                </c:pt>
                <c:pt idx="710">
                  <c:v>9.1790229999999997E-3</c:v>
                </c:pt>
                <c:pt idx="711">
                  <c:v>9.1919510000000003E-3</c:v>
                </c:pt>
                <c:pt idx="712">
                  <c:v>9.2048789999999991E-3</c:v>
                </c:pt>
                <c:pt idx="713">
                  <c:v>9.2178069999999997E-3</c:v>
                </c:pt>
                <c:pt idx="714">
                  <c:v>9.2307359999999998E-3</c:v>
                </c:pt>
                <c:pt idx="715">
                  <c:v>9.2436640000000004E-3</c:v>
                </c:pt>
                <c:pt idx="716">
                  <c:v>9.2565919999999993E-3</c:v>
                </c:pt>
                <c:pt idx="717">
                  <c:v>9.2695199999999998E-3</c:v>
                </c:pt>
                <c:pt idx="718">
                  <c:v>9.2824480000000004E-3</c:v>
                </c:pt>
                <c:pt idx="719">
                  <c:v>9.2953770000000005E-3</c:v>
                </c:pt>
                <c:pt idx="720">
                  <c:v>9.3083049999999994E-3</c:v>
                </c:pt>
                <c:pt idx="721">
                  <c:v>9.3212329999999999E-3</c:v>
                </c:pt>
                <c:pt idx="722">
                  <c:v>9.3341610000000005E-3</c:v>
                </c:pt>
                <c:pt idx="723">
                  <c:v>9.3470889999999994E-3</c:v>
                </c:pt>
                <c:pt idx="724">
                  <c:v>9.3600179999999995E-3</c:v>
                </c:pt>
                <c:pt idx="725">
                  <c:v>9.3729460000000001E-3</c:v>
                </c:pt>
                <c:pt idx="726">
                  <c:v>9.3858740000000006E-3</c:v>
                </c:pt>
                <c:pt idx="727">
                  <c:v>9.3988019999999995E-3</c:v>
                </c:pt>
                <c:pt idx="728">
                  <c:v>9.4117300000000001E-3</c:v>
                </c:pt>
                <c:pt idx="729">
                  <c:v>9.4246590000000002E-3</c:v>
                </c:pt>
                <c:pt idx="730">
                  <c:v>9.4375870000000008E-3</c:v>
                </c:pt>
                <c:pt idx="731">
                  <c:v>9.4505149999999996E-3</c:v>
                </c:pt>
                <c:pt idx="732">
                  <c:v>9.4634430000000002E-3</c:v>
                </c:pt>
                <c:pt idx="733">
                  <c:v>9.4763710000000008E-3</c:v>
                </c:pt>
                <c:pt idx="734">
                  <c:v>9.4893000000000009E-3</c:v>
                </c:pt>
                <c:pt idx="735">
                  <c:v>9.5022279999999997E-3</c:v>
                </c:pt>
                <c:pt idx="736">
                  <c:v>9.5151560000000003E-3</c:v>
                </c:pt>
                <c:pt idx="737">
                  <c:v>9.5280839999999992E-3</c:v>
                </c:pt>
                <c:pt idx="738">
                  <c:v>9.5410119999999998E-3</c:v>
                </c:pt>
                <c:pt idx="739">
                  <c:v>9.5539409999999998E-3</c:v>
                </c:pt>
                <c:pt idx="740">
                  <c:v>9.5668690000000004E-3</c:v>
                </c:pt>
                <c:pt idx="741">
                  <c:v>9.5797969999999993E-3</c:v>
                </c:pt>
                <c:pt idx="742">
                  <c:v>9.5927249999999999E-3</c:v>
                </c:pt>
                <c:pt idx="743">
                  <c:v>9.6056530000000005E-3</c:v>
                </c:pt>
                <c:pt idx="744">
                  <c:v>9.6185820000000005E-3</c:v>
                </c:pt>
                <c:pt idx="745">
                  <c:v>9.6315099999999994E-3</c:v>
                </c:pt>
                <c:pt idx="746">
                  <c:v>9.644438E-3</c:v>
                </c:pt>
                <c:pt idx="747">
                  <c:v>9.6573660000000006E-3</c:v>
                </c:pt>
                <c:pt idx="748">
                  <c:v>9.6702939999999994E-3</c:v>
                </c:pt>
                <c:pt idx="749">
                  <c:v>9.6832229999999995E-3</c:v>
                </c:pt>
                <c:pt idx="750">
                  <c:v>1.3125599999999999E-2</c:v>
                </c:pt>
                <c:pt idx="751">
                  <c:v>1.6555050000000002E-2</c:v>
                </c:pt>
                <c:pt idx="752">
                  <c:v>1.9984499999999999E-2</c:v>
                </c:pt>
                <c:pt idx="753">
                  <c:v>2.3413949999999999E-2</c:v>
                </c:pt>
                <c:pt idx="754">
                  <c:v>2.68434E-2</c:v>
                </c:pt>
                <c:pt idx="755">
                  <c:v>3.027285E-2</c:v>
                </c:pt>
                <c:pt idx="756">
                  <c:v>3.3702299999999998E-2</c:v>
                </c:pt>
                <c:pt idx="757">
                  <c:v>3.7131749999999998E-2</c:v>
                </c:pt>
                <c:pt idx="758">
                  <c:v>4.0561199999999999E-2</c:v>
                </c:pt>
                <c:pt idx="759">
                  <c:v>4.3990639999999998E-2</c:v>
                </c:pt>
                <c:pt idx="760">
                  <c:v>4.7420089999999998E-2</c:v>
                </c:pt>
                <c:pt idx="761">
                  <c:v>5.0849539999999999E-2</c:v>
                </c:pt>
                <c:pt idx="762">
                  <c:v>5.4278989999999999E-2</c:v>
                </c:pt>
                <c:pt idx="763">
                  <c:v>5.770844E-2</c:v>
                </c:pt>
                <c:pt idx="764">
                  <c:v>6.113789E-2</c:v>
                </c:pt>
                <c:pt idx="765">
                  <c:v>6.4567340000000001E-2</c:v>
                </c:pt>
                <c:pt idx="766">
                  <c:v>6.7996790000000001E-2</c:v>
                </c:pt>
                <c:pt idx="767">
                  <c:v>7.1426240000000002E-2</c:v>
                </c:pt>
                <c:pt idx="768">
                  <c:v>7.4855690000000003E-2</c:v>
                </c:pt>
                <c:pt idx="769">
                  <c:v>7.8285140000000003E-2</c:v>
                </c:pt>
                <c:pt idx="770">
                  <c:v>8.1714590000000004E-2</c:v>
                </c:pt>
                <c:pt idx="771">
                  <c:v>8.5144040000000004E-2</c:v>
                </c:pt>
                <c:pt idx="772">
                  <c:v>8.8573490000000005E-2</c:v>
                </c:pt>
                <c:pt idx="773">
                  <c:v>9.2002940000000005E-2</c:v>
                </c:pt>
                <c:pt idx="774">
                  <c:v>9.5432390000000006E-2</c:v>
                </c:pt>
                <c:pt idx="775">
                  <c:v>9.8861829999999998E-2</c:v>
                </c:pt>
                <c:pt idx="776">
                  <c:v>0.1022913</c:v>
                </c:pt>
                <c:pt idx="777">
                  <c:v>0.1057207</c:v>
                </c:pt>
                <c:pt idx="778">
                  <c:v>0.1091502</c:v>
                </c:pt>
                <c:pt idx="779">
                  <c:v>0.1125796</c:v>
                </c:pt>
                <c:pt idx="780">
                  <c:v>0.1160091</c:v>
                </c:pt>
                <c:pt idx="781">
                  <c:v>0.1194385</c:v>
                </c:pt>
                <c:pt idx="782">
                  <c:v>0.122868</c:v>
                </c:pt>
                <c:pt idx="783">
                  <c:v>0.1262974</c:v>
                </c:pt>
                <c:pt idx="784">
                  <c:v>0.12972690000000001</c:v>
                </c:pt>
                <c:pt idx="785">
                  <c:v>0.13315630000000001</c:v>
                </c:pt>
                <c:pt idx="786">
                  <c:v>0.13658580000000001</c:v>
                </c:pt>
                <c:pt idx="787">
                  <c:v>0.14001520000000001</c:v>
                </c:pt>
                <c:pt idx="788">
                  <c:v>0.14344470000000001</c:v>
                </c:pt>
                <c:pt idx="789">
                  <c:v>0.14687410000000001</c:v>
                </c:pt>
                <c:pt idx="790">
                  <c:v>0.15030360000000001</c:v>
                </c:pt>
                <c:pt idx="791">
                  <c:v>0.15373300000000001</c:v>
                </c:pt>
                <c:pt idx="792">
                  <c:v>0.15716250000000001</c:v>
                </c:pt>
                <c:pt idx="793">
                  <c:v>0.16059190000000001</c:v>
                </c:pt>
                <c:pt idx="794">
                  <c:v>0.16402140000000001</c:v>
                </c:pt>
                <c:pt idx="795">
                  <c:v>0.16745080000000001</c:v>
                </c:pt>
                <c:pt idx="796">
                  <c:v>0.17088030000000001</c:v>
                </c:pt>
                <c:pt idx="797">
                  <c:v>0.17430970000000001</c:v>
                </c:pt>
                <c:pt idx="798">
                  <c:v>0.17773920000000001</c:v>
                </c:pt>
                <c:pt idx="799">
                  <c:v>0.18116860000000001</c:v>
                </c:pt>
                <c:pt idx="800">
                  <c:v>0.18459809999999999</c:v>
                </c:pt>
                <c:pt idx="801">
                  <c:v>0.18802749999999999</c:v>
                </c:pt>
                <c:pt idx="802">
                  <c:v>0.19145699999999999</c:v>
                </c:pt>
                <c:pt idx="803">
                  <c:v>0.19488639999999999</c:v>
                </c:pt>
                <c:pt idx="804">
                  <c:v>0.19831589999999999</c:v>
                </c:pt>
                <c:pt idx="805">
                  <c:v>0.20174529999999999</c:v>
                </c:pt>
                <c:pt idx="806">
                  <c:v>0.20517479999999999</c:v>
                </c:pt>
                <c:pt idx="807">
                  <c:v>0.20860419999999999</c:v>
                </c:pt>
                <c:pt idx="808">
                  <c:v>0.21203369999999999</c:v>
                </c:pt>
                <c:pt idx="809">
                  <c:v>0.21546309999999999</c:v>
                </c:pt>
                <c:pt idx="810">
                  <c:v>0.21889259999999999</c:v>
                </c:pt>
                <c:pt idx="811">
                  <c:v>0.22232199999999999</c:v>
                </c:pt>
                <c:pt idx="812">
                  <c:v>0.22575149999999999</c:v>
                </c:pt>
                <c:pt idx="813">
                  <c:v>0.22918089999999999</c:v>
                </c:pt>
                <c:pt idx="814">
                  <c:v>0.23261039999999999</c:v>
                </c:pt>
                <c:pt idx="815">
                  <c:v>0.23603979999999999</c:v>
                </c:pt>
                <c:pt idx="816">
                  <c:v>0.2394693</c:v>
                </c:pt>
                <c:pt idx="817">
                  <c:v>0.2428987</c:v>
                </c:pt>
                <c:pt idx="818">
                  <c:v>0.2463282</c:v>
                </c:pt>
                <c:pt idx="819">
                  <c:v>0.2497576</c:v>
                </c:pt>
                <c:pt idx="820">
                  <c:v>0.2531871</c:v>
                </c:pt>
                <c:pt idx="821">
                  <c:v>0.25661650000000003</c:v>
                </c:pt>
                <c:pt idx="822">
                  <c:v>0.260046</c:v>
                </c:pt>
                <c:pt idx="823">
                  <c:v>0.26347540000000003</c:v>
                </c:pt>
                <c:pt idx="824">
                  <c:v>0.2669049</c:v>
                </c:pt>
                <c:pt idx="825">
                  <c:v>0.27033430000000003</c:v>
                </c:pt>
                <c:pt idx="826">
                  <c:v>0.2737638</c:v>
                </c:pt>
                <c:pt idx="827">
                  <c:v>0.27719319999999997</c:v>
                </c:pt>
                <c:pt idx="828">
                  <c:v>0.2806227</c:v>
                </c:pt>
                <c:pt idx="829">
                  <c:v>0.28405209999999997</c:v>
                </c:pt>
                <c:pt idx="830">
                  <c:v>0.2874816</c:v>
                </c:pt>
                <c:pt idx="831">
                  <c:v>0.29091099999999998</c:v>
                </c:pt>
                <c:pt idx="832">
                  <c:v>0.2943404</c:v>
                </c:pt>
                <c:pt idx="833">
                  <c:v>0.29776989999999998</c:v>
                </c:pt>
                <c:pt idx="834">
                  <c:v>0.3011993</c:v>
                </c:pt>
                <c:pt idx="835">
                  <c:v>0.30462879999999998</c:v>
                </c:pt>
                <c:pt idx="836">
                  <c:v>0.3080582</c:v>
                </c:pt>
                <c:pt idx="837">
                  <c:v>0.31148769999999998</c:v>
                </c:pt>
                <c:pt idx="838">
                  <c:v>0.31491710000000001</c:v>
                </c:pt>
                <c:pt idx="839">
                  <c:v>0.31834659999999998</c:v>
                </c:pt>
                <c:pt idx="840">
                  <c:v>0.32177600000000001</c:v>
                </c:pt>
                <c:pt idx="841">
                  <c:v>0.32520549999999998</c:v>
                </c:pt>
                <c:pt idx="842">
                  <c:v>0.32863490000000001</c:v>
                </c:pt>
                <c:pt idx="843">
                  <c:v>0.33206439999999998</c:v>
                </c:pt>
                <c:pt idx="844">
                  <c:v>0.33549380000000001</c:v>
                </c:pt>
                <c:pt idx="845">
                  <c:v>0.33892329999999998</c:v>
                </c:pt>
                <c:pt idx="846">
                  <c:v>0.34235270000000001</c:v>
                </c:pt>
                <c:pt idx="847">
                  <c:v>0.34578219999999998</c:v>
                </c:pt>
                <c:pt idx="848">
                  <c:v>0.34921160000000001</c:v>
                </c:pt>
                <c:pt idx="849">
                  <c:v>0.35264109999999999</c:v>
                </c:pt>
                <c:pt idx="850">
                  <c:v>0.35607050000000001</c:v>
                </c:pt>
                <c:pt idx="851">
                  <c:v>0.35949999999999999</c:v>
                </c:pt>
                <c:pt idx="852">
                  <c:v>0.36292940000000001</c:v>
                </c:pt>
                <c:pt idx="853">
                  <c:v>0.36635889999999999</c:v>
                </c:pt>
                <c:pt idx="854">
                  <c:v>0.36978830000000001</c:v>
                </c:pt>
                <c:pt idx="855">
                  <c:v>0.37321779999999999</c:v>
                </c:pt>
                <c:pt idx="856">
                  <c:v>0.37664720000000002</c:v>
                </c:pt>
                <c:pt idx="857">
                  <c:v>0.38007669999999999</c:v>
                </c:pt>
                <c:pt idx="858">
                  <c:v>0.38350610000000002</c:v>
                </c:pt>
                <c:pt idx="859">
                  <c:v>0.38693559999999999</c:v>
                </c:pt>
                <c:pt idx="860">
                  <c:v>0.39036500000000002</c:v>
                </c:pt>
                <c:pt idx="861">
                  <c:v>0.39379449999999999</c:v>
                </c:pt>
                <c:pt idx="862">
                  <c:v>0.39722390000000002</c:v>
                </c:pt>
                <c:pt idx="863">
                  <c:v>0.40065339999999999</c:v>
                </c:pt>
                <c:pt idx="864">
                  <c:v>0.40408280000000002</c:v>
                </c:pt>
                <c:pt idx="865">
                  <c:v>0.40751229999999999</c:v>
                </c:pt>
                <c:pt idx="866">
                  <c:v>0.41094170000000002</c:v>
                </c:pt>
                <c:pt idx="867">
                  <c:v>0.4143712</c:v>
                </c:pt>
                <c:pt idx="868">
                  <c:v>0.41780060000000002</c:v>
                </c:pt>
                <c:pt idx="869">
                  <c:v>0.4212301</c:v>
                </c:pt>
                <c:pt idx="870">
                  <c:v>0.42465950000000002</c:v>
                </c:pt>
                <c:pt idx="871">
                  <c:v>0.428089</c:v>
                </c:pt>
                <c:pt idx="872">
                  <c:v>0.43151840000000002</c:v>
                </c:pt>
                <c:pt idx="873">
                  <c:v>0.4349479</c:v>
                </c:pt>
                <c:pt idx="874">
                  <c:v>0.43837730000000003</c:v>
                </c:pt>
                <c:pt idx="875">
                  <c:v>0.4418068</c:v>
                </c:pt>
                <c:pt idx="876">
                  <c:v>0.44523620000000003</c:v>
                </c:pt>
                <c:pt idx="877">
                  <c:v>0.4486657</c:v>
                </c:pt>
                <c:pt idx="878">
                  <c:v>0.45209510000000003</c:v>
                </c:pt>
                <c:pt idx="879">
                  <c:v>0.4555246</c:v>
                </c:pt>
                <c:pt idx="880">
                  <c:v>0.45895399999999997</c:v>
                </c:pt>
                <c:pt idx="881">
                  <c:v>0.4623835</c:v>
                </c:pt>
                <c:pt idx="882">
                  <c:v>0.46581289999999997</c:v>
                </c:pt>
                <c:pt idx="883">
                  <c:v>0.4692424</c:v>
                </c:pt>
                <c:pt idx="884">
                  <c:v>0.47267179999999998</c:v>
                </c:pt>
                <c:pt idx="885">
                  <c:v>0.47610130000000001</c:v>
                </c:pt>
                <c:pt idx="886">
                  <c:v>0.47953069999999998</c:v>
                </c:pt>
                <c:pt idx="887">
                  <c:v>0.48296020000000001</c:v>
                </c:pt>
                <c:pt idx="888">
                  <c:v>0.48638959999999998</c:v>
                </c:pt>
                <c:pt idx="889">
                  <c:v>0.48981910000000001</c:v>
                </c:pt>
                <c:pt idx="890">
                  <c:v>0.49324849999999998</c:v>
                </c:pt>
                <c:pt idx="891">
                  <c:v>0.49667800000000001</c:v>
                </c:pt>
                <c:pt idx="892">
                  <c:v>0.50010739999999998</c:v>
                </c:pt>
                <c:pt idx="893">
                  <c:v>0.50353689999999995</c:v>
                </c:pt>
                <c:pt idx="894">
                  <c:v>0.50696629999999998</c:v>
                </c:pt>
                <c:pt idx="895">
                  <c:v>0.51039579999999996</c:v>
                </c:pt>
                <c:pt idx="896">
                  <c:v>0.51382519999999998</c:v>
                </c:pt>
                <c:pt idx="897">
                  <c:v>0.51725469999999996</c:v>
                </c:pt>
                <c:pt idx="898">
                  <c:v>0.52068409999999998</c:v>
                </c:pt>
                <c:pt idx="899">
                  <c:v>0.52411359999999996</c:v>
                </c:pt>
                <c:pt idx="900">
                  <c:v>0.52754299999999998</c:v>
                </c:pt>
                <c:pt idx="901">
                  <c:v>0.53097249999999996</c:v>
                </c:pt>
                <c:pt idx="902">
                  <c:v>0.53440189999999999</c:v>
                </c:pt>
                <c:pt idx="903">
                  <c:v>0.53783139999999996</c:v>
                </c:pt>
                <c:pt idx="904">
                  <c:v>0.54126079999999999</c:v>
                </c:pt>
                <c:pt idx="905">
                  <c:v>0.54469029999999996</c:v>
                </c:pt>
                <c:pt idx="906">
                  <c:v>0.54811969999999999</c:v>
                </c:pt>
                <c:pt idx="907">
                  <c:v>0.55154919999999996</c:v>
                </c:pt>
                <c:pt idx="908">
                  <c:v>0.55497859999999999</c:v>
                </c:pt>
                <c:pt idx="909">
                  <c:v>0.55840809999999996</c:v>
                </c:pt>
                <c:pt idx="910">
                  <c:v>0.56183749999999999</c:v>
                </c:pt>
                <c:pt idx="911">
                  <c:v>0.56526699999999996</c:v>
                </c:pt>
                <c:pt idx="912">
                  <c:v>0.56869639999999999</c:v>
                </c:pt>
                <c:pt idx="913">
                  <c:v>0.57212580000000002</c:v>
                </c:pt>
                <c:pt idx="914">
                  <c:v>0.57555529999999999</c:v>
                </c:pt>
                <c:pt idx="915">
                  <c:v>0.57898470000000002</c:v>
                </c:pt>
                <c:pt idx="916">
                  <c:v>0.58241419999999999</c:v>
                </c:pt>
                <c:pt idx="917">
                  <c:v>0.58584360000000002</c:v>
                </c:pt>
                <c:pt idx="918">
                  <c:v>0.58927309999999999</c:v>
                </c:pt>
                <c:pt idx="919">
                  <c:v>0.59270250000000002</c:v>
                </c:pt>
                <c:pt idx="920">
                  <c:v>0.596132</c:v>
                </c:pt>
                <c:pt idx="921">
                  <c:v>0.59956140000000002</c:v>
                </c:pt>
                <c:pt idx="922">
                  <c:v>0.6029909</c:v>
                </c:pt>
                <c:pt idx="923">
                  <c:v>0.60642030000000002</c:v>
                </c:pt>
                <c:pt idx="924">
                  <c:v>0.6098498</c:v>
                </c:pt>
                <c:pt idx="925">
                  <c:v>0.61327920000000002</c:v>
                </c:pt>
                <c:pt idx="926">
                  <c:v>0.6167087</c:v>
                </c:pt>
                <c:pt idx="927">
                  <c:v>0.62013810000000003</c:v>
                </c:pt>
                <c:pt idx="928">
                  <c:v>0.6235676</c:v>
                </c:pt>
                <c:pt idx="929">
                  <c:v>0.62699700000000003</c:v>
                </c:pt>
                <c:pt idx="930">
                  <c:v>0.6304265</c:v>
                </c:pt>
                <c:pt idx="931">
                  <c:v>0.63385590000000003</c:v>
                </c:pt>
                <c:pt idx="932">
                  <c:v>0.6372854</c:v>
                </c:pt>
                <c:pt idx="933">
                  <c:v>0.64071480000000003</c:v>
                </c:pt>
                <c:pt idx="934">
                  <c:v>0.6441443</c:v>
                </c:pt>
                <c:pt idx="935">
                  <c:v>0.64757370000000003</c:v>
                </c:pt>
                <c:pt idx="936">
                  <c:v>0.6510032</c:v>
                </c:pt>
                <c:pt idx="937">
                  <c:v>0.65443260000000003</c:v>
                </c:pt>
                <c:pt idx="938">
                  <c:v>0.65786210000000001</c:v>
                </c:pt>
                <c:pt idx="939">
                  <c:v>0.66129150000000003</c:v>
                </c:pt>
                <c:pt idx="940">
                  <c:v>0.66472100000000001</c:v>
                </c:pt>
                <c:pt idx="941">
                  <c:v>0.66815040000000003</c:v>
                </c:pt>
                <c:pt idx="942">
                  <c:v>0.67157990000000001</c:v>
                </c:pt>
                <c:pt idx="943">
                  <c:v>0.67500930000000003</c:v>
                </c:pt>
                <c:pt idx="944">
                  <c:v>0.67843880000000001</c:v>
                </c:pt>
                <c:pt idx="945">
                  <c:v>0.68186820000000004</c:v>
                </c:pt>
                <c:pt idx="946">
                  <c:v>0.68529770000000001</c:v>
                </c:pt>
                <c:pt idx="947">
                  <c:v>0.68872710000000004</c:v>
                </c:pt>
                <c:pt idx="948">
                  <c:v>0.69215660000000001</c:v>
                </c:pt>
                <c:pt idx="949">
                  <c:v>0.69558600000000004</c:v>
                </c:pt>
                <c:pt idx="950">
                  <c:v>0.69901550000000001</c:v>
                </c:pt>
                <c:pt idx="951">
                  <c:v>0.70244490000000004</c:v>
                </c:pt>
                <c:pt idx="952">
                  <c:v>0.70587440000000001</c:v>
                </c:pt>
                <c:pt idx="953">
                  <c:v>0.70930380000000004</c:v>
                </c:pt>
                <c:pt idx="954">
                  <c:v>0.71273330000000001</c:v>
                </c:pt>
                <c:pt idx="955">
                  <c:v>0.71616270000000004</c:v>
                </c:pt>
                <c:pt idx="956">
                  <c:v>0.71959220000000002</c:v>
                </c:pt>
                <c:pt idx="957">
                  <c:v>0.72302160000000004</c:v>
                </c:pt>
                <c:pt idx="958">
                  <c:v>0.72645110000000002</c:v>
                </c:pt>
                <c:pt idx="959">
                  <c:v>0.72988050000000004</c:v>
                </c:pt>
                <c:pt idx="960">
                  <c:v>0.73331000000000002</c:v>
                </c:pt>
                <c:pt idx="961">
                  <c:v>0.73673940000000004</c:v>
                </c:pt>
                <c:pt idx="962">
                  <c:v>0.74016890000000002</c:v>
                </c:pt>
                <c:pt idx="963">
                  <c:v>0.74359830000000005</c:v>
                </c:pt>
                <c:pt idx="964">
                  <c:v>0.74702780000000002</c:v>
                </c:pt>
                <c:pt idx="965">
                  <c:v>0.75045720000000005</c:v>
                </c:pt>
                <c:pt idx="966">
                  <c:v>0.75388670000000002</c:v>
                </c:pt>
                <c:pt idx="967">
                  <c:v>0.75731610000000005</c:v>
                </c:pt>
                <c:pt idx="968">
                  <c:v>0.76074560000000002</c:v>
                </c:pt>
                <c:pt idx="969">
                  <c:v>0.76417500000000005</c:v>
                </c:pt>
                <c:pt idx="970">
                  <c:v>0.76760450000000002</c:v>
                </c:pt>
                <c:pt idx="971">
                  <c:v>0.77103390000000005</c:v>
                </c:pt>
                <c:pt idx="972">
                  <c:v>0.77446340000000002</c:v>
                </c:pt>
                <c:pt idx="973">
                  <c:v>0.77789280000000005</c:v>
                </c:pt>
                <c:pt idx="974">
                  <c:v>0.78132230000000003</c:v>
                </c:pt>
                <c:pt idx="975">
                  <c:v>0.78475170000000005</c:v>
                </c:pt>
                <c:pt idx="976">
                  <c:v>0.78818120000000003</c:v>
                </c:pt>
                <c:pt idx="977">
                  <c:v>0.79161060000000005</c:v>
                </c:pt>
                <c:pt idx="978">
                  <c:v>0.79504010000000003</c:v>
                </c:pt>
                <c:pt idx="979">
                  <c:v>0.79846950000000005</c:v>
                </c:pt>
                <c:pt idx="980">
                  <c:v>0.80189900000000003</c:v>
                </c:pt>
                <c:pt idx="981">
                  <c:v>0.80532840000000006</c:v>
                </c:pt>
                <c:pt idx="982">
                  <c:v>0.80875790000000003</c:v>
                </c:pt>
                <c:pt idx="983">
                  <c:v>0.81218729999999995</c:v>
                </c:pt>
                <c:pt idx="984">
                  <c:v>0.81561680000000003</c:v>
                </c:pt>
                <c:pt idx="985">
                  <c:v>0.81904619999999995</c:v>
                </c:pt>
                <c:pt idx="986">
                  <c:v>0.82247570000000003</c:v>
                </c:pt>
                <c:pt idx="987">
                  <c:v>0.82590509999999995</c:v>
                </c:pt>
                <c:pt idx="988">
                  <c:v>0.82933460000000003</c:v>
                </c:pt>
                <c:pt idx="989">
                  <c:v>0.83276399999999995</c:v>
                </c:pt>
                <c:pt idx="990">
                  <c:v>0.83619350000000003</c:v>
                </c:pt>
                <c:pt idx="991">
                  <c:v>0.83962289999999995</c:v>
                </c:pt>
                <c:pt idx="992">
                  <c:v>0.84305240000000004</c:v>
                </c:pt>
                <c:pt idx="993">
                  <c:v>0.84648179999999995</c:v>
                </c:pt>
                <c:pt idx="994">
                  <c:v>0.84991130000000004</c:v>
                </c:pt>
                <c:pt idx="995">
                  <c:v>0.85334069999999995</c:v>
                </c:pt>
                <c:pt idx="996">
                  <c:v>0.85677009999999998</c:v>
                </c:pt>
                <c:pt idx="997">
                  <c:v>0.86019959999999995</c:v>
                </c:pt>
                <c:pt idx="998">
                  <c:v>0.86362899999999998</c:v>
                </c:pt>
                <c:pt idx="999">
                  <c:v>0.86705849999999995</c:v>
                </c:pt>
              </c:numCache>
            </c:numRef>
          </c:xVal>
          <c:yVal>
            <c:numRef>
              <c:f>'Bending Stiffness'!$R$18:$R$1267</c:f>
              <c:numCache>
                <c:formatCode>0.0000</c:formatCode>
                <c:ptCount val="1250"/>
                <c:pt idx="0">
                  <c:v>0</c:v>
                </c:pt>
                <c:pt idx="1">
                  <c:v>2.2681249999999999E-5</c:v>
                </c:pt>
                <c:pt idx="2">
                  <c:v>4.5362499999999998E-5</c:v>
                </c:pt>
                <c:pt idx="3">
                  <c:v>6.8043749999999997E-5</c:v>
                </c:pt>
                <c:pt idx="4">
                  <c:v>9.0724999999999996E-5</c:v>
                </c:pt>
                <c:pt idx="5">
                  <c:v>1.134063E-4</c:v>
                </c:pt>
                <c:pt idx="6">
                  <c:v>1.3608749999999999E-4</c:v>
                </c:pt>
                <c:pt idx="7">
                  <c:v>1.587688E-4</c:v>
                </c:pt>
                <c:pt idx="8">
                  <c:v>1.8144999999999999E-4</c:v>
                </c:pt>
                <c:pt idx="9">
                  <c:v>2.0413129999999999E-4</c:v>
                </c:pt>
                <c:pt idx="10">
                  <c:v>2.2681249999999999E-4</c:v>
                </c:pt>
                <c:pt idx="11">
                  <c:v>2.4949379999999999E-4</c:v>
                </c:pt>
                <c:pt idx="12">
                  <c:v>2.7217499999999999E-4</c:v>
                </c:pt>
                <c:pt idx="13">
                  <c:v>2.9485630000000002E-4</c:v>
                </c:pt>
                <c:pt idx="14">
                  <c:v>3.1753749999999996E-4</c:v>
                </c:pt>
                <c:pt idx="15">
                  <c:v>3.3967599999999996E-4</c:v>
                </c:pt>
                <c:pt idx="16">
                  <c:v>3.5683379999999998E-4</c:v>
                </c:pt>
                <c:pt idx="17">
                  <c:v>3.7399159999999999E-4</c:v>
                </c:pt>
                <c:pt idx="18">
                  <c:v>3.9114940000000001E-4</c:v>
                </c:pt>
                <c:pt idx="19">
                  <c:v>4.0830709999999999E-4</c:v>
                </c:pt>
                <c:pt idx="20">
                  <c:v>4.254649E-4</c:v>
                </c:pt>
                <c:pt idx="21">
                  <c:v>4.4262269999999996E-4</c:v>
                </c:pt>
                <c:pt idx="22">
                  <c:v>4.5978049999999997E-4</c:v>
                </c:pt>
                <c:pt idx="23">
                  <c:v>4.7693829999999999E-4</c:v>
                </c:pt>
                <c:pt idx="24">
                  <c:v>4.9409599999999997E-4</c:v>
                </c:pt>
                <c:pt idx="25">
                  <c:v>5.1036720000000003E-4</c:v>
                </c:pt>
                <c:pt idx="26">
                  <c:v>5.2211090000000009E-4</c:v>
                </c:pt>
                <c:pt idx="27">
                  <c:v>5.3385450000000001E-4</c:v>
                </c:pt>
                <c:pt idx="28">
                  <c:v>5.4559820000000007E-4</c:v>
                </c:pt>
                <c:pt idx="29">
                  <c:v>5.5734189999999992E-4</c:v>
                </c:pt>
                <c:pt idx="30">
                  <c:v>5.6908559999999998E-4</c:v>
                </c:pt>
                <c:pt idx="31">
                  <c:v>5.8082930000000004E-4</c:v>
                </c:pt>
                <c:pt idx="32">
                  <c:v>5.9257289999999996E-4</c:v>
                </c:pt>
                <c:pt idx="33">
                  <c:v>6.0431660000000002E-4</c:v>
                </c:pt>
                <c:pt idx="34">
                  <c:v>6.1606029999999997E-4</c:v>
                </c:pt>
                <c:pt idx="35">
                  <c:v>6.2780400000000004E-4</c:v>
                </c:pt>
                <c:pt idx="36">
                  <c:v>6.395477000000001E-4</c:v>
                </c:pt>
                <c:pt idx="37">
                  <c:v>6.5129139999999994E-4</c:v>
                </c:pt>
                <c:pt idx="38">
                  <c:v>6.6303500000000008E-4</c:v>
                </c:pt>
                <c:pt idx="39">
                  <c:v>6.7477869999999992E-4</c:v>
                </c:pt>
                <c:pt idx="40">
                  <c:v>6.8652239999999998E-4</c:v>
                </c:pt>
                <c:pt idx="41">
                  <c:v>6.9826610000000005E-4</c:v>
                </c:pt>
                <c:pt idx="42">
                  <c:v>7.100098E-4</c:v>
                </c:pt>
                <c:pt idx="43">
                  <c:v>7.2175340000000003E-4</c:v>
                </c:pt>
                <c:pt idx="44">
                  <c:v>7.3349709999999998E-4</c:v>
                </c:pt>
                <c:pt idx="45">
                  <c:v>7.4524080000000004E-4</c:v>
                </c:pt>
                <c:pt idx="46">
                  <c:v>7.569845E-4</c:v>
                </c:pt>
                <c:pt idx="47">
                  <c:v>7.6872819999999995E-4</c:v>
                </c:pt>
                <c:pt idx="48">
                  <c:v>7.8047190000000001E-4</c:v>
                </c:pt>
                <c:pt idx="49">
                  <c:v>7.9221549999999993E-4</c:v>
                </c:pt>
                <c:pt idx="50">
                  <c:v>8.0395919999999999E-4</c:v>
                </c:pt>
                <c:pt idx="51">
                  <c:v>8.1570290000000005E-4</c:v>
                </c:pt>
                <c:pt idx="52">
                  <c:v>8.2744660000000001E-4</c:v>
                </c:pt>
                <c:pt idx="53">
                  <c:v>8.3919029999999996E-4</c:v>
                </c:pt>
                <c:pt idx="54">
                  <c:v>8.5093389999999999E-4</c:v>
                </c:pt>
                <c:pt idx="55">
                  <c:v>8.6267760000000005E-4</c:v>
                </c:pt>
                <c:pt idx="56">
                  <c:v>8.744213E-4</c:v>
                </c:pt>
                <c:pt idx="57">
                  <c:v>8.8616499999999996E-4</c:v>
                </c:pt>
                <c:pt idx="58">
                  <c:v>8.9790870000000002E-4</c:v>
                </c:pt>
                <c:pt idx="59">
                  <c:v>9.0965229999999994E-4</c:v>
                </c:pt>
                <c:pt idx="60">
                  <c:v>9.21396E-4</c:v>
                </c:pt>
                <c:pt idx="61">
                  <c:v>9.3313970000000006E-4</c:v>
                </c:pt>
                <c:pt idx="62">
                  <c:v>9.4488340000000001E-4</c:v>
                </c:pt>
                <c:pt idx="63">
                  <c:v>9.5662709999999997E-4</c:v>
                </c:pt>
                <c:pt idx="64">
                  <c:v>9.6837080000000003E-4</c:v>
                </c:pt>
                <c:pt idx="65">
                  <c:v>9.8011439999999995E-4</c:v>
                </c:pt>
                <c:pt idx="66">
                  <c:v>9.9185810000000001E-4</c:v>
                </c:pt>
                <c:pt idx="67">
                  <c:v>1.0036020000000001E-3</c:v>
                </c:pt>
                <c:pt idx="68">
                  <c:v>1.015345E-3</c:v>
                </c:pt>
                <c:pt idx="69">
                  <c:v>1.0270889999999999E-3</c:v>
                </c:pt>
                <c:pt idx="70">
                  <c:v>1.0388329999999999E-3</c:v>
                </c:pt>
                <c:pt idx="71">
                  <c:v>1.050577E-3</c:v>
                </c:pt>
                <c:pt idx="72">
                  <c:v>1.0623199999999998E-3</c:v>
                </c:pt>
                <c:pt idx="73">
                  <c:v>1.074064E-3</c:v>
                </c:pt>
                <c:pt idx="74">
                  <c:v>1.0858080000000002E-3</c:v>
                </c:pt>
                <c:pt idx="75">
                  <c:v>1.097551E-3</c:v>
                </c:pt>
                <c:pt idx="76">
                  <c:v>1.1092949999999999E-3</c:v>
                </c:pt>
                <c:pt idx="77">
                  <c:v>1.1210389999999999E-3</c:v>
                </c:pt>
                <c:pt idx="78">
                  <c:v>1.1327819999999999E-3</c:v>
                </c:pt>
                <c:pt idx="79">
                  <c:v>1.1445259999999999E-3</c:v>
                </c:pt>
                <c:pt idx="80">
                  <c:v>1.1562699999999998E-3</c:v>
                </c:pt>
                <c:pt idx="81">
                  <c:v>1.1680129999999999E-3</c:v>
                </c:pt>
                <c:pt idx="82">
                  <c:v>1.179757E-3</c:v>
                </c:pt>
                <c:pt idx="83">
                  <c:v>1.191501E-3</c:v>
                </c:pt>
                <c:pt idx="84">
                  <c:v>1.203244E-3</c:v>
                </c:pt>
                <c:pt idx="85">
                  <c:v>1.214988E-3</c:v>
                </c:pt>
                <c:pt idx="86">
                  <c:v>1.2267319999999999E-3</c:v>
                </c:pt>
                <c:pt idx="87">
                  <c:v>1.2384749999999999E-3</c:v>
                </c:pt>
                <c:pt idx="88">
                  <c:v>1.2502189999999999E-3</c:v>
                </c:pt>
                <c:pt idx="89">
                  <c:v>1.2611790000000001E-3</c:v>
                </c:pt>
                <c:pt idx="90">
                  <c:v>1.271515E-3</c:v>
                </c:pt>
                <c:pt idx="91">
                  <c:v>1.2814600000000001E-3</c:v>
                </c:pt>
                <c:pt idx="92">
                  <c:v>1.2910980000000001E-3</c:v>
                </c:pt>
                <c:pt idx="93">
                  <c:v>1.3004819999999999E-3</c:v>
                </c:pt>
                <c:pt idx="94">
                  <c:v>1.309646E-3</c:v>
                </c:pt>
                <c:pt idx="95">
                  <c:v>1.3186160000000001E-3</c:v>
                </c:pt>
                <c:pt idx="96">
                  <c:v>1.3274129999999999E-3</c:v>
                </c:pt>
                <c:pt idx="97">
                  <c:v>1.3360540000000001E-3</c:v>
                </c:pt>
                <c:pt idx="98">
                  <c:v>1.3445519999999999E-3</c:v>
                </c:pt>
                <c:pt idx="99">
                  <c:v>1.3529199999999999E-3</c:v>
                </c:pt>
                <c:pt idx="100">
                  <c:v>1.3611669999999999E-3</c:v>
                </c:pt>
                <c:pt idx="101">
                  <c:v>1.369302E-3</c:v>
                </c:pt>
                <c:pt idx="102">
                  <c:v>1.377334E-3</c:v>
                </c:pt>
                <c:pt idx="103">
                  <c:v>1.385268E-3</c:v>
                </c:pt>
                <c:pt idx="104">
                  <c:v>1.393112E-3</c:v>
                </c:pt>
                <c:pt idx="105">
                  <c:v>1.40087E-3</c:v>
                </c:pt>
                <c:pt idx="106">
                  <c:v>1.408549E-3</c:v>
                </c:pt>
                <c:pt idx="107">
                  <c:v>1.4161520000000002E-3</c:v>
                </c:pt>
                <c:pt idx="108">
                  <c:v>1.4236839999999999E-3</c:v>
                </c:pt>
                <c:pt idx="109">
                  <c:v>1.431149E-3</c:v>
                </c:pt>
                <c:pt idx="110">
                  <c:v>1.43855E-3</c:v>
                </c:pt>
                <c:pt idx="111">
                  <c:v>1.4458909999999999E-3</c:v>
                </c:pt>
                <c:pt idx="112">
                  <c:v>1.453174E-3</c:v>
                </c:pt>
                <c:pt idx="113">
                  <c:v>1.4604029999999999E-3</c:v>
                </c:pt>
                <c:pt idx="114">
                  <c:v>1.46758E-3</c:v>
                </c:pt>
                <c:pt idx="115">
                  <c:v>1.4747079999999999E-3</c:v>
                </c:pt>
                <c:pt idx="116">
                  <c:v>1.4817890000000001E-3</c:v>
                </c:pt>
                <c:pt idx="117">
                  <c:v>1.4888239999999999E-3</c:v>
                </c:pt>
                <c:pt idx="118">
                  <c:v>1.495817E-3</c:v>
                </c:pt>
                <c:pt idx="119">
                  <c:v>1.502768E-3</c:v>
                </c:pt>
                <c:pt idx="120">
                  <c:v>1.5096810000000001E-3</c:v>
                </c:pt>
                <c:pt idx="121">
                  <c:v>1.5165550000000002E-3</c:v>
                </c:pt>
                <c:pt idx="122">
                  <c:v>1.523394E-3</c:v>
                </c:pt>
                <c:pt idx="123">
                  <c:v>1.530198E-3</c:v>
                </c:pt>
                <c:pt idx="124">
                  <c:v>1.536969E-3</c:v>
                </c:pt>
                <c:pt idx="125">
                  <c:v>1.543708E-3</c:v>
                </c:pt>
                <c:pt idx="126">
                  <c:v>1.550416E-3</c:v>
                </c:pt>
                <c:pt idx="127">
                  <c:v>1.5570949999999999E-3</c:v>
                </c:pt>
                <c:pt idx="128">
                  <c:v>1.563746E-3</c:v>
                </c:pt>
                <c:pt idx="129">
                  <c:v>1.5703689999999998E-3</c:v>
                </c:pt>
                <c:pt idx="130">
                  <c:v>1.5769670000000001E-3</c:v>
                </c:pt>
                <c:pt idx="131">
                  <c:v>1.5835390000000001E-3</c:v>
                </c:pt>
                <c:pt idx="132">
                  <c:v>1.590087E-3</c:v>
                </c:pt>
                <c:pt idx="133">
                  <c:v>1.596611E-3</c:v>
                </c:pt>
                <c:pt idx="134">
                  <c:v>1.603113E-3</c:v>
                </c:pt>
                <c:pt idx="135">
                  <c:v>1.6095930000000001E-3</c:v>
                </c:pt>
                <c:pt idx="136">
                  <c:v>1.616052E-3</c:v>
                </c:pt>
                <c:pt idx="137">
                  <c:v>1.6224900000000001E-3</c:v>
                </c:pt>
                <c:pt idx="138">
                  <c:v>1.628909E-3</c:v>
                </c:pt>
                <c:pt idx="139">
                  <c:v>1.6353089999999999E-3</c:v>
                </c:pt>
                <c:pt idx="140">
                  <c:v>1.641691E-3</c:v>
                </c:pt>
                <c:pt idx="141">
                  <c:v>1.6480539999999999E-3</c:v>
                </c:pt>
                <c:pt idx="142">
                  <c:v>1.654401E-3</c:v>
                </c:pt>
                <c:pt idx="143">
                  <c:v>1.6607309999999999E-3</c:v>
                </c:pt>
                <c:pt idx="144">
                  <c:v>1.667045E-3</c:v>
                </c:pt>
                <c:pt idx="145">
                  <c:v>1.6733430000000001E-3</c:v>
                </c:pt>
                <c:pt idx="146">
                  <c:v>1.679626E-3</c:v>
                </c:pt>
                <c:pt idx="147">
                  <c:v>1.685895E-3</c:v>
                </c:pt>
                <c:pt idx="148">
                  <c:v>1.692149E-3</c:v>
                </c:pt>
                <c:pt idx="149">
                  <c:v>1.6983900000000001E-3</c:v>
                </c:pt>
                <c:pt idx="150">
                  <c:v>1.704618E-3</c:v>
                </c:pt>
                <c:pt idx="151">
                  <c:v>1.7108319999999998E-3</c:v>
                </c:pt>
                <c:pt idx="152">
                  <c:v>1.7170339999999999E-3</c:v>
                </c:pt>
                <c:pt idx="153">
                  <c:v>1.7232229999999999E-3</c:v>
                </c:pt>
                <c:pt idx="154">
                  <c:v>1.729401E-3</c:v>
                </c:pt>
                <c:pt idx="155">
                  <c:v>1.735568E-3</c:v>
                </c:pt>
                <c:pt idx="156">
                  <c:v>1.7417229999999999E-3</c:v>
                </c:pt>
                <c:pt idx="157">
                  <c:v>1.747867E-3</c:v>
                </c:pt>
                <c:pt idx="158">
                  <c:v>1.7540009999999998E-3</c:v>
                </c:pt>
                <c:pt idx="159">
                  <c:v>1.7601240000000001E-3</c:v>
                </c:pt>
                <c:pt idx="160">
                  <c:v>1.7662380000000001E-3</c:v>
                </c:pt>
                <c:pt idx="161">
                  <c:v>1.7723420000000001E-3</c:v>
                </c:pt>
                <c:pt idx="162">
                  <c:v>1.778436E-3</c:v>
                </c:pt>
                <c:pt idx="163">
                  <c:v>1.784522E-3</c:v>
                </c:pt>
                <c:pt idx="164">
                  <c:v>1.790598E-3</c:v>
                </c:pt>
                <c:pt idx="165">
                  <c:v>1.7966660000000001E-3</c:v>
                </c:pt>
                <c:pt idx="166">
                  <c:v>1.8027249999999998E-3</c:v>
                </c:pt>
                <c:pt idx="167">
                  <c:v>1.808776E-3</c:v>
                </c:pt>
                <c:pt idx="168">
                  <c:v>1.8148190000000001E-3</c:v>
                </c:pt>
                <c:pt idx="169">
                  <c:v>1.820854E-3</c:v>
                </c:pt>
                <c:pt idx="170">
                  <c:v>1.8268819999999999E-3</c:v>
                </c:pt>
                <c:pt idx="171">
                  <c:v>1.832902E-3</c:v>
                </c:pt>
                <c:pt idx="172">
                  <c:v>1.838915E-3</c:v>
                </c:pt>
                <c:pt idx="173">
                  <c:v>1.8449199999999999E-3</c:v>
                </c:pt>
                <c:pt idx="174">
                  <c:v>1.8509189999999999E-3</c:v>
                </c:pt>
                <c:pt idx="175">
                  <c:v>1.8569119999999998E-3</c:v>
                </c:pt>
                <c:pt idx="176">
                  <c:v>1.8628970000000001E-3</c:v>
                </c:pt>
                <c:pt idx="177">
                  <c:v>1.8688769999999999E-3</c:v>
                </c:pt>
                <c:pt idx="178">
                  <c:v>1.87485E-3</c:v>
                </c:pt>
                <c:pt idx="179">
                  <c:v>1.8808169999999999E-3</c:v>
                </c:pt>
                <c:pt idx="180">
                  <c:v>1.886778E-3</c:v>
                </c:pt>
                <c:pt idx="181">
                  <c:v>1.892733E-3</c:v>
                </c:pt>
                <c:pt idx="182">
                  <c:v>1.898683E-3</c:v>
                </c:pt>
                <c:pt idx="183">
                  <c:v>1.9046270000000001E-3</c:v>
                </c:pt>
                <c:pt idx="184">
                  <c:v>1.9105650000000001E-3</c:v>
                </c:pt>
                <c:pt idx="185">
                  <c:v>1.9164989999999999E-3</c:v>
                </c:pt>
                <c:pt idx="186">
                  <c:v>1.9224270000000002E-3</c:v>
                </c:pt>
                <c:pt idx="187">
                  <c:v>1.9283500000000001E-3</c:v>
                </c:pt>
                <c:pt idx="188">
                  <c:v>1.934269E-3</c:v>
                </c:pt>
                <c:pt idx="189">
                  <c:v>1.9401820000000001E-3</c:v>
                </c:pt>
                <c:pt idx="190">
                  <c:v>1.9460910000000001E-3</c:v>
                </c:pt>
                <c:pt idx="191">
                  <c:v>1.951995E-3</c:v>
                </c:pt>
                <c:pt idx="192">
                  <c:v>1.9578949999999999E-3</c:v>
                </c:pt>
                <c:pt idx="193">
                  <c:v>1.96379E-3</c:v>
                </c:pt>
                <c:pt idx="194">
                  <c:v>1.9696819999999999E-3</c:v>
                </c:pt>
                <c:pt idx="195">
                  <c:v>1.975568E-3</c:v>
                </c:pt>
                <c:pt idx="196">
                  <c:v>1.981451E-3</c:v>
                </c:pt>
                <c:pt idx="197">
                  <c:v>1.9873299999999998E-3</c:v>
                </c:pt>
                <c:pt idx="198">
                  <c:v>1.9932050000000001E-3</c:v>
                </c:pt>
                <c:pt idx="199">
                  <c:v>1.9990760000000002E-3</c:v>
                </c:pt>
                <c:pt idx="200">
                  <c:v>2.0049429999999999E-3</c:v>
                </c:pt>
                <c:pt idx="201">
                  <c:v>2.010806E-3</c:v>
                </c:pt>
                <c:pt idx="202">
                  <c:v>2.0166659999999999E-3</c:v>
                </c:pt>
                <c:pt idx="203">
                  <c:v>2.022523E-3</c:v>
                </c:pt>
                <c:pt idx="204">
                  <c:v>2.0283750000000002E-3</c:v>
                </c:pt>
                <c:pt idx="205">
                  <c:v>2.0342250000000002E-3</c:v>
                </c:pt>
                <c:pt idx="206">
                  <c:v>2.0400710000000001E-3</c:v>
                </c:pt>
                <c:pt idx="207">
                  <c:v>2.0459139999999998E-3</c:v>
                </c:pt>
                <c:pt idx="208">
                  <c:v>2.0517539999999998E-3</c:v>
                </c:pt>
                <c:pt idx="209">
                  <c:v>2.0575899999999998E-3</c:v>
                </c:pt>
                <c:pt idx="210">
                  <c:v>2.0634239999999999E-3</c:v>
                </c:pt>
                <c:pt idx="211">
                  <c:v>2.069254E-3</c:v>
                </c:pt>
                <c:pt idx="212">
                  <c:v>2.0750820000000002E-3</c:v>
                </c:pt>
                <c:pt idx="213">
                  <c:v>2.0809069999999999E-3</c:v>
                </c:pt>
                <c:pt idx="214">
                  <c:v>2.0867279999999999E-3</c:v>
                </c:pt>
                <c:pt idx="215">
                  <c:v>2.0925470000000002E-3</c:v>
                </c:pt>
                <c:pt idx="216">
                  <c:v>2.0983640000000001E-3</c:v>
                </c:pt>
                <c:pt idx="217">
                  <c:v>2.104178E-3</c:v>
                </c:pt>
                <c:pt idx="218">
                  <c:v>2.109989E-3</c:v>
                </c:pt>
                <c:pt idx="219">
                  <c:v>2.115797E-3</c:v>
                </c:pt>
                <c:pt idx="220">
                  <c:v>2.1216030000000001E-3</c:v>
                </c:pt>
                <c:pt idx="221">
                  <c:v>2.127407E-3</c:v>
                </c:pt>
                <c:pt idx="222">
                  <c:v>2.1332080000000002E-3</c:v>
                </c:pt>
                <c:pt idx="223">
                  <c:v>2.1390060000000002E-3</c:v>
                </c:pt>
                <c:pt idx="224">
                  <c:v>2.1448029999999998E-3</c:v>
                </c:pt>
                <c:pt idx="225">
                  <c:v>2.1505969999999998E-3</c:v>
                </c:pt>
                <c:pt idx="226">
                  <c:v>2.1563889999999999E-3</c:v>
                </c:pt>
                <c:pt idx="227">
                  <c:v>2.1621779999999998E-3</c:v>
                </c:pt>
                <c:pt idx="228">
                  <c:v>2.1679659999999999E-3</c:v>
                </c:pt>
                <c:pt idx="229">
                  <c:v>2.1737510000000002E-3</c:v>
                </c:pt>
                <c:pt idx="230">
                  <c:v>2.1795339999999999E-3</c:v>
                </c:pt>
                <c:pt idx="231">
                  <c:v>2.1853159999999996E-3</c:v>
                </c:pt>
                <c:pt idx="232">
                  <c:v>2.1910949999999997E-3</c:v>
                </c:pt>
                <c:pt idx="233">
                  <c:v>2.1968719999999999E-3</c:v>
                </c:pt>
                <c:pt idx="234">
                  <c:v>2.2026469999999999E-3</c:v>
                </c:pt>
                <c:pt idx="235">
                  <c:v>2.2084209999999999E-3</c:v>
                </c:pt>
                <c:pt idx="236">
                  <c:v>2.2141920000000002E-3</c:v>
                </c:pt>
                <c:pt idx="237">
                  <c:v>2.2199620000000002E-3</c:v>
                </c:pt>
                <c:pt idx="238">
                  <c:v>2.22573E-3</c:v>
                </c:pt>
                <c:pt idx="239">
                  <c:v>2.2314959999999999E-3</c:v>
                </c:pt>
                <c:pt idx="240">
                  <c:v>2.23726E-3</c:v>
                </c:pt>
                <c:pt idx="241">
                  <c:v>2.2430219999999999E-3</c:v>
                </c:pt>
                <c:pt idx="242">
                  <c:v>2.2487829999999999E-3</c:v>
                </c:pt>
                <c:pt idx="243">
                  <c:v>2.2545429999999999E-3</c:v>
                </c:pt>
                <c:pt idx="244">
                  <c:v>2.2602999999999998E-3</c:v>
                </c:pt>
                <c:pt idx="245">
                  <c:v>2.2660559999999998E-3</c:v>
                </c:pt>
                <c:pt idx="246">
                  <c:v>2.2718109999999999E-3</c:v>
                </c:pt>
                <c:pt idx="247">
                  <c:v>2.2775629999999998E-3</c:v>
                </c:pt>
                <c:pt idx="248">
                  <c:v>2.2833150000000002E-3</c:v>
                </c:pt>
                <c:pt idx="249">
                  <c:v>2.2890649999999998E-3</c:v>
                </c:pt>
                <c:pt idx="250">
                  <c:v>2.2948130000000001E-3</c:v>
                </c:pt>
                <c:pt idx="251">
                  <c:v>2.3001580000000001E-3</c:v>
                </c:pt>
                <c:pt idx="252">
                  <c:v>2.305171E-3</c:v>
                </c:pt>
                <c:pt idx="253">
                  <c:v>2.3099699999999997E-3</c:v>
                </c:pt>
                <c:pt idx="254">
                  <c:v>2.3145989999999996E-3</c:v>
                </c:pt>
                <c:pt idx="255">
                  <c:v>2.319083E-3</c:v>
                </c:pt>
                <c:pt idx="256">
                  <c:v>2.3234370000000002E-3</c:v>
                </c:pt>
                <c:pt idx="257">
                  <c:v>2.3276759999999999E-3</c:v>
                </c:pt>
                <c:pt idx="258">
                  <c:v>2.3318089999999998E-3</c:v>
                </c:pt>
                <c:pt idx="259">
                  <c:v>2.335845E-3</c:v>
                </c:pt>
                <c:pt idx="260">
                  <c:v>2.3397879999999998E-3</c:v>
                </c:pt>
                <c:pt idx="261">
                  <c:v>2.3436469999999999E-3</c:v>
                </c:pt>
                <c:pt idx="262">
                  <c:v>2.3474249999999998E-3</c:v>
                </c:pt>
                <c:pt idx="263">
                  <c:v>2.3511270000000002E-3</c:v>
                </c:pt>
                <c:pt idx="264">
                  <c:v>2.3547559999999999E-3</c:v>
                </c:pt>
                <c:pt idx="265">
                  <c:v>2.3583160000000001E-3</c:v>
                </c:pt>
                <c:pt idx="266">
                  <c:v>2.3618109999999997E-3</c:v>
                </c:pt>
                <c:pt idx="267">
                  <c:v>2.3652429999999999E-3</c:v>
                </c:pt>
                <c:pt idx="268">
                  <c:v>2.3686139999999998E-3</c:v>
                </c:pt>
                <c:pt idx="269">
                  <c:v>2.3719280000000001E-3</c:v>
                </c:pt>
                <c:pt idx="270">
                  <c:v>2.3751859999999996E-3</c:v>
                </c:pt>
                <c:pt idx="271">
                  <c:v>2.3783900000000002E-3</c:v>
                </c:pt>
                <c:pt idx="272">
                  <c:v>2.3815419999999999E-3</c:v>
                </c:pt>
                <c:pt idx="273">
                  <c:v>2.384644E-3</c:v>
                </c:pt>
                <c:pt idx="274">
                  <c:v>2.3876979999999997E-3</c:v>
                </c:pt>
                <c:pt idx="275">
                  <c:v>2.3907049999999999E-3</c:v>
                </c:pt>
                <c:pt idx="276">
                  <c:v>2.3936670000000004E-3</c:v>
                </c:pt>
                <c:pt idx="277">
                  <c:v>2.3965850000000001E-3</c:v>
                </c:pt>
                <c:pt idx="278">
                  <c:v>2.39946E-3</c:v>
                </c:pt>
                <c:pt idx="279">
                  <c:v>2.4022929999999998E-3</c:v>
                </c:pt>
                <c:pt idx="280">
                  <c:v>2.4050869999999998E-3</c:v>
                </c:pt>
                <c:pt idx="281">
                  <c:v>2.407841E-3</c:v>
                </c:pt>
                <c:pt idx="282">
                  <c:v>2.4105580000000001E-3</c:v>
                </c:pt>
                <c:pt idx="283">
                  <c:v>2.4132369999999999E-3</c:v>
                </c:pt>
                <c:pt idx="284">
                  <c:v>2.41588E-3</c:v>
                </c:pt>
                <c:pt idx="285">
                  <c:v>2.4184890000000002E-3</c:v>
                </c:pt>
                <c:pt idx="286">
                  <c:v>2.4210630000000002E-3</c:v>
                </c:pt>
                <c:pt idx="287">
                  <c:v>2.4236029999999999E-3</c:v>
                </c:pt>
                <c:pt idx="288">
                  <c:v>2.4261119999999998E-3</c:v>
                </c:pt>
                <c:pt idx="289">
                  <c:v>2.4285879999999998E-3</c:v>
                </c:pt>
                <c:pt idx="290">
                  <c:v>2.4310339999999999E-3</c:v>
                </c:pt>
                <c:pt idx="291">
                  <c:v>2.4334489999999999E-3</c:v>
                </c:pt>
                <c:pt idx="292">
                  <c:v>2.435834E-3</c:v>
                </c:pt>
                <c:pt idx="293">
                  <c:v>2.4381910000000001E-3</c:v>
                </c:pt>
                <c:pt idx="294">
                  <c:v>2.4405189999999999E-3</c:v>
                </c:pt>
                <c:pt idx="295">
                  <c:v>2.4428200000000001E-3</c:v>
                </c:pt>
                <c:pt idx="296">
                  <c:v>2.4450940000000001E-3</c:v>
                </c:pt>
                <c:pt idx="297">
                  <c:v>2.447341E-3</c:v>
                </c:pt>
                <c:pt idx="298">
                  <c:v>2.4495630000000001E-3</c:v>
                </c:pt>
                <c:pt idx="299">
                  <c:v>2.451759E-3</c:v>
                </c:pt>
                <c:pt idx="300">
                  <c:v>2.45393E-3</c:v>
                </c:pt>
                <c:pt idx="301">
                  <c:v>2.456078E-3</c:v>
                </c:pt>
                <c:pt idx="302">
                  <c:v>2.4582009999999997E-3</c:v>
                </c:pt>
                <c:pt idx="303">
                  <c:v>2.4603009999999998E-3</c:v>
                </c:pt>
                <c:pt idx="304">
                  <c:v>2.4623780000000003E-3</c:v>
                </c:pt>
                <c:pt idx="305">
                  <c:v>2.4644330000000002E-3</c:v>
                </c:pt>
                <c:pt idx="306">
                  <c:v>2.4664649999999997E-3</c:v>
                </c:pt>
                <c:pt idx="307">
                  <c:v>2.4684770000000002E-3</c:v>
                </c:pt>
                <c:pt idx="308">
                  <c:v>2.4704670000000001E-3</c:v>
                </c:pt>
                <c:pt idx="309">
                  <c:v>2.4724360000000002E-3</c:v>
                </c:pt>
                <c:pt idx="310">
                  <c:v>2.474385E-3</c:v>
                </c:pt>
                <c:pt idx="311">
                  <c:v>2.4763139999999999E-3</c:v>
                </c:pt>
                <c:pt idx="312">
                  <c:v>2.4782239999999998E-3</c:v>
                </c:pt>
                <c:pt idx="313">
                  <c:v>2.4801139999999998E-3</c:v>
                </c:pt>
                <c:pt idx="314">
                  <c:v>2.4819859999999998E-3</c:v>
                </c:pt>
                <c:pt idx="315">
                  <c:v>2.4838390000000003E-3</c:v>
                </c:pt>
                <c:pt idx="316">
                  <c:v>2.4856729999999999E-3</c:v>
                </c:pt>
                <c:pt idx="317">
                  <c:v>2.4874900000000002E-3</c:v>
                </c:pt>
                <c:pt idx="318">
                  <c:v>2.4892899999999999E-3</c:v>
                </c:pt>
                <c:pt idx="319">
                  <c:v>2.491072E-3</c:v>
                </c:pt>
                <c:pt idx="320">
                  <c:v>2.4928370000000004E-3</c:v>
                </c:pt>
                <c:pt idx="321">
                  <c:v>2.4945849999999997E-3</c:v>
                </c:pt>
                <c:pt idx="322">
                  <c:v>2.4963170000000001E-3</c:v>
                </c:pt>
                <c:pt idx="323">
                  <c:v>2.4980329999999998E-3</c:v>
                </c:pt>
                <c:pt idx="324">
                  <c:v>2.4997330000000001E-3</c:v>
                </c:pt>
                <c:pt idx="325">
                  <c:v>2.5014170000000001E-3</c:v>
                </c:pt>
                <c:pt idx="326">
                  <c:v>2.5030860000000003E-3</c:v>
                </c:pt>
                <c:pt idx="327">
                  <c:v>2.5047400000000001E-3</c:v>
                </c:pt>
                <c:pt idx="328">
                  <c:v>2.5063799999999999E-3</c:v>
                </c:pt>
                <c:pt idx="329">
                  <c:v>2.5080040000000003E-3</c:v>
                </c:pt>
                <c:pt idx="330">
                  <c:v>2.5096150000000002E-3</c:v>
                </c:pt>
                <c:pt idx="331">
                  <c:v>2.5112109999999997E-3</c:v>
                </c:pt>
                <c:pt idx="332">
                  <c:v>2.5127929999999997E-3</c:v>
                </c:pt>
                <c:pt idx="333">
                  <c:v>2.514362E-3</c:v>
                </c:pt>
                <c:pt idx="334">
                  <c:v>2.5159169999999999E-3</c:v>
                </c:pt>
                <c:pt idx="335">
                  <c:v>2.5174590000000001E-3</c:v>
                </c:pt>
                <c:pt idx="336">
                  <c:v>2.5189879999999998E-3</c:v>
                </c:pt>
                <c:pt idx="337">
                  <c:v>2.5205039999999998E-3</c:v>
                </c:pt>
                <c:pt idx="338">
                  <c:v>2.5220080000000001E-3</c:v>
                </c:pt>
                <c:pt idx="339">
                  <c:v>2.5234990000000002E-3</c:v>
                </c:pt>
                <c:pt idx="340">
                  <c:v>2.5249769999999999E-3</c:v>
                </c:pt>
                <c:pt idx="341">
                  <c:v>2.5264440000000001E-3</c:v>
                </c:pt>
                <c:pt idx="342">
                  <c:v>2.5278990000000001E-3</c:v>
                </c:pt>
                <c:pt idx="343">
                  <c:v>2.5293420000000004E-3</c:v>
                </c:pt>
                <c:pt idx="344">
                  <c:v>2.5307730000000001E-3</c:v>
                </c:pt>
                <c:pt idx="345">
                  <c:v>2.5321929999999999E-3</c:v>
                </c:pt>
                <c:pt idx="346">
                  <c:v>2.5336020000000002E-3</c:v>
                </c:pt>
                <c:pt idx="347">
                  <c:v>2.5349999999999999E-3</c:v>
                </c:pt>
                <c:pt idx="348">
                  <c:v>2.5363869999999998E-3</c:v>
                </c:pt>
                <c:pt idx="349">
                  <c:v>2.5377630000000002E-3</c:v>
                </c:pt>
                <c:pt idx="350">
                  <c:v>2.5391289999999998E-3</c:v>
                </c:pt>
                <c:pt idx="351">
                  <c:v>2.540484E-3</c:v>
                </c:pt>
                <c:pt idx="352">
                  <c:v>2.5418289999999998E-3</c:v>
                </c:pt>
                <c:pt idx="353">
                  <c:v>2.5431640000000001E-3</c:v>
                </c:pt>
                <c:pt idx="354">
                  <c:v>2.5444879999999997E-3</c:v>
                </c:pt>
                <c:pt idx="355">
                  <c:v>2.5458029999999997E-3</c:v>
                </c:pt>
                <c:pt idx="356">
                  <c:v>2.5471089999999997E-3</c:v>
                </c:pt>
                <c:pt idx="357">
                  <c:v>2.5484040000000002E-3</c:v>
                </c:pt>
                <c:pt idx="358">
                  <c:v>2.5496899999999999E-3</c:v>
                </c:pt>
                <c:pt idx="359">
                  <c:v>2.5509669999999999E-3</c:v>
                </c:pt>
                <c:pt idx="360">
                  <c:v>2.5522349999999999E-3</c:v>
                </c:pt>
                <c:pt idx="361">
                  <c:v>2.5534940000000003E-3</c:v>
                </c:pt>
                <c:pt idx="362">
                  <c:v>2.5547430000000004E-3</c:v>
                </c:pt>
                <c:pt idx="363">
                  <c:v>2.5559839999999999E-3</c:v>
                </c:pt>
                <c:pt idx="364">
                  <c:v>2.5572159999999997E-3</c:v>
                </c:pt>
                <c:pt idx="365">
                  <c:v>2.5584399999999999E-3</c:v>
                </c:pt>
                <c:pt idx="366">
                  <c:v>2.5596549999999997E-3</c:v>
                </c:pt>
                <c:pt idx="367">
                  <c:v>2.5608620000000001E-3</c:v>
                </c:pt>
                <c:pt idx="368">
                  <c:v>2.5620599999999997E-3</c:v>
                </c:pt>
                <c:pt idx="369">
                  <c:v>2.56325E-3</c:v>
                </c:pt>
                <c:pt idx="370">
                  <c:v>2.5644330000000001E-3</c:v>
                </c:pt>
                <c:pt idx="371">
                  <c:v>2.5656070000000001E-3</c:v>
                </c:pt>
                <c:pt idx="372">
                  <c:v>2.5667730000000001E-3</c:v>
                </c:pt>
                <c:pt idx="373">
                  <c:v>2.5679319999999998E-3</c:v>
                </c:pt>
                <c:pt idx="374">
                  <c:v>2.5690830000000002E-3</c:v>
                </c:pt>
                <c:pt idx="375">
                  <c:v>2.570227E-3</c:v>
                </c:pt>
                <c:pt idx="376">
                  <c:v>2.5713629999999997E-3</c:v>
                </c:pt>
                <c:pt idx="377">
                  <c:v>2.572492E-3</c:v>
                </c:pt>
                <c:pt idx="378">
                  <c:v>2.5736129999999998E-3</c:v>
                </c:pt>
                <c:pt idx="379">
                  <c:v>2.5747270000000002E-3</c:v>
                </c:pt>
                <c:pt idx="380">
                  <c:v>2.5758350000000003E-3</c:v>
                </c:pt>
                <c:pt idx="381">
                  <c:v>2.5769350000000002E-3</c:v>
                </c:pt>
                <c:pt idx="382">
                  <c:v>2.578028E-3</c:v>
                </c:pt>
                <c:pt idx="383">
                  <c:v>2.5791149999999999E-3</c:v>
                </c:pt>
                <c:pt idx="384">
                  <c:v>2.580195E-3</c:v>
                </c:pt>
                <c:pt idx="385">
                  <c:v>2.5812680000000003E-3</c:v>
                </c:pt>
                <c:pt idx="386">
                  <c:v>2.5823339999999999E-3</c:v>
                </c:pt>
                <c:pt idx="387">
                  <c:v>2.5833940000000001E-3</c:v>
                </c:pt>
                <c:pt idx="388">
                  <c:v>2.584448E-3</c:v>
                </c:pt>
                <c:pt idx="389">
                  <c:v>2.5854949999999997E-3</c:v>
                </c:pt>
                <c:pt idx="390">
                  <c:v>2.5865369999999999E-3</c:v>
                </c:pt>
                <c:pt idx="391">
                  <c:v>2.5875709999999999E-3</c:v>
                </c:pt>
                <c:pt idx="392">
                  <c:v>2.5885999999999999E-3</c:v>
                </c:pt>
                <c:pt idx="393">
                  <c:v>2.5896230000000001E-3</c:v>
                </c:pt>
                <c:pt idx="394">
                  <c:v>2.59064E-3</c:v>
                </c:pt>
                <c:pt idx="395">
                  <c:v>2.5916509999999999E-3</c:v>
                </c:pt>
                <c:pt idx="396">
                  <c:v>2.592656E-3</c:v>
                </c:pt>
                <c:pt idx="397">
                  <c:v>2.5936549999999998E-3</c:v>
                </c:pt>
                <c:pt idx="398">
                  <c:v>2.5946479999999997E-3</c:v>
                </c:pt>
                <c:pt idx="399">
                  <c:v>2.5956359999999997E-3</c:v>
                </c:pt>
                <c:pt idx="400">
                  <c:v>2.5966190000000001E-3</c:v>
                </c:pt>
                <c:pt idx="401">
                  <c:v>2.5975959999999998E-3</c:v>
                </c:pt>
                <c:pt idx="402">
                  <c:v>2.598567E-3</c:v>
                </c:pt>
                <c:pt idx="403">
                  <c:v>2.5995330000000002E-3</c:v>
                </c:pt>
                <c:pt idx="404">
                  <c:v>2.6004940000000001E-3</c:v>
                </c:pt>
                <c:pt idx="405">
                  <c:v>2.601449E-3</c:v>
                </c:pt>
                <c:pt idx="406">
                  <c:v>2.6023999999999999E-3</c:v>
                </c:pt>
                <c:pt idx="407">
                  <c:v>2.603345E-3</c:v>
                </c:pt>
                <c:pt idx="408">
                  <c:v>2.604285E-3</c:v>
                </c:pt>
                <c:pt idx="409">
                  <c:v>2.6052200000000001E-3</c:v>
                </c:pt>
                <c:pt idx="410">
                  <c:v>2.6061499999999998E-3</c:v>
                </c:pt>
                <c:pt idx="411">
                  <c:v>2.6070749999999999E-3</c:v>
                </c:pt>
                <c:pt idx="412">
                  <c:v>2.607996E-3</c:v>
                </c:pt>
                <c:pt idx="413">
                  <c:v>2.6089109999999998E-3</c:v>
                </c:pt>
                <c:pt idx="414">
                  <c:v>2.6098219999999999E-3</c:v>
                </c:pt>
                <c:pt idx="415">
                  <c:v>2.6107280000000001E-3</c:v>
                </c:pt>
                <c:pt idx="416">
                  <c:v>2.6116299999999998E-3</c:v>
                </c:pt>
                <c:pt idx="417">
                  <c:v>2.612526E-3</c:v>
                </c:pt>
                <c:pt idx="418">
                  <c:v>2.6134190000000001E-3</c:v>
                </c:pt>
                <c:pt idx="419">
                  <c:v>2.6143059999999998E-3</c:v>
                </c:pt>
                <c:pt idx="420">
                  <c:v>2.6151900000000003E-3</c:v>
                </c:pt>
                <c:pt idx="421">
                  <c:v>2.6160689999999999E-3</c:v>
                </c:pt>
                <c:pt idx="422">
                  <c:v>2.616943E-3</c:v>
                </c:pt>
                <c:pt idx="423">
                  <c:v>2.617814E-3</c:v>
                </c:pt>
                <c:pt idx="424">
                  <c:v>2.61868E-3</c:v>
                </c:pt>
                <c:pt idx="425">
                  <c:v>2.6195419999999999E-3</c:v>
                </c:pt>
                <c:pt idx="426">
                  <c:v>2.6203989999999998E-3</c:v>
                </c:pt>
                <c:pt idx="427">
                  <c:v>2.621253E-3</c:v>
                </c:pt>
                <c:pt idx="428">
                  <c:v>2.6221019999999999E-3</c:v>
                </c:pt>
                <c:pt idx="429">
                  <c:v>2.6229479999999999E-3</c:v>
                </c:pt>
                <c:pt idx="430">
                  <c:v>2.6237890000000001E-3</c:v>
                </c:pt>
                <c:pt idx="431">
                  <c:v>2.6246260000000001E-3</c:v>
                </c:pt>
                <c:pt idx="432">
                  <c:v>2.62546E-3</c:v>
                </c:pt>
                <c:pt idx="433">
                  <c:v>2.6262899999999999E-3</c:v>
                </c:pt>
                <c:pt idx="434">
                  <c:v>2.6271149999999997E-3</c:v>
                </c:pt>
                <c:pt idx="435">
                  <c:v>2.6279370000000003E-3</c:v>
                </c:pt>
                <c:pt idx="436">
                  <c:v>2.6287559999999999E-3</c:v>
                </c:pt>
                <c:pt idx="437">
                  <c:v>2.6295700000000003E-3</c:v>
                </c:pt>
                <c:pt idx="438">
                  <c:v>2.6303809999999998E-3</c:v>
                </c:pt>
                <c:pt idx="439">
                  <c:v>2.631188E-3</c:v>
                </c:pt>
                <c:pt idx="440">
                  <c:v>2.6319920000000001E-3</c:v>
                </c:pt>
                <c:pt idx="441">
                  <c:v>2.6327919999999997E-3</c:v>
                </c:pt>
                <c:pt idx="442">
                  <c:v>2.6335880000000001E-3</c:v>
                </c:pt>
                <c:pt idx="443">
                  <c:v>2.6343809999999999E-3</c:v>
                </c:pt>
                <c:pt idx="444">
                  <c:v>2.635171E-3</c:v>
                </c:pt>
                <c:pt idx="445">
                  <c:v>2.635957E-3</c:v>
                </c:pt>
                <c:pt idx="446">
                  <c:v>2.6367400000000003E-3</c:v>
                </c:pt>
                <c:pt idx="447">
                  <c:v>2.6375190000000001E-3</c:v>
                </c:pt>
                <c:pt idx="448">
                  <c:v>2.6382949999999997E-3</c:v>
                </c:pt>
                <c:pt idx="449">
                  <c:v>2.6390680000000001E-3</c:v>
                </c:pt>
                <c:pt idx="450">
                  <c:v>2.6398369999999999E-3</c:v>
                </c:pt>
                <c:pt idx="451">
                  <c:v>2.6406040000000004E-3</c:v>
                </c:pt>
                <c:pt idx="452">
                  <c:v>2.6413669999999999E-3</c:v>
                </c:pt>
                <c:pt idx="453">
                  <c:v>2.6421260000000003E-3</c:v>
                </c:pt>
                <c:pt idx="454">
                  <c:v>2.642883E-3</c:v>
                </c:pt>
                <c:pt idx="455">
                  <c:v>2.6436369999999999E-3</c:v>
                </c:pt>
                <c:pt idx="456">
                  <c:v>2.6443870000000002E-3</c:v>
                </c:pt>
                <c:pt idx="457">
                  <c:v>2.6451349999999998E-3</c:v>
                </c:pt>
                <c:pt idx="458">
                  <c:v>2.6458789999999999E-3</c:v>
                </c:pt>
                <c:pt idx="459">
                  <c:v>2.646621E-3</c:v>
                </c:pt>
                <c:pt idx="460">
                  <c:v>2.6473589999999997E-3</c:v>
                </c:pt>
                <c:pt idx="461">
                  <c:v>2.648095E-3</c:v>
                </c:pt>
                <c:pt idx="462">
                  <c:v>2.6488279999999998E-3</c:v>
                </c:pt>
                <c:pt idx="463">
                  <c:v>2.6495570000000003E-3</c:v>
                </c:pt>
                <c:pt idx="464">
                  <c:v>2.6502840000000001E-3</c:v>
                </c:pt>
                <c:pt idx="465">
                  <c:v>2.6510090000000002E-3</c:v>
                </c:pt>
                <c:pt idx="466">
                  <c:v>2.6517300000000001E-3</c:v>
                </c:pt>
                <c:pt idx="467">
                  <c:v>2.652448E-3</c:v>
                </c:pt>
                <c:pt idx="468">
                  <c:v>2.653164E-3</c:v>
                </c:pt>
                <c:pt idx="469">
                  <c:v>2.6538770000000002E-3</c:v>
                </c:pt>
                <c:pt idx="470">
                  <c:v>2.6545879999999998E-3</c:v>
                </c:pt>
                <c:pt idx="471">
                  <c:v>2.6552959999999997E-3</c:v>
                </c:pt>
                <c:pt idx="472">
                  <c:v>2.6560009999999998E-3</c:v>
                </c:pt>
                <c:pt idx="473">
                  <c:v>2.6567029999999998E-3</c:v>
                </c:pt>
                <c:pt idx="474">
                  <c:v>2.657403E-3</c:v>
                </c:pt>
                <c:pt idx="475">
                  <c:v>2.6581E-3</c:v>
                </c:pt>
                <c:pt idx="476">
                  <c:v>2.6587949999999998E-3</c:v>
                </c:pt>
                <c:pt idx="477">
                  <c:v>2.6594869999999999E-3</c:v>
                </c:pt>
                <c:pt idx="478">
                  <c:v>2.6601770000000001E-3</c:v>
                </c:pt>
                <c:pt idx="479">
                  <c:v>2.6608640000000002E-3</c:v>
                </c:pt>
                <c:pt idx="480">
                  <c:v>2.661549E-3</c:v>
                </c:pt>
                <c:pt idx="481">
                  <c:v>2.6622320000000001E-3</c:v>
                </c:pt>
                <c:pt idx="482">
                  <c:v>2.6629119999999999E-3</c:v>
                </c:pt>
                <c:pt idx="483">
                  <c:v>2.6635890000000001E-3</c:v>
                </c:pt>
                <c:pt idx="484">
                  <c:v>2.6642640000000004E-3</c:v>
                </c:pt>
                <c:pt idx="485">
                  <c:v>2.664937E-3</c:v>
                </c:pt>
                <c:pt idx="486">
                  <c:v>2.6656080000000003E-3</c:v>
                </c:pt>
                <c:pt idx="487">
                  <c:v>2.666276E-3</c:v>
                </c:pt>
                <c:pt idx="488">
                  <c:v>2.6669420000000003E-3</c:v>
                </c:pt>
                <c:pt idx="489">
                  <c:v>2.6676060000000003E-3</c:v>
                </c:pt>
                <c:pt idx="490">
                  <c:v>2.6682670000000002E-3</c:v>
                </c:pt>
                <c:pt idx="491">
                  <c:v>2.6689259999999999E-3</c:v>
                </c:pt>
                <c:pt idx="492">
                  <c:v>2.6695829999999997E-3</c:v>
                </c:pt>
                <c:pt idx="493">
                  <c:v>2.6702379999999997E-3</c:v>
                </c:pt>
                <c:pt idx="494">
                  <c:v>2.6708910000000003E-3</c:v>
                </c:pt>
                <c:pt idx="495">
                  <c:v>2.6715409999999999E-3</c:v>
                </c:pt>
                <c:pt idx="496">
                  <c:v>2.6721900000000001E-3</c:v>
                </c:pt>
                <c:pt idx="497">
                  <c:v>2.672836E-3</c:v>
                </c:pt>
                <c:pt idx="498">
                  <c:v>2.6734800000000002E-3</c:v>
                </c:pt>
                <c:pt idx="499">
                  <c:v>2.6741220000000001E-3</c:v>
                </c:pt>
                <c:pt idx="500">
                  <c:v>2.6747619999999998E-3</c:v>
                </c:pt>
                <c:pt idx="501">
                  <c:v>2.6753999999999997E-3</c:v>
                </c:pt>
                <c:pt idx="502">
                  <c:v>2.6760359999999997E-3</c:v>
                </c:pt>
                <c:pt idx="503">
                  <c:v>2.6766699999999999E-3</c:v>
                </c:pt>
                <c:pt idx="504">
                  <c:v>2.6773019999999999E-3</c:v>
                </c:pt>
                <c:pt idx="505">
                  <c:v>2.6779320000000001E-3</c:v>
                </c:pt>
                <c:pt idx="506">
                  <c:v>2.6785610000000003E-3</c:v>
                </c:pt>
                <c:pt idx="507">
                  <c:v>2.6791870000000004E-3</c:v>
                </c:pt>
                <c:pt idx="508">
                  <c:v>2.6798109999999998E-3</c:v>
                </c:pt>
                <c:pt idx="509">
                  <c:v>2.6804329999999999E-3</c:v>
                </c:pt>
                <c:pt idx="510">
                  <c:v>2.681054E-3</c:v>
                </c:pt>
                <c:pt idx="511">
                  <c:v>2.681672E-3</c:v>
                </c:pt>
                <c:pt idx="512">
                  <c:v>2.682289E-3</c:v>
                </c:pt>
                <c:pt idx="513">
                  <c:v>2.6829040000000003E-3</c:v>
                </c:pt>
                <c:pt idx="514">
                  <c:v>2.6835170000000003E-3</c:v>
                </c:pt>
                <c:pt idx="515">
                  <c:v>2.684128E-3</c:v>
                </c:pt>
                <c:pt idx="516">
                  <c:v>2.684737E-3</c:v>
                </c:pt>
                <c:pt idx="517">
                  <c:v>2.685345E-3</c:v>
                </c:pt>
                <c:pt idx="518">
                  <c:v>2.6859510000000002E-3</c:v>
                </c:pt>
                <c:pt idx="519">
                  <c:v>2.6865549999999998E-3</c:v>
                </c:pt>
                <c:pt idx="520">
                  <c:v>2.6871580000000003E-3</c:v>
                </c:pt>
                <c:pt idx="521">
                  <c:v>2.6877580000000002E-3</c:v>
                </c:pt>
                <c:pt idx="522">
                  <c:v>2.6883569999999997E-3</c:v>
                </c:pt>
                <c:pt idx="523">
                  <c:v>2.6889539999999999E-3</c:v>
                </c:pt>
                <c:pt idx="524">
                  <c:v>2.6895500000000002E-3</c:v>
                </c:pt>
                <c:pt idx="525">
                  <c:v>2.6901440000000002E-3</c:v>
                </c:pt>
                <c:pt idx="526">
                  <c:v>2.690736E-3</c:v>
                </c:pt>
                <c:pt idx="527">
                  <c:v>2.6913269999999999E-3</c:v>
                </c:pt>
                <c:pt idx="528">
                  <c:v>2.6919159999999999E-3</c:v>
                </c:pt>
                <c:pt idx="529">
                  <c:v>2.6925029999999997E-3</c:v>
                </c:pt>
                <c:pt idx="530">
                  <c:v>2.6930890000000001E-3</c:v>
                </c:pt>
                <c:pt idx="531">
                  <c:v>2.6936730000000002E-3</c:v>
                </c:pt>
                <c:pt idx="532">
                  <c:v>2.6942560000000003E-3</c:v>
                </c:pt>
                <c:pt idx="533">
                  <c:v>2.6948370000000003E-3</c:v>
                </c:pt>
                <c:pt idx="534">
                  <c:v>2.6954169999999999E-3</c:v>
                </c:pt>
                <c:pt idx="535">
                  <c:v>2.6959950000000001E-3</c:v>
                </c:pt>
                <c:pt idx="536">
                  <c:v>2.696571E-3</c:v>
                </c:pt>
                <c:pt idx="537">
                  <c:v>2.6971460000000001E-3</c:v>
                </c:pt>
                <c:pt idx="538">
                  <c:v>2.6977199999999998E-3</c:v>
                </c:pt>
                <c:pt idx="539">
                  <c:v>2.6982910000000002E-3</c:v>
                </c:pt>
                <c:pt idx="540">
                  <c:v>2.6988620000000002E-3</c:v>
                </c:pt>
                <c:pt idx="541">
                  <c:v>2.699431E-3</c:v>
                </c:pt>
                <c:pt idx="542">
                  <c:v>2.6999990000000002E-3</c:v>
                </c:pt>
                <c:pt idx="543">
                  <c:v>2.7005650000000003E-3</c:v>
                </c:pt>
                <c:pt idx="544">
                  <c:v>2.701129E-3</c:v>
                </c:pt>
                <c:pt idx="545">
                  <c:v>2.7016930000000002E-3</c:v>
                </c:pt>
                <c:pt idx="546">
                  <c:v>2.7022550000000002E-3</c:v>
                </c:pt>
                <c:pt idx="547">
                  <c:v>2.7028150000000003E-3</c:v>
                </c:pt>
                <c:pt idx="548">
                  <c:v>2.7033740000000001E-3</c:v>
                </c:pt>
                <c:pt idx="549">
                  <c:v>2.703932E-3</c:v>
                </c:pt>
                <c:pt idx="550">
                  <c:v>2.7044880000000001E-3</c:v>
                </c:pt>
                <c:pt idx="551">
                  <c:v>2.7050429999999999E-3</c:v>
                </c:pt>
                <c:pt idx="552">
                  <c:v>2.7055970000000001E-3</c:v>
                </c:pt>
                <c:pt idx="553">
                  <c:v>2.7061489999999997E-3</c:v>
                </c:pt>
                <c:pt idx="554">
                  <c:v>2.7067000000000003E-3</c:v>
                </c:pt>
                <c:pt idx="555">
                  <c:v>2.70725E-3</c:v>
                </c:pt>
                <c:pt idx="556">
                  <c:v>2.707798E-3</c:v>
                </c:pt>
                <c:pt idx="557">
                  <c:v>2.708345E-3</c:v>
                </c:pt>
                <c:pt idx="558">
                  <c:v>2.7088909999999997E-3</c:v>
                </c:pt>
                <c:pt idx="559">
                  <c:v>2.709436E-3</c:v>
                </c:pt>
                <c:pt idx="560">
                  <c:v>2.7099789999999999E-3</c:v>
                </c:pt>
                <c:pt idx="561">
                  <c:v>2.710521E-3</c:v>
                </c:pt>
                <c:pt idx="562">
                  <c:v>2.7110620000000002E-3</c:v>
                </c:pt>
                <c:pt idx="563">
                  <c:v>2.7116010000000001E-3</c:v>
                </c:pt>
                <c:pt idx="564">
                  <c:v>2.7121390000000001E-3</c:v>
                </c:pt>
                <c:pt idx="565">
                  <c:v>2.7126760000000002E-3</c:v>
                </c:pt>
                <c:pt idx="566">
                  <c:v>2.713212E-3</c:v>
                </c:pt>
                <c:pt idx="567">
                  <c:v>2.7137470000000003E-3</c:v>
                </c:pt>
                <c:pt idx="568">
                  <c:v>2.7142799999999999E-3</c:v>
                </c:pt>
                <c:pt idx="569">
                  <c:v>2.7148129999999999E-3</c:v>
                </c:pt>
                <c:pt idx="570">
                  <c:v>2.7153440000000002E-3</c:v>
                </c:pt>
                <c:pt idx="571">
                  <c:v>2.7158740000000001E-3</c:v>
                </c:pt>
                <c:pt idx="572">
                  <c:v>2.7164020000000001E-3</c:v>
                </c:pt>
                <c:pt idx="573">
                  <c:v>2.7169300000000002E-3</c:v>
                </c:pt>
                <c:pt idx="574">
                  <c:v>2.7174569999999999E-3</c:v>
                </c:pt>
                <c:pt idx="575">
                  <c:v>2.7179820000000003E-3</c:v>
                </c:pt>
                <c:pt idx="576">
                  <c:v>2.7185059999999999E-3</c:v>
                </c:pt>
                <c:pt idx="577">
                  <c:v>2.719029E-3</c:v>
                </c:pt>
                <c:pt idx="578">
                  <c:v>2.7195510000000002E-3</c:v>
                </c:pt>
                <c:pt idx="579">
                  <c:v>2.720072E-3</c:v>
                </c:pt>
                <c:pt idx="580">
                  <c:v>2.720592E-3</c:v>
                </c:pt>
                <c:pt idx="581">
                  <c:v>2.721111E-3</c:v>
                </c:pt>
                <c:pt idx="582">
                  <c:v>2.7216290000000001E-3</c:v>
                </c:pt>
                <c:pt idx="583">
                  <c:v>2.7221449999999996E-3</c:v>
                </c:pt>
                <c:pt idx="584">
                  <c:v>2.7226609999999999E-3</c:v>
                </c:pt>
                <c:pt idx="585">
                  <c:v>2.723175E-3</c:v>
                </c:pt>
                <c:pt idx="586">
                  <c:v>2.7236889999999996E-3</c:v>
                </c:pt>
                <c:pt idx="587">
                  <c:v>2.7242009999999999E-3</c:v>
                </c:pt>
                <c:pt idx="588">
                  <c:v>2.7247130000000001E-3</c:v>
                </c:pt>
                <c:pt idx="589">
                  <c:v>2.7252230000000001E-3</c:v>
                </c:pt>
                <c:pt idx="590">
                  <c:v>2.7257319999999998E-3</c:v>
                </c:pt>
                <c:pt idx="591">
                  <c:v>2.7262409999999999E-3</c:v>
                </c:pt>
                <c:pt idx="592">
                  <c:v>2.7267480000000002E-3</c:v>
                </c:pt>
                <c:pt idx="593">
                  <c:v>2.7272539999999997E-3</c:v>
                </c:pt>
                <c:pt idx="594">
                  <c:v>2.7277600000000001E-3</c:v>
                </c:pt>
                <c:pt idx="595">
                  <c:v>2.7282639999999998E-3</c:v>
                </c:pt>
                <c:pt idx="596">
                  <c:v>2.7287679999999999E-3</c:v>
                </c:pt>
                <c:pt idx="597">
                  <c:v>2.7292700000000002E-3</c:v>
                </c:pt>
                <c:pt idx="598">
                  <c:v>2.7297720000000001E-3</c:v>
                </c:pt>
                <c:pt idx="599">
                  <c:v>2.7302719999999997E-3</c:v>
                </c:pt>
                <c:pt idx="600">
                  <c:v>2.7307719999999998E-3</c:v>
                </c:pt>
                <c:pt idx="601">
                  <c:v>2.7312700000000001E-3</c:v>
                </c:pt>
                <c:pt idx="602">
                  <c:v>2.7317680000000003E-3</c:v>
                </c:pt>
                <c:pt idx="603">
                  <c:v>2.7322649999999998E-3</c:v>
                </c:pt>
                <c:pt idx="604">
                  <c:v>2.7327609999999998E-3</c:v>
                </c:pt>
                <c:pt idx="605">
                  <c:v>2.7332559999999999E-3</c:v>
                </c:pt>
                <c:pt idx="606">
                  <c:v>2.7337500000000001E-3</c:v>
                </c:pt>
                <c:pt idx="607">
                  <c:v>2.7342430000000004E-3</c:v>
                </c:pt>
                <c:pt idx="608">
                  <c:v>2.7347350000000003E-3</c:v>
                </c:pt>
                <c:pt idx="609">
                  <c:v>2.7352270000000002E-3</c:v>
                </c:pt>
                <c:pt idx="610">
                  <c:v>2.7357170000000004E-3</c:v>
                </c:pt>
                <c:pt idx="611">
                  <c:v>2.736207E-3</c:v>
                </c:pt>
                <c:pt idx="612">
                  <c:v>2.7366959999999998E-3</c:v>
                </c:pt>
                <c:pt idx="613">
                  <c:v>2.7371840000000001E-3</c:v>
                </c:pt>
                <c:pt idx="614">
                  <c:v>2.7376710000000001E-3</c:v>
                </c:pt>
                <c:pt idx="615">
                  <c:v>2.7381570000000002E-3</c:v>
                </c:pt>
                <c:pt idx="616">
                  <c:v>2.7386419999999999E-3</c:v>
                </c:pt>
                <c:pt idx="617">
                  <c:v>2.7391270000000001E-3</c:v>
                </c:pt>
                <c:pt idx="618">
                  <c:v>2.73961E-3</c:v>
                </c:pt>
                <c:pt idx="619">
                  <c:v>2.7400929999999999E-3</c:v>
                </c:pt>
                <c:pt idx="620">
                  <c:v>2.7405750000000003E-3</c:v>
                </c:pt>
                <c:pt idx="621">
                  <c:v>2.741056E-3</c:v>
                </c:pt>
                <c:pt idx="622">
                  <c:v>2.7415370000000001E-3</c:v>
                </c:pt>
                <c:pt idx="623">
                  <c:v>2.7420159999999999E-3</c:v>
                </c:pt>
                <c:pt idx="624">
                  <c:v>2.7424949999999997E-3</c:v>
                </c:pt>
                <c:pt idx="625">
                  <c:v>2.7429730000000001E-3</c:v>
                </c:pt>
                <c:pt idx="626">
                  <c:v>2.7434500000000001E-3</c:v>
                </c:pt>
                <c:pt idx="627">
                  <c:v>2.7439269999999997E-3</c:v>
                </c:pt>
                <c:pt idx="628">
                  <c:v>2.744402E-3</c:v>
                </c:pt>
                <c:pt idx="629">
                  <c:v>2.7448769999999997E-3</c:v>
                </c:pt>
                <c:pt idx="630">
                  <c:v>2.745351E-3</c:v>
                </c:pt>
                <c:pt idx="631">
                  <c:v>2.7458249999999999E-3</c:v>
                </c:pt>
                <c:pt idx="632">
                  <c:v>2.7462970000000004E-3</c:v>
                </c:pt>
                <c:pt idx="633">
                  <c:v>2.746769E-3</c:v>
                </c:pt>
                <c:pt idx="634">
                  <c:v>2.7472400000000002E-3</c:v>
                </c:pt>
                <c:pt idx="635">
                  <c:v>2.74771E-3</c:v>
                </c:pt>
                <c:pt idx="636">
                  <c:v>2.7481800000000002E-3</c:v>
                </c:pt>
                <c:pt idx="637">
                  <c:v>2.7486489999999997E-3</c:v>
                </c:pt>
                <c:pt idx="638">
                  <c:v>2.7491170000000001E-3</c:v>
                </c:pt>
                <c:pt idx="639">
                  <c:v>2.7495840000000002E-3</c:v>
                </c:pt>
                <c:pt idx="640">
                  <c:v>2.7500509999999999E-3</c:v>
                </c:pt>
                <c:pt idx="641">
                  <c:v>2.7505170000000001E-3</c:v>
                </c:pt>
                <c:pt idx="642">
                  <c:v>2.7509819999999999E-3</c:v>
                </c:pt>
                <c:pt idx="643">
                  <c:v>2.7514470000000002E-3</c:v>
                </c:pt>
                <c:pt idx="644">
                  <c:v>2.7519100000000002E-3</c:v>
                </c:pt>
                <c:pt idx="645">
                  <c:v>2.7523740000000001E-3</c:v>
                </c:pt>
                <c:pt idx="646">
                  <c:v>2.7528359999999998E-3</c:v>
                </c:pt>
                <c:pt idx="647">
                  <c:v>2.7532979999999999E-3</c:v>
                </c:pt>
                <c:pt idx="648">
                  <c:v>2.7537590000000002E-3</c:v>
                </c:pt>
                <c:pt idx="649">
                  <c:v>2.754219E-3</c:v>
                </c:pt>
                <c:pt idx="650">
                  <c:v>2.7546789999999999E-3</c:v>
                </c:pt>
                <c:pt idx="651">
                  <c:v>2.7551380000000003E-3</c:v>
                </c:pt>
                <c:pt idx="652">
                  <c:v>2.7555960000000003E-3</c:v>
                </c:pt>
                <c:pt idx="653">
                  <c:v>2.756054E-3</c:v>
                </c:pt>
                <c:pt idx="654">
                  <c:v>2.7565110000000001E-3</c:v>
                </c:pt>
                <c:pt idx="655">
                  <c:v>2.7569669999999999E-3</c:v>
                </c:pt>
                <c:pt idx="656">
                  <c:v>2.7574230000000002E-3</c:v>
                </c:pt>
                <c:pt idx="657">
                  <c:v>2.7578779999999996E-3</c:v>
                </c:pt>
                <c:pt idx="658">
                  <c:v>2.758333E-3</c:v>
                </c:pt>
                <c:pt idx="659">
                  <c:v>2.7587860000000001E-3</c:v>
                </c:pt>
                <c:pt idx="660">
                  <c:v>2.75924E-3</c:v>
                </c:pt>
                <c:pt idx="661">
                  <c:v>2.7596919999999998E-3</c:v>
                </c:pt>
                <c:pt idx="662">
                  <c:v>2.760144E-3</c:v>
                </c:pt>
                <c:pt idx="663">
                  <c:v>2.7605949999999998E-3</c:v>
                </c:pt>
                <c:pt idx="664">
                  <c:v>2.7610460000000001E-3</c:v>
                </c:pt>
                <c:pt idx="665">
                  <c:v>2.761496E-3</c:v>
                </c:pt>
                <c:pt idx="666">
                  <c:v>2.7619459999999999E-3</c:v>
                </c:pt>
                <c:pt idx="667">
                  <c:v>2.762394E-3</c:v>
                </c:pt>
                <c:pt idx="668">
                  <c:v>2.7628430000000001E-3</c:v>
                </c:pt>
                <c:pt idx="669">
                  <c:v>2.7632899999999998E-3</c:v>
                </c:pt>
                <c:pt idx="670">
                  <c:v>2.7637370000000001E-3</c:v>
                </c:pt>
                <c:pt idx="671">
                  <c:v>2.7641840000000003E-3</c:v>
                </c:pt>
                <c:pt idx="672">
                  <c:v>2.7646300000000001E-3</c:v>
                </c:pt>
                <c:pt idx="673">
                  <c:v>2.7650750000000001E-3</c:v>
                </c:pt>
                <c:pt idx="674">
                  <c:v>2.76552E-3</c:v>
                </c:pt>
                <c:pt idx="675">
                  <c:v>2.7659639999999997E-3</c:v>
                </c:pt>
                <c:pt idx="676">
                  <c:v>2.7664070000000002E-3</c:v>
                </c:pt>
                <c:pt idx="677">
                  <c:v>2.76685E-3</c:v>
                </c:pt>
                <c:pt idx="678">
                  <c:v>2.7672930000000001E-3</c:v>
                </c:pt>
                <c:pt idx="679">
                  <c:v>2.7677349999999999E-3</c:v>
                </c:pt>
                <c:pt idx="680">
                  <c:v>2.7681759999999998E-3</c:v>
                </c:pt>
                <c:pt idx="681">
                  <c:v>2.7686169999999997E-3</c:v>
                </c:pt>
                <c:pt idx="682">
                  <c:v>2.7690570000000001E-3</c:v>
                </c:pt>
                <c:pt idx="683">
                  <c:v>2.7694969999999997E-3</c:v>
                </c:pt>
                <c:pt idx="684">
                  <c:v>2.7699359999999998E-3</c:v>
                </c:pt>
                <c:pt idx="685">
                  <c:v>2.7703739999999999E-3</c:v>
                </c:pt>
                <c:pt idx="686">
                  <c:v>2.7708119999999997E-3</c:v>
                </c:pt>
                <c:pt idx="687">
                  <c:v>2.7712500000000003E-3</c:v>
                </c:pt>
                <c:pt idx="688">
                  <c:v>2.7716870000000001E-3</c:v>
                </c:pt>
                <c:pt idx="689">
                  <c:v>2.772123E-3</c:v>
                </c:pt>
                <c:pt idx="690">
                  <c:v>2.7725590000000004E-3</c:v>
                </c:pt>
                <c:pt idx="691">
                  <c:v>2.772994E-3</c:v>
                </c:pt>
                <c:pt idx="692">
                  <c:v>2.773429E-3</c:v>
                </c:pt>
                <c:pt idx="693">
                  <c:v>2.7738630000000001E-3</c:v>
                </c:pt>
                <c:pt idx="694">
                  <c:v>2.7742969999999998E-3</c:v>
                </c:pt>
                <c:pt idx="695">
                  <c:v>2.7747309999999999E-3</c:v>
                </c:pt>
                <c:pt idx="696">
                  <c:v>2.7751630000000002E-3</c:v>
                </c:pt>
                <c:pt idx="697">
                  <c:v>2.775596E-3</c:v>
                </c:pt>
                <c:pt idx="698">
                  <c:v>2.7760269999999999E-3</c:v>
                </c:pt>
                <c:pt idx="699">
                  <c:v>2.7764590000000002E-3</c:v>
                </c:pt>
                <c:pt idx="700">
                  <c:v>2.7768890000000003E-3</c:v>
                </c:pt>
                <c:pt idx="701">
                  <c:v>2.7773200000000002E-3</c:v>
                </c:pt>
                <c:pt idx="702">
                  <c:v>2.7777500000000003E-3</c:v>
                </c:pt>
                <c:pt idx="703">
                  <c:v>2.778179E-3</c:v>
                </c:pt>
                <c:pt idx="704">
                  <c:v>2.7786080000000001E-3</c:v>
                </c:pt>
                <c:pt idx="705">
                  <c:v>2.7790359999999999E-3</c:v>
                </c:pt>
                <c:pt idx="706">
                  <c:v>2.7794639999999997E-3</c:v>
                </c:pt>
                <c:pt idx="707">
                  <c:v>2.779891E-3</c:v>
                </c:pt>
                <c:pt idx="708">
                  <c:v>2.7803179999999999E-3</c:v>
                </c:pt>
                <c:pt idx="709">
                  <c:v>2.7807449999999998E-3</c:v>
                </c:pt>
                <c:pt idx="710">
                  <c:v>2.7811710000000003E-3</c:v>
                </c:pt>
                <c:pt idx="711">
                  <c:v>2.7815959999999999E-3</c:v>
                </c:pt>
                <c:pt idx="712">
                  <c:v>2.782021E-3</c:v>
                </c:pt>
                <c:pt idx="713">
                  <c:v>2.7824460000000001E-3</c:v>
                </c:pt>
                <c:pt idx="714">
                  <c:v>2.7828699999999998E-3</c:v>
                </c:pt>
                <c:pt idx="715">
                  <c:v>2.783294E-3</c:v>
                </c:pt>
                <c:pt idx="716">
                  <c:v>2.7837170000000002E-3</c:v>
                </c:pt>
                <c:pt idx="717">
                  <c:v>2.7841400000000001E-3</c:v>
                </c:pt>
                <c:pt idx="718">
                  <c:v>2.7845620000000004E-3</c:v>
                </c:pt>
                <c:pt idx="719">
                  <c:v>2.7849840000000003E-3</c:v>
                </c:pt>
                <c:pt idx="720">
                  <c:v>2.7854049999999999E-3</c:v>
                </c:pt>
                <c:pt idx="721">
                  <c:v>2.7858259999999999E-3</c:v>
                </c:pt>
                <c:pt idx="722">
                  <c:v>2.7862469999999999E-3</c:v>
                </c:pt>
                <c:pt idx="723">
                  <c:v>2.7866670000000001E-3</c:v>
                </c:pt>
                <c:pt idx="724">
                  <c:v>2.7870870000000002E-3</c:v>
                </c:pt>
                <c:pt idx="725">
                  <c:v>2.7875059999999999E-3</c:v>
                </c:pt>
                <c:pt idx="726">
                  <c:v>2.7879250000000001E-3</c:v>
                </c:pt>
                <c:pt idx="727">
                  <c:v>2.788343E-3</c:v>
                </c:pt>
                <c:pt idx="728">
                  <c:v>2.7887609999999998E-3</c:v>
                </c:pt>
                <c:pt idx="729">
                  <c:v>2.7891789999999997E-3</c:v>
                </c:pt>
                <c:pt idx="730">
                  <c:v>2.7895960000000001E-3</c:v>
                </c:pt>
                <c:pt idx="731">
                  <c:v>2.790013E-3</c:v>
                </c:pt>
                <c:pt idx="732">
                  <c:v>2.7904290000000001E-3</c:v>
                </c:pt>
                <c:pt idx="733">
                  <c:v>2.7908450000000001E-3</c:v>
                </c:pt>
                <c:pt idx="734">
                  <c:v>2.7912599999999998E-3</c:v>
                </c:pt>
                <c:pt idx="735">
                  <c:v>2.7916759999999999E-3</c:v>
                </c:pt>
                <c:pt idx="736">
                  <c:v>2.7920900000000001E-3</c:v>
                </c:pt>
                <c:pt idx="737">
                  <c:v>2.7925049999999998E-3</c:v>
                </c:pt>
                <c:pt idx="738">
                  <c:v>2.7929179999999997E-3</c:v>
                </c:pt>
                <c:pt idx="739">
                  <c:v>2.7933319999999999E-3</c:v>
                </c:pt>
                <c:pt idx="740">
                  <c:v>2.7937449999999998E-3</c:v>
                </c:pt>
                <c:pt idx="741">
                  <c:v>2.7941579999999997E-3</c:v>
                </c:pt>
                <c:pt idx="742">
                  <c:v>2.7945700000000001E-3</c:v>
                </c:pt>
                <c:pt idx="743">
                  <c:v>2.7949820000000001E-3</c:v>
                </c:pt>
                <c:pt idx="744">
                  <c:v>2.7953940000000001E-3</c:v>
                </c:pt>
                <c:pt idx="745">
                  <c:v>2.7958050000000002E-3</c:v>
                </c:pt>
                <c:pt idx="746">
                  <c:v>2.7962159999999998E-3</c:v>
                </c:pt>
                <c:pt idx="747">
                  <c:v>2.796626E-3</c:v>
                </c:pt>
                <c:pt idx="748">
                  <c:v>2.7970359999999997E-3</c:v>
                </c:pt>
                <c:pt idx="749">
                  <c:v>2.7974459999999999E-3</c:v>
                </c:pt>
                <c:pt idx="750">
                  <c:v>2.897653E-3</c:v>
                </c:pt>
                <c:pt idx="751">
                  <c:v>2.988887E-3</c:v>
                </c:pt>
                <c:pt idx="752">
                  <c:v>3.0769319999999997E-3</c:v>
                </c:pt>
                <c:pt idx="753">
                  <c:v>3.16352E-3</c:v>
                </c:pt>
                <c:pt idx="754">
                  <c:v>3.249348E-3</c:v>
                </c:pt>
                <c:pt idx="755">
                  <c:v>3.334741E-3</c:v>
                </c:pt>
                <c:pt idx="756">
                  <c:v>3.419867E-3</c:v>
                </c:pt>
                <c:pt idx="757">
                  <c:v>3.504821E-3</c:v>
                </c:pt>
                <c:pt idx="758">
                  <c:v>3.5896579999999999E-3</c:v>
                </c:pt>
                <c:pt idx="759">
                  <c:v>3.6744119999999997E-3</c:v>
                </c:pt>
                <c:pt idx="760">
                  <c:v>3.7591079999999997E-3</c:v>
                </c:pt>
                <c:pt idx="761">
                  <c:v>3.8437599999999999E-3</c:v>
                </c:pt>
                <c:pt idx="762">
                  <c:v>3.9283800000000004E-3</c:v>
                </c:pt>
                <c:pt idx="763">
                  <c:v>4.0129739999999999E-3</c:v>
                </c:pt>
                <c:pt idx="764">
                  <c:v>4.0975479999999995E-3</c:v>
                </c:pt>
                <c:pt idx="765">
                  <c:v>4.1821059999999997E-3</c:v>
                </c:pt>
                <c:pt idx="766">
                  <c:v>4.2666519999999993E-3</c:v>
                </c:pt>
                <c:pt idx="767">
                  <c:v>4.3511870000000003E-3</c:v>
                </c:pt>
                <c:pt idx="768">
                  <c:v>4.4357149999999998E-3</c:v>
                </c:pt>
                <c:pt idx="769">
                  <c:v>4.5202349999999992E-3</c:v>
                </c:pt>
                <c:pt idx="770">
                  <c:v>4.604749E-3</c:v>
                </c:pt>
                <c:pt idx="771">
                  <c:v>4.689258E-3</c:v>
                </c:pt>
                <c:pt idx="772">
                  <c:v>4.7737629999999994E-3</c:v>
                </c:pt>
                <c:pt idx="773">
                  <c:v>4.8582650000000005E-3</c:v>
                </c:pt>
                <c:pt idx="774">
                  <c:v>4.9427640000000005E-3</c:v>
                </c:pt>
                <c:pt idx="775">
                  <c:v>5.0272600000000004E-3</c:v>
                </c:pt>
                <c:pt idx="776">
                  <c:v>5.1117530000000001E-3</c:v>
                </c:pt>
                <c:pt idx="777">
                  <c:v>5.1962450000000004E-3</c:v>
                </c:pt>
                <c:pt idx="778">
                  <c:v>5.2807349999999999E-3</c:v>
                </c:pt>
                <c:pt idx="779">
                  <c:v>5.3652230000000006E-3</c:v>
                </c:pt>
                <c:pt idx="780">
                  <c:v>5.44971E-3</c:v>
                </c:pt>
                <c:pt idx="781">
                  <c:v>5.5341959999999999E-3</c:v>
                </c:pt>
                <c:pt idx="782">
                  <c:v>5.6186809999999995E-3</c:v>
                </c:pt>
                <c:pt idx="783">
                  <c:v>5.7031650000000005E-3</c:v>
                </c:pt>
                <c:pt idx="784">
                  <c:v>5.7876480000000003E-3</c:v>
                </c:pt>
                <c:pt idx="785">
                  <c:v>5.8721300000000006E-3</c:v>
                </c:pt>
                <c:pt idx="786">
                  <c:v>5.9566109999999997E-3</c:v>
                </c:pt>
                <c:pt idx="787">
                  <c:v>6.0410919999999996E-3</c:v>
                </c:pt>
                <c:pt idx="788">
                  <c:v>6.1255720000000001E-3</c:v>
                </c:pt>
                <c:pt idx="789">
                  <c:v>6.2100519999999998E-3</c:v>
                </c:pt>
                <c:pt idx="790">
                  <c:v>6.2945309999999999E-3</c:v>
                </c:pt>
                <c:pt idx="791">
                  <c:v>6.3790100000000001E-3</c:v>
                </c:pt>
                <c:pt idx="792">
                  <c:v>6.4634890000000002E-3</c:v>
                </c:pt>
                <c:pt idx="793">
                  <c:v>6.547967E-3</c:v>
                </c:pt>
                <c:pt idx="794">
                  <c:v>6.6324449999999998E-3</c:v>
                </c:pt>
                <c:pt idx="795">
                  <c:v>6.7169220000000002E-3</c:v>
                </c:pt>
                <c:pt idx="796">
                  <c:v>6.8013989999999996E-3</c:v>
                </c:pt>
                <c:pt idx="797">
                  <c:v>6.885876E-3</c:v>
                </c:pt>
                <c:pt idx="798">
                  <c:v>6.9703530000000003E-3</c:v>
                </c:pt>
                <c:pt idx="799">
                  <c:v>7.0548289999999994E-3</c:v>
                </c:pt>
                <c:pt idx="800">
                  <c:v>7.1393060000000006E-3</c:v>
                </c:pt>
                <c:pt idx="801">
                  <c:v>7.2237819999999998E-3</c:v>
                </c:pt>
                <c:pt idx="802">
                  <c:v>7.3082580000000006E-3</c:v>
                </c:pt>
                <c:pt idx="803">
                  <c:v>7.3927329999999994E-3</c:v>
                </c:pt>
                <c:pt idx="804">
                  <c:v>7.4772090000000003E-3</c:v>
                </c:pt>
                <c:pt idx="805">
                  <c:v>7.5616839999999999E-3</c:v>
                </c:pt>
                <c:pt idx="806">
                  <c:v>7.6461599999999999E-3</c:v>
                </c:pt>
                <c:pt idx="807">
                  <c:v>7.7306350000000005E-3</c:v>
                </c:pt>
                <c:pt idx="808">
                  <c:v>7.8151100000000001E-3</c:v>
                </c:pt>
                <c:pt idx="809">
                  <c:v>7.8995850000000006E-3</c:v>
                </c:pt>
                <c:pt idx="810">
                  <c:v>7.9840600000000012E-3</c:v>
                </c:pt>
                <c:pt idx="811">
                  <c:v>8.0685349999999999E-3</c:v>
                </c:pt>
                <c:pt idx="812">
                  <c:v>8.153009000000001E-3</c:v>
                </c:pt>
                <c:pt idx="813">
                  <c:v>8.2374839999999998E-3</c:v>
                </c:pt>
                <c:pt idx="814">
                  <c:v>8.3219590000000003E-3</c:v>
                </c:pt>
                <c:pt idx="815">
                  <c:v>8.4064329999999996E-3</c:v>
                </c:pt>
                <c:pt idx="816">
                  <c:v>8.4909070000000007E-3</c:v>
                </c:pt>
                <c:pt idx="817">
                  <c:v>8.5753819999999994E-3</c:v>
                </c:pt>
                <c:pt idx="818">
                  <c:v>8.6598559999999988E-3</c:v>
                </c:pt>
                <c:pt idx="819">
                  <c:v>8.7443299999999998E-3</c:v>
                </c:pt>
                <c:pt idx="820">
                  <c:v>8.8288039999999991E-3</c:v>
                </c:pt>
                <c:pt idx="821">
                  <c:v>8.9132780000000002E-3</c:v>
                </c:pt>
                <c:pt idx="822">
                  <c:v>8.9977519999999995E-3</c:v>
                </c:pt>
                <c:pt idx="823">
                  <c:v>9.0822260000000005E-3</c:v>
                </c:pt>
                <c:pt idx="824">
                  <c:v>9.1666999999999998E-3</c:v>
                </c:pt>
                <c:pt idx="825">
                  <c:v>9.2511740000000009E-3</c:v>
                </c:pt>
                <c:pt idx="826">
                  <c:v>9.3356480000000002E-3</c:v>
                </c:pt>
                <c:pt idx="827">
                  <c:v>9.4201219999999995E-3</c:v>
                </c:pt>
                <c:pt idx="828">
                  <c:v>9.5045959999999988E-3</c:v>
                </c:pt>
                <c:pt idx="829">
                  <c:v>9.5890690000000004E-3</c:v>
                </c:pt>
                <c:pt idx="830">
                  <c:v>9.6735429999999997E-3</c:v>
                </c:pt>
                <c:pt idx="831">
                  <c:v>9.7580170000000008E-3</c:v>
                </c:pt>
                <c:pt idx="832">
                  <c:v>9.8424910000000001E-3</c:v>
                </c:pt>
                <c:pt idx="833">
                  <c:v>9.9269639999999999E-3</c:v>
                </c:pt>
                <c:pt idx="834">
                  <c:v>1.001144E-2</c:v>
                </c:pt>
                <c:pt idx="835">
                  <c:v>1.009591E-2</c:v>
                </c:pt>
                <c:pt idx="836">
                  <c:v>1.0180379999999999E-2</c:v>
                </c:pt>
                <c:pt idx="837">
                  <c:v>1.0264860000000001E-2</c:v>
                </c:pt>
                <c:pt idx="838">
                  <c:v>1.034933E-2</c:v>
                </c:pt>
                <c:pt idx="839">
                  <c:v>1.043381E-2</c:v>
                </c:pt>
                <c:pt idx="840">
                  <c:v>1.0518280000000001E-2</c:v>
                </c:pt>
                <c:pt idx="841">
                  <c:v>1.0602750000000001E-2</c:v>
                </c:pt>
                <c:pt idx="842">
                  <c:v>1.0687229999999999E-2</c:v>
                </c:pt>
                <c:pt idx="843">
                  <c:v>1.0771699999999999E-2</c:v>
                </c:pt>
                <c:pt idx="844">
                  <c:v>1.085617E-2</c:v>
                </c:pt>
                <c:pt idx="845">
                  <c:v>1.094065E-2</c:v>
                </c:pt>
                <c:pt idx="846">
                  <c:v>1.1025119999999999E-2</c:v>
                </c:pt>
                <c:pt idx="847">
                  <c:v>1.1109590000000001E-2</c:v>
                </c:pt>
                <c:pt idx="848">
                  <c:v>1.119407E-2</c:v>
                </c:pt>
                <c:pt idx="849">
                  <c:v>1.127854E-2</c:v>
                </c:pt>
                <c:pt idx="850">
                  <c:v>1.136301E-2</c:v>
                </c:pt>
                <c:pt idx="851">
                  <c:v>1.1447489999999999E-2</c:v>
                </c:pt>
                <c:pt idx="852">
                  <c:v>1.1531959999999999E-2</c:v>
                </c:pt>
                <c:pt idx="853">
                  <c:v>1.1616429999999999E-2</c:v>
                </c:pt>
                <c:pt idx="854">
                  <c:v>1.170091E-2</c:v>
                </c:pt>
                <c:pt idx="855">
                  <c:v>1.178538E-2</c:v>
                </c:pt>
                <c:pt idx="856">
                  <c:v>1.1869849999999999E-2</c:v>
                </c:pt>
                <c:pt idx="857">
                  <c:v>1.1954330000000001E-2</c:v>
                </c:pt>
                <c:pt idx="858">
                  <c:v>1.2038800000000001E-2</c:v>
                </c:pt>
                <c:pt idx="859">
                  <c:v>1.212327E-2</c:v>
                </c:pt>
                <c:pt idx="860">
                  <c:v>1.220774E-2</c:v>
                </c:pt>
                <c:pt idx="861">
                  <c:v>1.229222E-2</c:v>
                </c:pt>
                <c:pt idx="862">
                  <c:v>1.2376689999999999E-2</c:v>
                </c:pt>
                <c:pt idx="863">
                  <c:v>1.2461159999999999E-2</c:v>
                </c:pt>
                <c:pt idx="864">
                  <c:v>1.254564E-2</c:v>
                </c:pt>
                <c:pt idx="865">
                  <c:v>1.263011E-2</c:v>
                </c:pt>
                <c:pt idx="866">
                  <c:v>1.271458E-2</c:v>
                </c:pt>
                <c:pt idx="867">
                  <c:v>1.2799060000000001E-2</c:v>
                </c:pt>
                <c:pt idx="868">
                  <c:v>1.2883530000000001E-2</c:v>
                </c:pt>
                <c:pt idx="869">
                  <c:v>1.2968E-2</c:v>
                </c:pt>
                <c:pt idx="870">
                  <c:v>1.305248E-2</c:v>
                </c:pt>
                <c:pt idx="871">
                  <c:v>1.3136950000000001E-2</c:v>
                </c:pt>
                <c:pt idx="872">
                  <c:v>1.3221419999999999E-2</c:v>
                </c:pt>
                <c:pt idx="873">
                  <c:v>1.3305899999999999E-2</c:v>
                </c:pt>
                <c:pt idx="874">
                  <c:v>1.339037E-2</c:v>
                </c:pt>
                <c:pt idx="875">
                  <c:v>1.347484E-2</c:v>
                </c:pt>
                <c:pt idx="876">
                  <c:v>1.355931E-2</c:v>
                </c:pt>
                <c:pt idx="877">
                  <c:v>1.3643789999999999E-2</c:v>
                </c:pt>
                <c:pt idx="878">
                  <c:v>1.3728260000000001E-2</c:v>
                </c:pt>
                <c:pt idx="879">
                  <c:v>1.381273E-2</c:v>
                </c:pt>
                <c:pt idx="880">
                  <c:v>1.389721E-2</c:v>
                </c:pt>
                <c:pt idx="881">
                  <c:v>1.3981680000000002E-2</c:v>
                </c:pt>
                <c:pt idx="882">
                  <c:v>1.4066150000000001E-2</c:v>
                </c:pt>
                <c:pt idx="883">
                  <c:v>1.4150629999999999E-2</c:v>
                </c:pt>
                <c:pt idx="884">
                  <c:v>1.4235099999999999E-2</c:v>
                </c:pt>
                <c:pt idx="885">
                  <c:v>1.431957E-2</c:v>
                </c:pt>
                <c:pt idx="886">
                  <c:v>1.440404E-2</c:v>
                </c:pt>
                <c:pt idx="887">
                  <c:v>1.448852E-2</c:v>
                </c:pt>
                <c:pt idx="888">
                  <c:v>1.4572990000000001E-2</c:v>
                </c:pt>
                <c:pt idx="889">
                  <c:v>1.4657460000000001E-2</c:v>
                </c:pt>
                <c:pt idx="890">
                  <c:v>1.474194E-2</c:v>
                </c:pt>
                <c:pt idx="891">
                  <c:v>1.482641E-2</c:v>
                </c:pt>
                <c:pt idx="892">
                  <c:v>1.4910880000000001E-2</c:v>
                </c:pt>
                <c:pt idx="893">
                  <c:v>1.4995359999999999E-2</c:v>
                </c:pt>
                <c:pt idx="894">
                  <c:v>1.5079829999999999E-2</c:v>
                </c:pt>
                <c:pt idx="895">
                  <c:v>1.51643E-2</c:v>
                </c:pt>
                <c:pt idx="896">
                  <c:v>1.524877E-2</c:v>
                </c:pt>
                <c:pt idx="897">
                  <c:v>1.533325E-2</c:v>
                </c:pt>
                <c:pt idx="898">
                  <c:v>1.5417719999999999E-2</c:v>
                </c:pt>
                <c:pt idx="899">
                  <c:v>1.5502190000000001E-2</c:v>
                </c:pt>
                <c:pt idx="900">
                  <c:v>1.558667E-2</c:v>
                </c:pt>
                <c:pt idx="901">
                  <c:v>1.567114E-2</c:v>
                </c:pt>
                <c:pt idx="902">
                  <c:v>1.575561E-2</c:v>
                </c:pt>
                <c:pt idx="903">
                  <c:v>1.5840090000000001E-2</c:v>
                </c:pt>
                <c:pt idx="904">
                  <c:v>1.5924560000000001E-2</c:v>
                </c:pt>
                <c:pt idx="905">
                  <c:v>1.600903E-2</c:v>
                </c:pt>
                <c:pt idx="906">
                  <c:v>1.60935E-2</c:v>
                </c:pt>
                <c:pt idx="907">
                  <c:v>1.6177980000000002E-2</c:v>
                </c:pt>
                <c:pt idx="908">
                  <c:v>1.6262450000000001E-2</c:v>
                </c:pt>
                <c:pt idx="909">
                  <c:v>1.6346920000000001E-2</c:v>
                </c:pt>
                <c:pt idx="910">
                  <c:v>1.6431399999999999E-2</c:v>
                </c:pt>
                <c:pt idx="911">
                  <c:v>1.6515869999999998E-2</c:v>
                </c:pt>
                <c:pt idx="912">
                  <c:v>1.6600339999999998E-2</c:v>
                </c:pt>
                <c:pt idx="913">
                  <c:v>1.6684809999999998E-2</c:v>
                </c:pt>
                <c:pt idx="914">
                  <c:v>1.6769290000000003E-2</c:v>
                </c:pt>
                <c:pt idx="915">
                  <c:v>1.6853760000000002E-2</c:v>
                </c:pt>
                <c:pt idx="916">
                  <c:v>1.6938230000000002E-2</c:v>
                </c:pt>
                <c:pt idx="917">
                  <c:v>1.702271E-2</c:v>
                </c:pt>
                <c:pt idx="918">
                  <c:v>1.710718E-2</c:v>
                </c:pt>
                <c:pt idx="919">
                  <c:v>1.7191649999999999E-2</c:v>
                </c:pt>
                <c:pt idx="920">
                  <c:v>1.7276119999999999E-2</c:v>
                </c:pt>
                <c:pt idx="921">
                  <c:v>1.73606E-2</c:v>
                </c:pt>
                <c:pt idx="922">
                  <c:v>1.744507E-2</c:v>
                </c:pt>
                <c:pt idx="923">
                  <c:v>1.752954E-2</c:v>
                </c:pt>
                <c:pt idx="924">
                  <c:v>1.7614020000000001E-2</c:v>
                </c:pt>
                <c:pt idx="925">
                  <c:v>1.7698490000000001E-2</c:v>
                </c:pt>
                <c:pt idx="926">
                  <c:v>1.778296E-2</c:v>
                </c:pt>
                <c:pt idx="927">
                  <c:v>1.7867439999999998E-2</c:v>
                </c:pt>
                <c:pt idx="928">
                  <c:v>1.7951910000000001E-2</c:v>
                </c:pt>
                <c:pt idx="929">
                  <c:v>1.8036380000000001E-2</c:v>
                </c:pt>
                <c:pt idx="930">
                  <c:v>1.8120850000000001E-2</c:v>
                </c:pt>
                <c:pt idx="931">
                  <c:v>1.8205329999999999E-2</c:v>
                </c:pt>
                <c:pt idx="932">
                  <c:v>1.8289799999999998E-2</c:v>
                </c:pt>
                <c:pt idx="933">
                  <c:v>1.8374269999999998E-2</c:v>
                </c:pt>
                <c:pt idx="934">
                  <c:v>1.8458749999999999E-2</c:v>
                </c:pt>
                <c:pt idx="935">
                  <c:v>1.8543220000000003E-2</c:v>
                </c:pt>
                <c:pt idx="936">
                  <c:v>1.8627690000000002E-2</c:v>
                </c:pt>
                <c:pt idx="937">
                  <c:v>1.8712160000000002E-2</c:v>
                </c:pt>
                <c:pt idx="938">
                  <c:v>1.879664E-2</c:v>
                </c:pt>
                <c:pt idx="939">
                  <c:v>1.888111E-2</c:v>
                </c:pt>
                <c:pt idx="940">
                  <c:v>1.8965579999999999E-2</c:v>
                </c:pt>
                <c:pt idx="941">
                  <c:v>1.9050059999999997E-2</c:v>
                </c:pt>
                <c:pt idx="942">
                  <c:v>1.913453E-2</c:v>
                </c:pt>
                <c:pt idx="943">
                  <c:v>1.9219E-2</c:v>
                </c:pt>
                <c:pt idx="944">
                  <c:v>1.930347E-2</c:v>
                </c:pt>
                <c:pt idx="945">
                  <c:v>1.9387950000000001E-2</c:v>
                </c:pt>
                <c:pt idx="946">
                  <c:v>1.9472420000000001E-2</c:v>
                </c:pt>
                <c:pt idx="947">
                  <c:v>1.955689E-2</c:v>
                </c:pt>
                <c:pt idx="948">
                  <c:v>1.9641369999999998E-2</c:v>
                </c:pt>
                <c:pt idx="949">
                  <c:v>1.9725840000000001E-2</c:v>
                </c:pt>
                <c:pt idx="950">
                  <c:v>1.9810310000000001E-2</c:v>
                </c:pt>
                <c:pt idx="951">
                  <c:v>1.9894780000000001E-2</c:v>
                </c:pt>
                <c:pt idx="952">
                  <c:v>1.9979259999999999E-2</c:v>
                </c:pt>
                <c:pt idx="953">
                  <c:v>2.0063729999999998E-2</c:v>
                </c:pt>
                <c:pt idx="954">
                  <c:v>2.0148199999999998E-2</c:v>
                </c:pt>
                <c:pt idx="955">
                  <c:v>2.0232679999999999E-2</c:v>
                </c:pt>
                <c:pt idx="956">
                  <c:v>2.0317150000000003E-2</c:v>
                </c:pt>
                <c:pt idx="957">
                  <c:v>2.0401620000000002E-2</c:v>
                </c:pt>
                <c:pt idx="958">
                  <c:v>2.0486090000000002E-2</c:v>
                </c:pt>
                <c:pt idx="959">
                  <c:v>2.057057E-2</c:v>
                </c:pt>
                <c:pt idx="960">
                  <c:v>2.065504E-2</c:v>
                </c:pt>
                <c:pt idx="961">
                  <c:v>2.0739509999999999E-2</c:v>
                </c:pt>
                <c:pt idx="962">
                  <c:v>2.0823989999999997E-2</c:v>
                </c:pt>
                <c:pt idx="963">
                  <c:v>2.090846E-2</c:v>
                </c:pt>
                <c:pt idx="964">
                  <c:v>2.099293E-2</c:v>
                </c:pt>
                <c:pt idx="965">
                  <c:v>2.10774E-2</c:v>
                </c:pt>
                <c:pt idx="966">
                  <c:v>2.1161880000000001E-2</c:v>
                </c:pt>
                <c:pt idx="967">
                  <c:v>2.1246350000000001E-2</c:v>
                </c:pt>
                <c:pt idx="968">
                  <c:v>2.133082E-2</c:v>
                </c:pt>
                <c:pt idx="969">
                  <c:v>2.1415299999999998E-2</c:v>
                </c:pt>
                <c:pt idx="970">
                  <c:v>2.1499770000000001E-2</c:v>
                </c:pt>
                <c:pt idx="971">
                  <c:v>2.1584240000000001E-2</c:v>
                </c:pt>
                <c:pt idx="972">
                  <c:v>2.1668710000000001E-2</c:v>
                </c:pt>
                <c:pt idx="973">
                  <c:v>2.1753189999999999E-2</c:v>
                </c:pt>
                <c:pt idx="974">
                  <c:v>2.1837659999999998E-2</c:v>
                </c:pt>
                <c:pt idx="975">
                  <c:v>2.1922129999999998E-2</c:v>
                </c:pt>
                <c:pt idx="976">
                  <c:v>2.2006609999999999E-2</c:v>
                </c:pt>
                <c:pt idx="977">
                  <c:v>2.2091080000000003E-2</c:v>
                </c:pt>
                <c:pt idx="978">
                  <c:v>2.2175550000000002E-2</c:v>
                </c:pt>
                <c:pt idx="979">
                  <c:v>2.2260020000000002E-2</c:v>
                </c:pt>
                <c:pt idx="980">
                  <c:v>2.23445E-2</c:v>
                </c:pt>
                <c:pt idx="981">
                  <c:v>2.2428969999999999E-2</c:v>
                </c:pt>
                <c:pt idx="982">
                  <c:v>2.2513439999999999E-2</c:v>
                </c:pt>
                <c:pt idx="983">
                  <c:v>2.2597919999999997E-2</c:v>
                </c:pt>
                <c:pt idx="984">
                  <c:v>2.268239E-2</c:v>
                </c:pt>
                <c:pt idx="985">
                  <c:v>2.276686E-2</c:v>
                </c:pt>
                <c:pt idx="986">
                  <c:v>2.285133E-2</c:v>
                </c:pt>
                <c:pt idx="987">
                  <c:v>2.2935810000000001E-2</c:v>
                </c:pt>
                <c:pt idx="988">
                  <c:v>2.3020280000000001E-2</c:v>
                </c:pt>
                <c:pt idx="989">
                  <c:v>2.310475E-2</c:v>
                </c:pt>
                <c:pt idx="990">
                  <c:v>2.3189229999999998E-2</c:v>
                </c:pt>
                <c:pt idx="991">
                  <c:v>2.3273700000000001E-2</c:v>
                </c:pt>
                <c:pt idx="992">
                  <c:v>2.3358170000000001E-2</c:v>
                </c:pt>
                <c:pt idx="993">
                  <c:v>2.3442640000000001E-2</c:v>
                </c:pt>
                <c:pt idx="994">
                  <c:v>2.3527119999999999E-2</c:v>
                </c:pt>
                <c:pt idx="995">
                  <c:v>2.3611589999999998E-2</c:v>
                </c:pt>
                <c:pt idx="996">
                  <c:v>2.3696059999999998E-2</c:v>
                </c:pt>
                <c:pt idx="997">
                  <c:v>2.3780539999999999E-2</c:v>
                </c:pt>
                <c:pt idx="998">
                  <c:v>2.3865010000000002E-2</c:v>
                </c:pt>
                <c:pt idx="999">
                  <c:v>2.3949480000000002E-2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DBE-4121-8B84-8D60004DC3EC}"/>
            </c:ext>
          </c:extLst>
        </c:ser>
        <c:ser>
          <c:idx val="1"/>
          <c:order val="1"/>
          <c:tx>
            <c:v>Reduzida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shade val="76000"/>
                </a:schemeClr>
              </a:solidFill>
              <a:ln w="9525">
                <a:solidFill>
                  <a:schemeClr val="accent4">
                    <a:shade val="76000"/>
                  </a:schemeClr>
                </a:solidFill>
              </a:ln>
              <a:effectLst/>
            </c:spPr>
          </c:marker>
          <c:xVal>
            <c:numRef>
              <c:f>'Bending Stiffness'!$T$18:$T$57</c:f>
              <c:numCache>
                <c:formatCode>0.0000</c:formatCode>
                <c:ptCount val="40"/>
                <c:pt idx="0">
                  <c:v>0</c:v>
                </c:pt>
                <c:pt idx="1">
                  <c:v>3.2320500000000002E-4</c:v>
                </c:pt>
                <c:pt idx="2">
                  <c:v>6.4641009999999997E-4</c:v>
                </c:pt>
                <c:pt idx="3">
                  <c:v>9.6961509999999999E-4</c:v>
                </c:pt>
                <c:pt idx="4">
                  <c:v>1.2928200000000001E-3</c:v>
                </c:pt>
                <c:pt idx="5">
                  <c:v>1.6160250000000001E-3</c:v>
                </c:pt>
                <c:pt idx="6">
                  <c:v>1.9392299999999999E-3</c:v>
                </c:pt>
                <c:pt idx="7">
                  <c:v>2.2624350000000001E-3</c:v>
                </c:pt>
                <c:pt idx="8">
                  <c:v>2.5856400000000002E-3</c:v>
                </c:pt>
                <c:pt idx="9">
                  <c:v>2.9088450000000002E-3</c:v>
                </c:pt>
                <c:pt idx="10">
                  <c:v>3.2320500000000002E-3</c:v>
                </c:pt>
                <c:pt idx="11">
                  <c:v>3.5552549999999998E-3</c:v>
                </c:pt>
                <c:pt idx="12">
                  <c:v>3.8784599999999998E-3</c:v>
                </c:pt>
                <c:pt idx="13">
                  <c:v>4.2016650000000003E-3</c:v>
                </c:pt>
                <c:pt idx="14">
                  <c:v>4.5248700000000003E-3</c:v>
                </c:pt>
                <c:pt idx="15">
                  <c:v>4.8480750000000003E-3</c:v>
                </c:pt>
                <c:pt idx="16">
                  <c:v>5.1712800000000003E-3</c:v>
                </c:pt>
                <c:pt idx="17">
                  <c:v>5.4944850000000003E-3</c:v>
                </c:pt>
                <c:pt idx="18">
                  <c:v>5.8176900000000004E-3</c:v>
                </c:pt>
                <c:pt idx="19">
                  <c:v>6.1408959999999999E-3</c:v>
                </c:pt>
                <c:pt idx="20">
                  <c:v>6.4641009999999999E-3</c:v>
                </c:pt>
                <c:pt idx="21">
                  <c:v>6.7873059999999999E-3</c:v>
                </c:pt>
                <c:pt idx="22">
                  <c:v>7.1105109999999999E-3</c:v>
                </c:pt>
                <c:pt idx="23">
                  <c:v>7.4337159999999999E-3</c:v>
                </c:pt>
                <c:pt idx="24">
                  <c:v>7.756921E-3</c:v>
                </c:pt>
                <c:pt idx="25">
                  <c:v>8.080126E-3</c:v>
                </c:pt>
                <c:pt idx="26">
                  <c:v>8.403331E-3</c:v>
                </c:pt>
                <c:pt idx="27">
                  <c:v>8.726536E-3</c:v>
                </c:pt>
                <c:pt idx="28">
                  <c:v>9.049741E-3</c:v>
                </c:pt>
                <c:pt idx="29">
                  <c:v>9.3729460000000001E-3</c:v>
                </c:pt>
                <c:pt idx="30">
                  <c:v>1.3125599999999999E-2</c:v>
                </c:pt>
                <c:pt idx="31">
                  <c:v>9.8861829999999998E-2</c:v>
                </c:pt>
                <c:pt idx="32">
                  <c:v>0.18459809999999999</c:v>
                </c:pt>
                <c:pt idx="33">
                  <c:v>0.27033430000000003</c:v>
                </c:pt>
                <c:pt idx="34">
                  <c:v>0.35607050000000001</c:v>
                </c:pt>
                <c:pt idx="35">
                  <c:v>0.4418068</c:v>
                </c:pt>
                <c:pt idx="36">
                  <c:v>0.52754299999999998</c:v>
                </c:pt>
                <c:pt idx="37">
                  <c:v>0.61327920000000002</c:v>
                </c:pt>
                <c:pt idx="38">
                  <c:v>0.69901550000000001</c:v>
                </c:pt>
                <c:pt idx="39">
                  <c:v>0.78475170000000005</c:v>
                </c:pt>
              </c:numCache>
            </c:numRef>
          </c:xVal>
          <c:yVal>
            <c:numRef>
              <c:f>'Bending Stiffness'!$U$18:$U$57</c:f>
              <c:numCache>
                <c:formatCode>0.0000</c:formatCode>
                <c:ptCount val="40"/>
                <c:pt idx="0">
                  <c:v>0</c:v>
                </c:pt>
                <c:pt idx="1">
                  <c:v>5.1036720000000003E-4</c:v>
                </c:pt>
                <c:pt idx="2">
                  <c:v>8.0395919999999999E-4</c:v>
                </c:pt>
                <c:pt idx="3">
                  <c:v>1.097551E-3</c:v>
                </c:pt>
                <c:pt idx="4">
                  <c:v>1.3611669999999999E-3</c:v>
                </c:pt>
                <c:pt idx="5">
                  <c:v>1.543708E-3</c:v>
                </c:pt>
                <c:pt idx="6">
                  <c:v>1.704618E-3</c:v>
                </c:pt>
                <c:pt idx="7">
                  <c:v>1.8569119999999998E-3</c:v>
                </c:pt>
                <c:pt idx="8">
                  <c:v>2.0049429999999999E-3</c:v>
                </c:pt>
                <c:pt idx="9">
                  <c:v>2.1505969999999998E-3</c:v>
                </c:pt>
                <c:pt idx="10">
                  <c:v>2.2948130000000001E-3</c:v>
                </c:pt>
                <c:pt idx="11">
                  <c:v>2.3907049999999999E-3</c:v>
                </c:pt>
                <c:pt idx="12">
                  <c:v>2.45393E-3</c:v>
                </c:pt>
                <c:pt idx="13">
                  <c:v>2.5014170000000001E-3</c:v>
                </c:pt>
                <c:pt idx="14">
                  <c:v>2.5391289999999998E-3</c:v>
                </c:pt>
                <c:pt idx="15">
                  <c:v>2.570227E-3</c:v>
                </c:pt>
                <c:pt idx="16">
                  <c:v>2.5966190000000001E-3</c:v>
                </c:pt>
                <c:pt idx="17">
                  <c:v>2.6195419999999999E-3</c:v>
                </c:pt>
                <c:pt idx="18">
                  <c:v>2.6398369999999999E-3</c:v>
                </c:pt>
                <c:pt idx="19">
                  <c:v>2.6581E-3</c:v>
                </c:pt>
                <c:pt idx="20">
                  <c:v>2.6747619999999998E-3</c:v>
                </c:pt>
                <c:pt idx="21">
                  <c:v>2.6901440000000002E-3</c:v>
                </c:pt>
                <c:pt idx="22">
                  <c:v>2.7044880000000001E-3</c:v>
                </c:pt>
                <c:pt idx="23">
                  <c:v>2.7179820000000003E-3</c:v>
                </c:pt>
                <c:pt idx="24">
                  <c:v>2.7307719999999998E-3</c:v>
                </c:pt>
                <c:pt idx="25">
                  <c:v>2.7429730000000001E-3</c:v>
                </c:pt>
                <c:pt idx="26">
                  <c:v>2.7546789999999999E-3</c:v>
                </c:pt>
                <c:pt idx="27">
                  <c:v>2.7659639999999997E-3</c:v>
                </c:pt>
                <c:pt idx="28">
                  <c:v>2.7768890000000003E-3</c:v>
                </c:pt>
                <c:pt idx="29">
                  <c:v>2.7875059999999999E-3</c:v>
                </c:pt>
                <c:pt idx="30">
                  <c:v>2.897653E-3</c:v>
                </c:pt>
                <c:pt idx="31">
                  <c:v>5.0272600000000004E-3</c:v>
                </c:pt>
                <c:pt idx="32">
                  <c:v>7.1393060000000006E-3</c:v>
                </c:pt>
                <c:pt idx="33">
                  <c:v>9.2511740000000009E-3</c:v>
                </c:pt>
                <c:pt idx="34">
                  <c:v>1.136301E-2</c:v>
                </c:pt>
                <c:pt idx="35">
                  <c:v>1.347484E-2</c:v>
                </c:pt>
                <c:pt idx="36">
                  <c:v>1.558667E-2</c:v>
                </c:pt>
                <c:pt idx="37">
                  <c:v>1.7698490000000001E-2</c:v>
                </c:pt>
                <c:pt idx="38">
                  <c:v>1.9810310000000001E-2</c:v>
                </c:pt>
                <c:pt idx="39">
                  <c:v>2.1922129999999998E-2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DBE-4121-8B84-8D60004DC3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89914032"/>
        <c:axId val="689917312"/>
      </c:scatterChart>
      <c:valAx>
        <c:axId val="6899140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89917312"/>
        <c:crosses val="autoZero"/>
        <c:crossBetween val="midCat"/>
      </c:valAx>
      <c:valAx>
        <c:axId val="6899173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899140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pt-BR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pt-BR"/>
          </a:p>
        </c:txPr>
      </c:legendEntry>
      <c:layout>
        <c:manualLayout>
          <c:xMode val="edge"/>
          <c:yMode val="edge"/>
          <c:x val="0.25144756905386823"/>
          <c:y val="0.90603751084459372"/>
          <c:w val="0.52301637295338077"/>
          <c:h val="8.364662350946323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13" Type="http://schemas.openxmlformats.org/officeDocument/2006/relationships/image" Target="../media/image14.png"/><Relationship Id="rId3" Type="http://schemas.openxmlformats.org/officeDocument/2006/relationships/image" Target="../media/image4.emf"/><Relationship Id="rId7" Type="http://schemas.openxmlformats.org/officeDocument/2006/relationships/image" Target="../media/image8.emf"/><Relationship Id="rId12" Type="http://schemas.openxmlformats.org/officeDocument/2006/relationships/image" Target="../media/image13.png"/><Relationship Id="rId2" Type="http://schemas.openxmlformats.org/officeDocument/2006/relationships/image" Target="../media/image3.emf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11" Type="http://schemas.openxmlformats.org/officeDocument/2006/relationships/image" Target="../media/image12.png"/><Relationship Id="rId5" Type="http://schemas.openxmlformats.org/officeDocument/2006/relationships/image" Target="../media/image6.emf"/><Relationship Id="rId10" Type="http://schemas.openxmlformats.org/officeDocument/2006/relationships/image" Target="../media/image11.png"/><Relationship Id="rId4" Type="http://schemas.openxmlformats.org/officeDocument/2006/relationships/image" Target="../media/image5.emf"/><Relationship Id="rId9" Type="http://schemas.openxmlformats.org/officeDocument/2006/relationships/image" Target="../media/image10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6.emf"/><Relationship Id="rId1" Type="http://schemas.openxmlformats.org/officeDocument/2006/relationships/image" Target="../media/image15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40300</xdr:colOff>
      <xdr:row>8</xdr:row>
      <xdr:rowOff>136525</xdr:rowOff>
    </xdr:from>
    <xdr:to>
      <xdr:col>13</xdr:col>
      <xdr:colOff>591692</xdr:colOff>
      <xdr:row>14</xdr:row>
      <xdr:rowOff>97367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 txBox="1"/>
      </xdr:nvSpPr>
      <xdr:spPr>
        <a:xfrm>
          <a:off x="4802800" y="1406525"/>
          <a:ext cx="6285442" cy="91334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28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Por</a:t>
          </a:r>
          <a:r>
            <a:rPr lang="pt-BR" sz="2800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favor, selecione o tipo de CVD!</a:t>
          </a:r>
        </a:p>
        <a:p>
          <a:pPr algn="ctr"/>
          <a:r>
            <a:rPr lang="pt-BR" sz="1800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Atenção, não edite o template!</a:t>
          </a:r>
        </a:p>
      </xdr:txBody>
    </xdr:sp>
    <xdr:clientData/>
  </xdr:twoCellAnchor>
  <xdr:twoCellAnchor>
    <xdr:from>
      <xdr:col>2</xdr:col>
      <xdr:colOff>1059</xdr:colOff>
      <xdr:row>22</xdr:row>
      <xdr:rowOff>15873</xdr:rowOff>
    </xdr:from>
    <xdr:to>
      <xdr:col>19</xdr:col>
      <xdr:colOff>434083</xdr:colOff>
      <xdr:row>28</xdr:row>
      <xdr:rowOff>121148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40DA9EFC-9739-6A92-F98A-9BDBBA239C79}"/>
            </a:ext>
          </a:extLst>
        </xdr:cNvPr>
        <xdr:cNvGrpSpPr/>
      </xdr:nvGrpSpPr>
      <xdr:grpSpPr>
        <a:xfrm>
          <a:off x="1296459" y="3679823"/>
          <a:ext cx="13577524" cy="1057775"/>
          <a:chOff x="1271059" y="3883023"/>
          <a:chExt cx="13494974" cy="1057775"/>
        </a:xfrm>
      </xdr:grpSpPr>
      <xdr:sp macro="[0]!ButtonFirstDvc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0100-00000A000000}"/>
              </a:ext>
            </a:extLst>
          </xdr:cNvPr>
          <xdr:cNvSpPr/>
        </xdr:nvSpPr>
        <xdr:spPr bwMode="auto">
          <a:xfrm>
            <a:off x="1271059" y="3883023"/>
            <a:ext cx="6107448" cy="1057775"/>
          </a:xfrm>
          <a:prstGeom prst="rect">
            <a:avLst/>
          </a:prstGeom>
          <a:solidFill>
            <a:srgbClr val="512D6D"/>
          </a:solidFill>
          <a:ln w="9525" cap="flat" cmpd="sng" algn="ctr">
            <a:noFill/>
            <a:prstDash val="solid"/>
            <a:round/>
            <a:headEnd type="none" w="med" len="med"/>
            <a:tailEnd type="none" w="med" len="med"/>
          </a:ln>
          <a:effectLst>
            <a:outerShdw blurRad="44450" dist="27940" dir="5400000" algn="ctr">
              <a:srgbClr val="000000">
                <a:alpha val="32000"/>
              </a:srgbClr>
            </a:outerShdw>
            <a:softEdge rad="12700"/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txBody>
          <a:bodyPr vertOverflow="clip" wrap="square" lIns="18288" tIns="0" rIns="0" bIns="0" rtlCol="0" anchor="ctr" upright="1"/>
          <a:lstStyle/>
          <a:p>
            <a:pPr algn="ctr"/>
            <a:r>
              <a:rPr lang="pt-BR" sz="3200" b="1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CVD</a:t>
            </a:r>
            <a:r>
              <a:rPr lang="pt-BR" sz="3200" b="1" baseline="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 de 1ª</a:t>
            </a:r>
            <a:endParaRPr lang="pt-BR" sz="32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  <xdr:sp macro="[0]!ButtonSecondDvc" textlink="">
        <xdr:nvSpPr>
          <xdr:cNvPr id="11" name="Rectangle 10">
            <a:extLst>
              <a:ext uri="{FF2B5EF4-FFF2-40B4-BE49-F238E27FC236}">
                <a16:creationId xmlns:a16="http://schemas.microsoft.com/office/drawing/2014/main" id="{00000000-0008-0000-0100-00000B000000}"/>
              </a:ext>
            </a:extLst>
          </xdr:cNvPr>
          <xdr:cNvSpPr/>
        </xdr:nvSpPr>
        <xdr:spPr bwMode="auto">
          <a:xfrm>
            <a:off x="8658585" y="3883023"/>
            <a:ext cx="6107448" cy="1057775"/>
          </a:xfrm>
          <a:prstGeom prst="rect">
            <a:avLst/>
          </a:prstGeom>
          <a:solidFill>
            <a:srgbClr val="512D6D"/>
          </a:solidFill>
          <a:ln w="9525" cap="flat" cmpd="sng" algn="ctr">
            <a:noFill/>
            <a:prstDash val="solid"/>
            <a:round/>
            <a:headEnd type="none" w="med" len="med"/>
            <a:tailEnd type="none" w="med" len="med"/>
          </a:ln>
          <a:effectLst>
            <a:outerShdw blurRad="44450" dist="27940" dir="5400000" algn="ctr">
              <a:srgbClr val="000000">
                <a:alpha val="32000"/>
              </a:srgbClr>
            </a:outerShdw>
            <a:softEdge rad="12700"/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txBody>
          <a:bodyPr vertOverflow="clip" wrap="square" lIns="18288" tIns="0" rIns="0" bIns="0" rtlCol="0" anchor="ctr" upright="1"/>
          <a:lstStyle/>
          <a:p>
            <a:pPr algn="ctr"/>
            <a:r>
              <a:rPr lang="pt-BR" sz="3200" b="1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CVD</a:t>
            </a:r>
            <a:r>
              <a:rPr lang="pt-BR" sz="3200" b="1" baseline="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 de 2ª</a:t>
            </a:r>
            <a:endParaRPr lang="pt-BR" sz="32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</xdr:grpSp>
    <xdr:clientData/>
  </xdr:twoCellAnchor>
  <xdr:twoCellAnchor editAs="oneCell">
    <xdr:from>
      <xdr:col>0</xdr:col>
      <xdr:colOff>1</xdr:colOff>
      <xdr:row>0</xdr:row>
      <xdr:rowOff>0</xdr:rowOff>
    </xdr:from>
    <xdr:to>
      <xdr:col>3</xdr:col>
      <xdr:colOff>43638</xdr:colOff>
      <xdr:row>7</xdr:row>
      <xdr:rowOff>68035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r="5269" b="22406"/>
        <a:stretch/>
      </xdr:blipFill>
      <xdr:spPr>
        <a:xfrm>
          <a:off x="1" y="0"/>
          <a:ext cx="3960000" cy="123484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732869</xdr:colOff>
      <xdr:row>39</xdr:row>
      <xdr:rowOff>15489</xdr:rowOff>
    </xdr:from>
    <xdr:to>
      <xdr:col>6</xdr:col>
      <xdr:colOff>808593</xdr:colOff>
      <xdr:row>52</xdr:row>
      <xdr:rowOff>358288</xdr:rowOff>
    </xdr:to>
    <xdr:pic>
      <xdr:nvPicPr>
        <xdr:cNvPr id="64" name="Picture 205">
          <a:extLst>
            <a:ext uri="{FF2B5EF4-FFF2-40B4-BE49-F238E27FC236}">
              <a16:creationId xmlns:a16="http://schemas.microsoft.com/office/drawing/2014/main" id="{F8674712-7C1A-80B8-54B4-1E94B811ED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32869" y="14874489"/>
          <a:ext cx="8362474" cy="5295799"/>
        </a:xfrm>
        <a:prstGeom prst="rect">
          <a:avLst/>
        </a:prstGeom>
      </xdr:spPr>
    </xdr:pic>
    <xdr:clientData/>
  </xdr:twoCellAnchor>
  <xdr:twoCellAnchor>
    <xdr:from>
      <xdr:col>0</xdr:col>
      <xdr:colOff>138802</xdr:colOff>
      <xdr:row>0</xdr:row>
      <xdr:rowOff>142875</xdr:rowOff>
    </xdr:from>
    <xdr:to>
      <xdr:col>7</xdr:col>
      <xdr:colOff>190927</xdr:colOff>
      <xdr:row>10</xdr:row>
      <xdr:rowOff>166686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A0BDF2C8-BA79-3CA0-424A-363CDD32266D}"/>
            </a:ext>
          </a:extLst>
        </xdr:cNvPr>
        <xdr:cNvGrpSpPr/>
      </xdr:nvGrpSpPr>
      <xdr:grpSpPr>
        <a:xfrm>
          <a:off x="138802" y="142875"/>
          <a:ext cx="10164500" cy="3833811"/>
          <a:chOff x="507889" y="178593"/>
          <a:chExt cx="9720000" cy="3833811"/>
        </a:xfrm>
      </xdr:grpSpPr>
      <xdr:grpSp>
        <xdr:nvGrpSpPr>
          <xdr:cNvPr id="16" name="Group 15">
            <a:extLst>
              <a:ext uri="{FF2B5EF4-FFF2-40B4-BE49-F238E27FC236}">
                <a16:creationId xmlns:a16="http://schemas.microsoft.com/office/drawing/2014/main" id="{4F7D7B7A-60C3-EC00-9E72-670802F5332F}"/>
              </a:ext>
            </a:extLst>
          </xdr:cNvPr>
          <xdr:cNvGrpSpPr/>
        </xdr:nvGrpSpPr>
        <xdr:grpSpPr>
          <a:xfrm>
            <a:off x="507889" y="631032"/>
            <a:ext cx="5133430" cy="3381372"/>
            <a:chOff x="507889" y="631032"/>
            <a:chExt cx="5133430" cy="3381372"/>
          </a:xfrm>
        </xdr:grpSpPr>
        <xdr:pic>
          <xdr:nvPicPr>
            <xdr:cNvPr id="45" name="Picture 44">
              <a:extLst>
                <a:ext uri="{FF2B5EF4-FFF2-40B4-BE49-F238E27FC236}">
                  <a16:creationId xmlns:a16="http://schemas.microsoft.com/office/drawing/2014/main" id="{A35E6898-DEE5-21E9-BA75-2B0695652227}"/>
                </a:ext>
              </a:extLst>
            </xdr:cNvPr>
            <xdr:cNvPicPr>
              <a:picLocks noChangeAspect="1" noChangeArrowheads="1"/>
            </xdr:cNvPicPr>
          </xdr:nvPicPr>
          <xdr:blipFill>
            <a:blip xmlns:r="http://schemas.openxmlformats.org/officeDocument/2006/relationships" r:embed="rId2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569123" y="2848477"/>
              <a:ext cx="5072196" cy="1163927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  <xdr:grpSp>
          <xdr:nvGrpSpPr>
            <xdr:cNvPr id="87" name="Group 86">
              <a:extLst>
                <a:ext uri="{FF2B5EF4-FFF2-40B4-BE49-F238E27FC236}">
                  <a16:creationId xmlns:a16="http://schemas.microsoft.com/office/drawing/2014/main" id="{21667C36-9639-41A1-9868-314515C5E19F}"/>
                </a:ext>
              </a:extLst>
            </xdr:cNvPr>
            <xdr:cNvGrpSpPr/>
          </xdr:nvGrpSpPr>
          <xdr:grpSpPr>
            <a:xfrm>
              <a:off x="507889" y="631032"/>
              <a:ext cx="3571874" cy="2173928"/>
              <a:chOff x="18728531" y="8382000"/>
              <a:chExt cx="3571874" cy="2173928"/>
            </a:xfrm>
          </xdr:grpSpPr>
          <xdr:grpSp>
            <xdr:nvGrpSpPr>
              <xdr:cNvPr id="46" name="Group 45">
                <a:extLst>
                  <a:ext uri="{FF2B5EF4-FFF2-40B4-BE49-F238E27FC236}">
                    <a16:creationId xmlns:a16="http://schemas.microsoft.com/office/drawing/2014/main" id="{3CE6D312-C47A-C491-F9A7-EA5091806C32}"/>
                  </a:ext>
                </a:extLst>
              </xdr:cNvPr>
              <xdr:cNvGrpSpPr/>
            </xdr:nvGrpSpPr>
            <xdr:grpSpPr>
              <a:xfrm>
                <a:off x="18728531" y="8382000"/>
                <a:ext cx="3571874" cy="1030599"/>
                <a:chOff x="13563600" y="85725"/>
                <a:chExt cx="3571874" cy="1022474"/>
              </a:xfrm>
            </xdr:grpSpPr>
            <xdr:pic>
              <xdr:nvPicPr>
                <xdr:cNvPr id="50" name="Picture 49">
                  <a:extLst>
                    <a:ext uri="{FF2B5EF4-FFF2-40B4-BE49-F238E27FC236}">
                      <a16:creationId xmlns:a16="http://schemas.microsoft.com/office/drawing/2014/main" id="{F89ED775-82A6-BBFF-CE38-79A6E94681CE}"/>
                    </a:ext>
                  </a:extLst>
                </xdr:cNvPr>
                <xdr:cNvPicPr>
                  <a:picLocks noChangeAspect="1" noChangeArrowheads="1"/>
                </xdr:cNvPicPr>
              </xdr:nvPicPr>
              <xdr:blipFill>
                <a:blip xmlns:r="http://schemas.openxmlformats.org/officeDocument/2006/relationships" r:embed="rId3">
                  <a:extLst>
                    <a:ext uri="{28A0092B-C50C-407E-A947-70E740481C1C}">
                      <a14:useLocalDpi xmlns:a14="http://schemas.microsoft.com/office/drawing/2010/main" val="0"/>
                    </a:ext>
                  </a:extLst>
                </a:blip>
                <a:srcRect/>
                <a:stretch>
                  <a:fillRect/>
                </a:stretch>
              </xdr:blipFill>
              <xdr:spPr bwMode="auto">
                <a:xfrm>
                  <a:off x="13563600" y="285750"/>
                  <a:ext cx="3571874" cy="822449"/>
                </a:xfrm>
                <a:prstGeom prst="rect">
                  <a:avLst/>
                </a:prstGeom>
                <a:noFill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FFFFFF"/>
                      </a:solidFill>
                    </a14:hiddenFill>
                  </a:ext>
                </a:extLst>
              </xdr:spPr>
            </xdr:pic>
            <xdr:sp macro="" textlink="">
              <xdr:nvSpPr>
                <xdr:cNvPr id="51" name="Rectangle 50">
                  <a:extLst>
                    <a:ext uri="{FF2B5EF4-FFF2-40B4-BE49-F238E27FC236}">
                      <a16:creationId xmlns:a16="http://schemas.microsoft.com/office/drawing/2014/main" id="{BA9F2184-CB63-6472-4266-855056ADE95D}"/>
                    </a:ext>
                  </a:extLst>
                </xdr:cNvPr>
                <xdr:cNvSpPr/>
              </xdr:nvSpPr>
              <xdr:spPr bwMode="auto">
                <a:xfrm>
                  <a:off x="13592174" y="85725"/>
                  <a:ext cx="3225911" cy="188997"/>
                </a:xfrm>
                <a:prstGeom prst="rect">
                  <a:avLst/>
                </a:prstGeom>
                <a:solidFill>
                  <a:srgbClr val="FFFFFF"/>
                </a:solidFill>
                <a:ln w="9525" cap="flat" cmpd="sng" algn="ctr">
                  <a:noFill/>
                  <a:prstDash val="solid"/>
                  <a:round/>
                  <a:headEnd type="none" w="med" len="med"/>
                  <a:tailEnd type="none" w="med" len="med"/>
                </a:ln>
                <a:effectLst/>
              </xdr:spPr>
              <xdr:txBody>
                <a:bodyPr vertOverflow="clip" wrap="square" lIns="18288" tIns="0" rIns="0" bIns="0" rtlCol="0" anchor="ctr" upright="1"/>
                <a:lstStyle/>
                <a:p>
                  <a:pPr algn="l"/>
                  <a:r>
                    <a:rPr lang="pt-BR" sz="1000" b="1" i="0">
                      <a:latin typeface="Arial" panose="020B0604020202020204" pitchFamily="34" charset="0"/>
                      <a:cs typeface="Arial" panose="020B0604020202020204" pitchFamily="34" charset="0"/>
                    </a:rPr>
                    <a:t>Equação 1</a:t>
                  </a:r>
                  <a:r>
                    <a:rPr lang="pt-BR" sz="1000" b="1" i="0" baseline="0">
                      <a:latin typeface="Arial" panose="020B0604020202020204" pitchFamily="34" charset="0"/>
                      <a:cs typeface="Arial" panose="020B0604020202020204" pitchFamily="34" charset="0"/>
                    </a:rPr>
                    <a:t> - Diâmetro externo equivalente</a:t>
                  </a:r>
                  <a:endParaRPr lang="pt-BR" sz="1000" b="1" i="0">
                    <a:latin typeface="Arial" panose="020B0604020202020204" pitchFamily="34" charset="0"/>
                    <a:cs typeface="Arial" panose="020B0604020202020204" pitchFamily="34" charset="0"/>
                  </a:endParaRPr>
                </a:p>
              </xdr:txBody>
            </xdr:sp>
          </xdr:grpSp>
          <xdr:grpSp>
            <xdr:nvGrpSpPr>
              <xdr:cNvPr id="47" name="Group 46">
                <a:extLst>
                  <a:ext uri="{FF2B5EF4-FFF2-40B4-BE49-F238E27FC236}">
                    <a16:creationId xmlns:a16="http://schemas.microsoft.com/office/drawing/2014/main" id="{893B8A05-189E-04C9-A8D5-4EECB4B86275}"/>
                  </a:ext>
                </a:extLst>
              </xdr:cNvPr>
              <xdr:cNvGrpSpPr/>
            </xdr:nvGrpSpPr>
            <xdr:grpSpPr>
              <a:xfrm>
                <a:off x="18739419" y="9478404"/>
                <a:ext cx="3419476" cy="1077524"/>
                <a:chOff x="13574488" y="1173485"/>
                <a:chExt cx="3419476" cy="1069029"/>
              </a:xfrm>
            </xdr:grpSpPr>
            <xdr:pic>
              <xdr:nvPicPr>
                <xdr:cNvPr id="48" name="Picture 47">
                  <a:extLst>
                    <a:ext uri="{FF2B5EF4-FFF2-40B4-BE49-F238E27FC236}">
                      <a16:creationId xmlns:a16="http://schemas.microsoft.com/office/drawing/2014/main" id="{FCC669A7-2B29-CE39-BB31-45D44DB91B14}"/>
                    </a:ext>
                  </a:extLst>
                </xdr:cNvPr>
                <xdr:cNvPicPr>
                  <a:picLocks noChangeAspect="1" noChangeArrowheads="1"/>
                </xdr:cNvPicPr>
              </xdr:nvPicPr>
              <xdr:blipFill>
                <a:blip xmlns:r="http://schemas.openxmlformats.org/officeDocument/2006/relationships" r:embed="rId4">
                  <a:extLst>
                    <a:ext uri="{28A0092B-C50C-407E-A947-70E740481C1C}">
                      <a14:useLocalDpi xmlns:a14="http://schemas.microsoft.com/office/drawing/2010/main" val="0"/>
                    </a:ext>
                  </a:extLst>
                </a:blip>
                <a:srcRect/>
                <a:stretch>
                  <a:fillRect/>
                </a:stretch>
              </xdr:blipFill>
              <xdr:spPr bwMode="auto">
                <a:xfrm>
                  <a:off x="13574488" y="1396644"/>
                  <a:ext cx="3419476" cy="845870"/>
                </a:xfrm>
                <a:prstGeom prst="rect">
                  <a:avLst/>
                </a:prstGeom>
                <a:noFill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FFFFFF"/>
                      </a:solidFill>
                    </a14:hiddenFill>
                  </a:ext>
                </a:extLst>
              </xdr:spPr>
            </xdr:pic>
            <xdr:sp macro="" textlink="">
              <xdr:nvSpPr>
                <xdr:cNvPr id="49" name="Rectangle 48">
                  <a:extLst>
                    <a:ext uri="{FF2B5EF4-FFF2-40B4-BE49-F238E27FC236}">
                      <a16:creationId xmlns:a16="http://schemas.microsoft.com/office/drawing/2014/main" id="{1C095F01-B306-A92C-3DCA-08156C5E00FE}"/>
                    </a:ext>
                  </a:extLst>
                </xdr:cNvPr>
                <xdr:cNvSpPr/>
              </xdr:nvSpPr>
              <xdr:spPr bwMode="auto">
                <a:xfrm>
                  <a:off x="13601700" y="1173485"/>
                  <a:ext cx="2823480" cy="176163"/>
                </a:xfrm>
                <a:prstGeom prst="rect">
                  <a:avLst/>
                </a:prstGeom>
                <a:solidFill>
                  <a:srgbClr val="FFFFFF"/>
                </a:solidFill>
                <a:ln w="9525" cap="flat" cmpd="sng" algn="ctr">
                  <a:noFill/>
                  <a:prstDash val="solid"/>
                  <a:round/>
                  <a:headEnd type="none" w="med" len="med"/>
                  <a:tailEnd type="none" w="med" len="med"/>
                </a:ln>
                <a:effectLst/>
              </xdr:spPr>
              <xdr:txBody>
                <a:bodyPr vertOverflow="clip" wrap="square" lIns="18288" tIns="0" rIns="0" bIns="0" rtlCol="0" anchor="ctr" upright="1"/>
                <a:lstStyle/>
                <a:p>
                  <a:pPr algn="l"/>
                  <a:r>
                    <a:rPr lang="pt-BR" sz="1000" b="1" i="0">
                      <a:latin typeface="Arial" panose="020B0604020202020204" pitchFamily="34" charset="0"/>
                      <a:cs typeface="Arial" panose="020B0604020202020204" pitchFamily="34" charset="0"/>
                    </a:rPr>
                    <a:t>Equação 2</a:t>
                  </a:r>
                  <a:r>
                    <a:rPr lang="pt-BR" sz="1000" b="1" i="0" baseline="0">
                      <a:latin typeface="Arial" panose="020B0604020202020204" pitchFamily="34" charset="0"/>
                      <a:cs typeface="Arial" panose="020B0604020202020204" pitchFamily="34" charset="0"/>
                    </a:rPr>
                    <a:t> - Diâmetro Interno equivalente</a:t>
                  </a:r>
                  <a:endParaRPr lang="pt-BR" sz="1000" b="1" i="0">
                    <a:latin typeface="Arial" panose="020B0604020202020204" pitchFamily="34" charset="0"/>
                    <a:cs typeface="Arial" panose="020B0604020202020204" pitchFamily="34" charset="0"/>
                  </a:endParaRPr>
                </a:p>
              </xdr:txBody>
            </xdr:sp>
          </xdr:grpSp>
        </xdr:grpSp>
      </xdr:grpSp>
      <xdr:sp macro="" textlink="">
        <xdr:nvSpPr>
          <xdr:cNvPr id="86" name="Rectangle 85">
            <a:extLst>
              <a:ext uri="{FF2B5EF4-FFF2-40B4-BE49-F238E27FC236}">
                <a16:creationId xmlns:a16="http://schemas.microsoft.com/office/drawing/2014/main" id="{5042720D-0E1E-4308-ABC0-6E1848770159}"/>
              </a:ext>
            </a:extLst>
          </xdr:cNvPr>
          <xdr:cNvSpPr/>
        </xdr:nvSpPr>
        <xdr:spPr bwMode="auto">
          <a:xfrm>
            <a:off x="507889" y="178593"/>
            <a:ext cx="9720000" cy="360000"/>
          </a:xfrm>
          <a:prstGeom prst="rect">
            <a:avLst/>
          </a:prstGeom>
          <a:solidFill>
            <a:schemeClr val="bg1">
              <a:lumMod val="75000"/>
            </a:schemeClr>
          </a:solidFill>
          <a:ln w="9525" cap="flat" cmpd="sng" algn="ctr">
            <a:noFill/>
            <a:prstDash val="solid"/>
            <a:round/>
            <a:headEnd type="none" w="med" len="med"/>
            <a:tailEnd type="none" w="med" len="med"/>
          </a:ln>
          <a:effectLst/>
        </xdr:spPr>
        <xdr:txBody>
          <a:bodyPr vertOverflow="clip" wrap="square" lIns="18288" tIns="0" rIns="0" bIns="0" rtlCol="0" anchor="ctr" upright="1"/>
          <a:lstStyle/>
          <a:p>
            <a:pPr algn="ctr"/>
            <a:r>
              <a:rPr lang="pt-BR" sz="1200" b="1" i="0">
                <a:latin typeface="Arial" panose="020B0604020202020204" pitchFamily="34" charset="0"/>
                <a:cs typeface="Arial" panose="020B0604020202020204" pitchFamily="34" charset="0"/>
              </a:rPr>
              <a:t>Linha - Equações</a:t>
            </a:r>
          </a:p>
        </xdr:txBody>
      </xdr:sp>
    </xdr:grpSp>
    <xdr:clientData/>
  </xdr:twoCellAnchor>
  <xdr:twoCellAnchor>
    <xdr:from>
      <xdr:col>0</xdr:col>
      <xdr:colOff>138802</xdr:colOff>
      <xdr:row>10</xdr:row>
      <xdr:rowOff>235734</xdr:rowOff>
    </xdr:from>
    <xdr:to>
      <xdr:col>7</xdr:col>
      <xdr:colOff>206873</xdr:colOff>
      <xdr:row>17</xdr:row>
      <xdr:rowOff>149031</xdr:rowOff>
    </xdr:to>
    <xdr:grpSp>
      <xdr:nvGrpSpPr>
        <xdr:cNvPr id="21" name="Group 20">
          <a:extLst>
            <a:ext uri="{FF2B5EF4-FFF2-40B4-BE49-F238E27FC236}">
              <a16:creationId xmlns:a16="http://schemas.microsoft.com/office/drawing/2014/main" id="{F924A265-2B6E-26E9-A95F-EE52A0AA1259}"/>
            </a:ext>
          </a:extLst>
        </xdr:cNvPr>
        <xdr:cNvGrpSpPr/>
      </xdr:nvGrpSpPr>
      <xdr:grpSpPr>
        <a:xfrm>
          <a:off x="138802" y="4045734"/>
          <a:ext cx="10180446" cy="2580297"/>
          <a:chOff x="507888" y="2914652"/>
          <a:chExt cx="9766256" cy="2580297"/>
        </a:xfrm>
      </xdr:grpSpPr>
      <xdr:sp macro="" textlink="">
        <xdr:nvSpPr>
          <xdr:cNvPr id="8" name="Rectangle 7">
            <a:extLst>
              <a:ext uri="{FF2B5EF4-FFF2-40B4-BE49-F238E27FC236}">
                <a16:creationId xmlns:a16="http://schemas.microsoft.com/office/drawing/2014/main" id="{6735A7A4-4AE0-46C4-B850-77845703326E}"/>
              </a:ext>
            </a:extLst>
          </xdr:cNvPr>
          <xdr:cNvSpPr/>
        </xdr:nvSpPr>
        <xdr:spPr bwMode="auto">
          <a:xfrm>
            <a:off x="523886" y="2914652"/>
            <a:ext cx="9750258" cy="360000"/>
          </a:xfrm>
          <a:prstGeom prst="rect">
            <a:avLst/>
          </a:prstGeom>
          <a:solidFill>
            <a:schemeClr val="bg1">
              <a:lumMod val="75000"/>
            </a:schemeClr>
          </a:solidFill>
          <a:ln w="9525" cap="flat" cmpd="sng" algn="ctr">
            <a:noFill/>
            <a:prstDash val="solid"/>
            <a:round/>
            <a:headEnd type="none" w="med" len="med"/>
            <a:tailEnd type="none" w="med" len="med"/>
          </a:ln>
          <a:effectLst/>
        </xdr:spPr>
        <xdr:txBody>
          <a:bodyPr vertOverflow="clip" wrap="square" lIns="18288" tIns="0" rIns="0" bIns="0" rtlCol="0" anchor="ctr" upright="1"/>
          <a:lstStyle/>
          <a:p>
            <a:pPr algn="ctr"/>
            <a:r>
              <a:rPr lang="pt-BR" sz="1200" b="1" i="0">
                <a:latin typeface="Arial" panose="020B0604020202020204" pitchFamily="34" charset="0"/>
                <a:cs typeface="Arial" panose="020B0604020202020204" pitchFamily="34" charset="0"/>
              </a:rPr>
              <a:t>Vértebra - Equações</a:t>
            </a:r>
            <a:endParaRPr lang="pt-BR" sz="1400" b="1" i="0"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  <xdr:grpSp>
        <xdr:nvGrpSpPr>
          <xdr:cNvPr id="52" name="Group 51">
            <a:extLst>
              <a:ext uri="{FF2B5EF4-FFF2-40B4-BE49-F238E27FC236}">
                <a16:creationId xmlns:a16="http://schemas.microsoft.com/office/drawing/2014/main" id="{9D66EAC9-1756-431B-8F54-B39B92D2A995}"/>
              </a:ext>
            </a:extLst>
          </xdr:cNvPr>
          <xdr:cNvGrpSpPr/>
        </xdr:nvGrpSpPr>
        <xdr:grpSpPr>
          <a:xfrm>
            <a:off x="507888" y="3313026"/>
            <a:ext cx="5032219" cy="1101278"/>
            <a:chOff x="13605444" y="2546228"/>
            <a:chExt cx="5028676" cy="1090090"/>
          </a:xfrm>
        </xdr:grpSpPr>
        <xdr:pic>
          <xdr:nvPicPr>
            <xdr:cNvPr id="53" name="Picture 52">
              <a:extLst>
                <a:ext uri="{FF2B5EF4-FFF2-40B4-BE49-F238E27FC236}">
                  <a16:creationId xmlns:a16="http://schemas.microsoft.com/office/drawing/2014/main" id="{80374790-24EC-A628-26E4-C6F720288851}"/>
                </a:ext>
              </a:extLst>
            </xdr:cNvPr>
            <xdr:cNvPicPr>
              <a:picLocks noChangeAspect="1" noChangeArrowheads="1"/>
            </xdr:cNvPicPr>
          </xdr:nvPicPr>
          <xdr:blipFill>
            <a:blip xmlns:r="http://schemas.openxmlformats.org/officeDocument/2006/relationships" r:embed="rId5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13605444" y="2822003"/>
              <a:ext cx="5028676" cy="814315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  <xdr:sp macro="" textlink="">
          <xdr:nvSpPr>
            <xdr:cNvPr id="54" name="Rectangle 53">
              <a:extLst>
                <a:ext uri="{FF2B5EF4-FFF2-40B4-BE49-F238E27FC236}">
                  <a16:creationId xmlns:a16="http://schemas.microsoft.com/office/drawing/2014/main" id="{6307F6D7-0A5B-0E09-897B-9C3C061D5FEF}"/>
                </a:ext>
              </a:extLst>
            </xdr:cNvPr>
            <xdr:cNvSpPr/>
          </xdr:nvSpPr>
          <xdr:spPr bwMode="auto">
            <a:xfrm>
              <a:off x="13620750" y="2546228"/>
              <a:ext cx="3453492" cy="223918"/>
            </a:xfrm>
            <a:prstGeom prst="rect">
              <a:avLst/>
            </a:prstGeom>
            <a:solidFill>
              <a:srgbClr val="FFFFFF"/>
            </a:solidFill>
            <a:ln w="9525" cap="flat" cmpd="sng" algn="ctr">
              <a:noFill/>
              <a:prstDash val="solid"/>
              <a:round/>
              <a:headEnd type="none" w="med" len="med"/>
              <a:tailEnd type="none" w="med" len="med"/>
            </a:ln>
            <a:effectLst/>
          </xdr:spPr>
          <xdr:txBody>
            <a:bodyPr vertOverflow="clip" wrap="square" lIns="18288" tIns="0" rIns="0" bIns="0" rtlCol="0" anchor="ctr" upright="1"/>
            <a:lstStyle/>
            <a:p>
              <a:pPr algn="l"/>
              <a:r>
                <a:rPr lang="pt-BR" sz="1000" b="1" i="0">
                  <a:latin typeface="Arial" panose="020B0604020202020204" pitchFamily="34" charset="0"/>
                  <a:cs typeface="Arial" panose="020B0604020202020204" pitchFamily="34" charset="0"/>
                </a:rPr>
                <a:t>Equação 4</a:t>
              </a:r>
              <a:r>
                <a:rPr lang="pt-BR" sz="1000" b="1" i="0" baseline="0">
                  <a:latin typeface="Arial" panose="020B0604020202020204" pitchFamily="34" charset="0"/>
                  <a:cs typeface="Arial" panose="020B0604020202020204" pitchFamily="34" charset="0"/>
                </a:rPr>
                <a:t> - Diâmetro externo equivalente </a:t>
              </a:r>
              <a:endParaRPr lang="pt-BR" sz="1000" b="1" i="0"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</xdr:grpSp>
      <xdr:grpSp>
        <xdr:nvGrpSpPr>
          <xdr:cNvPr id="11" name="Group 10">
            <a:extLst>
              <a:ext uri="{FF2B5EF4-FFF2-40B4-BE49-F238E27FC236}">
                <a16:creationId xmlns:a16="http://schemas.microsoft.com/office/drawing/2014/main" id="{9503CDAC-80AC-8DD0-CDB3-BC7BAE75DE82}"/>
              </a:ext>
            </a:extLst>
          </xdr:cNvPr>
          <xdr:cNvGrpSpPr/>
        </xdr:nvGrpSpPr>
        <xdr:grpSpPr>
          <a:xfrm>
            <a:off x="5583800" y="3333968"/>
            <a:ext cx="4661007" cy="2160981"/>
            <a:chOff x="12073212" y="2327673"/>
            <a:chExt cx="4657725" cy="2160981"/>
          </a:xfrm>
        </xdr:grpSpPr>
        <xdr:sp macro="" textlink="">
          <xdr:nvSpPr>
            <xdr:cNvPr id="62" name="Rectangle 61">
              <a:extLst>
                <a:ext uri="{FF2B5EF4-FFF2-40B4-BE49-F238E27FC236}">
                  <a16:creationId xmlns:a16="http://schemas.microsoft.com/office/drawing/2014/main" id="{46C3C49B-3CAD-0CF2-739F-B16FEB7CD7EF}"/>
                </a:ext>
              </a:extLst>
            </xdr:cNvPr>
            <xdr:cNvSpPr/>
          </xdr:nvSpPr>
          <xdr:spPr bwMode="auto">
            <a:xfrm>
              <a:off x="12089880" y="2327673"/>
              <a:ext cx="3559286" cy="184331"/>
            </a:xfrm>
            <a:prstGeom prst="rect">
              <a:avLst/>
            </a:prstGeom>
            <a:solidFill>
              <a:srgbClr val="FFFFFF"/>
            </a:solidFill>
            <a:ln w="9525" cap="flat" cmpd="sng" algn="ctr">
              <a:noFill/>
              <a:prstDash val="solid"/>
              <a:round/>
              <a:headEnd type="none" w="med" len="med"/>
              <a:tailEnd type="none" w="med" len="med"/>
            </a:ln>
            <a:effectLst/>
          </xdr:spPr>
          <xdr:txBody>
            <a:bodyPr vertOverflow="clip" wrap="square" lIns="18288" tIns="0" rIns="0" bIns="0" rtlCol="0" anchor="ctr" upright="1"/>
            <a:lstStyle/>
            <a:p>
              <a:pPr algn="l"/>
              <a:r>
                <a:rPr lang="pt-BR" sz="1000" b="1" i="0">
                  <a:latin typeface="Arial" panose="020B0604020202020204" pitchFamily="34" charset="0"/>
                  <a:cs typeface="Arial" panose="020B0604020202020204" pitchFamily="34" charset="0"/>
                </a:rPr>
                <a:t>Equação 5</a:t>
              </a:r>
              <a:r>
                <a:rPr lang="pt-BR" sz="1000" b="1" i="0" baseline="0">
                  <a:latin typeface="Arial" panose="020B0604020202020204" pitchFamily="34" charset="0"/>
                  <a:cs typeface="Arial" panose="020B0604020202020204" pitchFamily="34" charset="0"/>
                </a:rPr>
                <a:t> - Rigidez Flexional</a:t>
              </a:r>
              <a:endParaRPr lang="pt-BR" sz="1000" b="1" i="0"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  <xdr:pic>
          <xdr:nvPicPr>
            <xdr:cNvPr id="9" name="Picture 8">
              <a:extLst>
                <a:ext uri="{FF2B5EF4-FFF2-40B4-BE49-F238E27FC236}">
                  <a16:creationId xmlns:a16="http://schemas.microsoft.com/office/drawing/2014/main" id="{E0557DCC-91CC-3E25-F6A3-C4446C9F528A}"/>
                </a:ext>
              </a:extLst>
            </xdr:cNvPr>
            <xdr:cNvPicPr>
              <a:picLocks noChangeAspect="1" noChangeArrowheads="1"/>
            </xdr:cNvPicPr>
          </xdr:nvPicPr>
          <xdr:blipFill>
            <a:blip xmlns:r="http://schemas.openxmlformats.org/officeDocument/2006/relationships" r:embed="rId6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12073212" y="2583654"/>
              <a:ext cx="4657725" cy="1905000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</xdr:grpSp>
    </xdr:grpSp>
    <xdr:clientData/>
  </xdr:twoCellAnchor>
  <xdr:twoCellAnchor>
    <xdr:from>
      <xdr:col>7</xdr:col>
      <xdr:colOff>1357312</xdr:colOff>
      <xdr:row>0</xdr:row>
      <xdr:rowOff>176213</xdr:rowOff>
    </xdr:from>
    <xdr:to>
      <xdr:col>14</xdr:col>
      <xdr:colOff>1035843</xdr:colOff>
      <xdr:row>1</xdr:row>
      <xdr:rowOff>155213</xdr:rowOff>
    </xdr:to>
    <xdr:sp macro="" textlink="">
      <xdr:nvSpPr>
        <xdr:cNvPr id="19" name="Rectangle 18">
          <a:extLst>
            <a:ext uri="{FF2B5EF4-FFF2-40B4-BE49-F238E27FC236}">
              <a16:creationId xmlns:a16="http://schemas.microsoft.com/office/drawing/2014/main" id="{37779577-325D-4E5B-B4B4-1050042EA65B}"/>
            </a:ext>
          </a:extLst>
        </xdr:cNvPr>
        <xdr:cNvSpPr/>
      </xdr:nvSpPr>
      <xdr:spPr bwMode="auto">
        <a:xfrm>
          <a:off x="11025187" y="176213"/>
          <a:ext cx="7679531" cy="360000"/>
        </a:xfrm>
        <a:prstGeom prst="rect">
          <a:avLst/>
        </a:prstGeom>
        <a:solidFill>
          <a:schemeClr val="bg1">
            <a:lumMod val="75000"/>
          </a:schemeClr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pt-BR" sz="1200" b="1" i="0">
              <a:latin typeface="Arial" panose="020B0604020202020204" pitchFamily="34" charset="0"/>
              <a:cs typeface="Arial" panose="020B0604020202020204" pitchFamily="34" charset="0"/>
            </a:rPr>
            <a:t>Linha - Curvas</a:t>
          </a:r>
          <a:r>
            <a:rPr lang="pt-BR" sz="1200" b="1" i="0" baseline="0">
              <a:latin typeface="Arial" panose="020B0604020202020204" pitchFamily="34" charset="0"/>
              <a:cs typeface="Arial" panose="020B0604020202020204" pitchFamily="34" charset="0"/>
            </a:rPr>
            <a:t> de rigidezes</a:t>
          </a:r>
          <a:endParaRPr lang="pt-BR" sz="1200" b="1" i="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8</xdr:col>
      <xdr:colOff>0</xdr:colOff>
      <xdr:row>13</xdr:row>
      <xdr:rowOff>35719</xdr:rowOff>
    </xdr:from>
    <xdr:to>
      <xdr:col>15</xdr:col>
      <xdr:colOff>7576</xdr:colOff>
      <xdr:row>21</xdr:row>
      <xdr:rowOff>29468</xdr:rowOff>
    </xdr:to>
    <xdr:grpSp>
      <xdr:nvGrpSpPr>
        <xdr:cNvPr id="93" name="Group 92">
          <a:extLst>
            <a:ext uri="{FF2B5EF4-FFF2-40B4-BE49-F238E27FC236}">
              <a16:creationId xmlns:a16="http://schemas.microsoft.com/office/drawing/2014/main" id="{3827B65C-D29A-78E1-55B9-BE7A1675C805}"/>
            </a:ext>
          </a:extLst>
        </xdr:cNvPr>
        <xdr:cNvGrpSpPr/>
      </xdr:nvGrpSpPr>
      <xdr:grpSpPr>
        <a:xfrm>
          <a:off x="11557000" y="4988719"/>
          <a:ext cx="8024451" cy="3041749"/>
          <a:chOff x="11049000" y="5786438"/>
          <a:chExt cx="7675201" cy="3041749"/>
        </a:xfrm>
      </xdr:grpSpPr>
      <xdr:grpSp>
        <xdr:nvGrpSpPr>
          <xdr:cNvPr id="10" name="Group 9">
            <a:extLst>
              <a:ext uri="{FF2B5EF4-FFF2-40B4-BE49-F238E27FC236}">
                <a16:creationId xmlns:a16="http://schemas.microsoft.com/office/drawing/2014/main" id="{18452FBC-9B30-D589-7F62-832D1E3CA381}"/>
              </a:ext>
            </a:extLst>
          </xdr:cNvPr>
          <xdr:cNvGrpSpPr/>
        </xdr:nvGrpSpPr>
        <xdr:grpSpPr>
          <a:xfrm>
            <a:off x="11279797" y="6359659"/>
            <a:ext cx="7225073" cy="2468528"/>
            <a:chOff x="245951" y="4924413"/>
            <a:chExt cx="7267577" cy="2468528"/>
          </a:xfrm>
        </xdr:grpSpPr>
        <xdr:pic>
          <xdr:nvPicPr>
            <xdr:cNvPr id="66" name="Picture 65">
              <a:extLst>
                <a:ext uri="{FF2B5EF4-FFF2-40B4-BE49-F238E27FC236}">
                  <a16:creationId xmlns:a16="http://schemas.microsoft.com/office/drawing/2014/main" id="{2134C915-DBB7-2407-C466-BF5B049ABEC2}"/>
                </a:ext>
              </a:extLst>
            </xdr:cNvPr>
            <xdr:cNvPicPr>
              <a:picLocks noChangeAspect="1" noChangeArrowheads="1"/>
            </xdr:cNvPicPr>
          </xdr:nvPicPr>
          <xdr:blipFill>
            <a:blip xmlns:r="http://schemas.openxmlformats.org/officeDocument/2006/relationships" r:embed="rId7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245951" y="5102992"/>
              <a:ext cx="7267577" cy="2289949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  <xdr:sp macro="" textlink="">
          <xdr:nvSpPr>
            <xdr:cNvPr id="67" name="Rectangle 66">
              <a:extLst>
                <a:ext uri="{FF2B5EF4-FFF2-40B4-BE49-F238E27FC236}">
                  <a16:creationId xmlns:a16="http://schemas.microsoft.com/office/drawing/2014/main" id="{1D5DCF7B-0212-FCDE-DEAE-87CB0BB4D770}"/>
                </a:ext>
              </a:extLst>
            </xdr:cNvPr>
            <xdr:cNvSpPr/>
          </xdr:nvSpPr>
          <xdr:spPr bwMode="auto">
            <a:xfrm>
              <a:off x="254793" y="4924413"/>
              <a:ext cx="4019549" cy="195272"/>
            </a:xfrm>
            <a:prstGeom prst="rect">
              <a:avLst/>
            </a:prstGeom>
            <a:solidFill>
              <a:srgbClr val="FFFFFF"/>
            </a:solidFill>
            <a:ln w="9525" cap="flat" cmpd="sng" algn="ctr">
              <a:noFill/>
              <a:prstDash val="solid"/>
              <a:round/>
              <a:headEnd type="none" w="med" len="med"/>
              <a:tailEnd type="none" w="med" len="med"/>
            </a:ln>
            <a:effectLst/>
          </xdr:spPr>
          <xdr:txBody>
            <a:bodyPr vertOverflow="clip" wrap="square" lIns="18288" tIns="0" rIns="0" bIns="0" rtlCol="0" anchor="ctr" upright="1"/>
            <a:lstStyle/>
            <a:p>
              <a:pPr algn="l"/>
              <a:r>
                <a:rPr lang="pt-BR" sz="1000" b="1" i="0">
                  <a:latin typeface="Arial" panose="020B0604020202020204" pitchFamily="34" charset="0"/>
                  <a:cs typeface="Arial" panose="020B0604020202020204" pitchFamily="34" charset="0"/>
                </a:rPr>
                <a:t>Tabela 1</a:t>
              </a:r>
              <a:r>
                <a:rPr lang="pt-BR" sz="1000" b="1" i="0" baseline="0">
                  <a:latin typeface="Arial" panose="020B0604020202020204" pitchFamily="34" charset="0"/>
                  <a:cs typeface="Arial" panose="020B0604020202020204" pitchFamily="34" charset="0"/>
                </a:rPr>
                <a:t> - Curva de Rigidez</a:t>
              </a:r>
              <a:endParaRPr lang="pt-BR" sz="1000" b="1" i="0"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</xdr:grpSp>
      <xdr:sp macro="" textlink="">
        <xdr:nvSpPr>
          <xdr:cNvPr id="30" name="Rectangle 29">
            <a:extLst>
              <a:ext uri="{FF2B5EF4-FFF2-40B4-BE49-F238E27FC236}">
                <a16:creationId xmlns:a16="http://schemas.microsoft.com/office/drawing/2014/main" id="{5B4F3928-0F06-4D4A-8D32-1A6E610CFA64}"/>
              </a:ext>
            </a:extLst>
          </xdr:cNvPr>
          <xdr:cNvSpPr/>
        </xdr:nvSpPr>
        <xdr:spPr bwMode="auto">
          <a:xfrm>
            <a:off x="11049000" y="5786438"/>
            <a:ext cx="7675201" cy="360000"/>
          </a:xfrm>
          <a:prstGeom prst="rect">
            <a:avLst/>
          </a:prstGeom>
          <a:solidFill>
            <a:schemeClr val="bg1">
              <a:lumMod val="75000"/>
            </a:schemeClr>
          </a:solidFill>
          <a:ln w="9525" cap="flat" cmpd="sng" algn="ctr">
            <a:noFill/>
            <a:prstDash val="solid"/>
            <a:round/>
            <a:headEnd type="none" w="med" len="med"/>
            <a:tailEnd type="none" w="med" len="med"/>
          </a:ln>
          <a:effectLst/>
        </xdr:spPr>
        <xdr:txBody>
          <a:bodyPr vertOverflow="clip" wrap="square" lIns="18288" tIns="0" rIns="0" bIns="0" rtlCol="0" anchor="ctr" upright="1"/>
          <a:lstStyle/>
          <a:p>
            <a:pPr algn="ctr"/>
            <a:r>
              <a:rPr lang="pt-BR" sz="1200" b="1" i="0">
                <a:latin typeface="Arial" panose="020B0604020202020204" pitchFamily="34" charset="0"/>
                <a:cs typeface="Arial" panose="020B0604020202020204" pitchFamily="34" charset="0"/>
              </a:rPr>
              <a:t>Vértebra - Curva</a:t>
            </a:r>
            <a:r>
              <a:rPr lang="pt-BR" sz="1200" b="1" i="0" baseline="0">
                <a:latin typeface="Arial" panose="020B0604020202020204" pitchFamily="34" charset="0"/>
                <a:cs typeface="Arial" panose="020B0604020202020204" pitchFamily="34" charset="0"/>
              </a:rPr>
              <a:t> de rigidez</a:t>
            </a:r>
            <a:endParaRPr lang="pt-BR" sz="1200" b="1" i="0"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</xdr:grpSp>
    <xdr:clientData/>
  </xdr:twoCellAnchor>
  <xdr:twoCellAnchor>
    <xdr:from>
      <xdr:col>0</xdr:col>
      <xdr:colOff>154799</xdr:colOff>
      <xdr:row>25</xdr:row>
      <xdr:rowOff>81621</xdr:rowOff>
    </xdr:from>
    <xdr:to>
      <xdr:col>14</xdr:col>
      <xdr:colOff>1023937</xdr:colOff>
      <xdr:row>38</xdr:row>
      <xdr:rowOff>251111</xdr:rowOff>
    </xdr:to>
    <xdr:grpSp>
      <xdr:nvGrpSpPr>
        <xdr:cNvPr id="92" name="Group 91">
          <a:extLst>
            <a:ext uri="{FF2B5EF4-FFF2-40B4-BE49-F238E27FC236}">
              <a16:creationId xmlns:a16="http://schemas.microsoft.com/office/drawing/2014/main" id="{BAA64657-0763-DA99-FD1F-2FA0A4333549}"/>
            </a:ext>
          </a:extLst>
        </xdr:cNvPr>
        <xdr:cNvGrpSpPr/>
      </xdr:nvGrpSpPr>
      <xdr:grpSpPr>
        <a:xfrm>
          <a:off x="154799" y="9606621"/>
          <a:ext cx="19347638" cy="5122490"/>
          <a:chOff x="154799" y="10821053"/>
          <a:chExt cx="18538013" cy="5122490"/>
        </a:xfrm>
      </xdr:grpSpPr>
      <xdr:grpSp>
        <xdr:nvGrpSpPr>
          <xdr:cNvPr id="68" name="Group 67">
            <a:extLst>
              <a:ext uri="{FF2B5EF4-FFF2-40B4-BE49-F238E27FC236}">
                <a16:creationId xmlns:a16="http://schemas.microsoft.com/office/drawing/2014/main" id="{3051F072-3E41-49F3-B799-45A17EF4DDB1}"/>
              </a:ext>
            </a:extLst>
          </xdr:cNvPr>
          <xdr:cNvGrpSpPr/>
        </xdr:nvGrpSpPr>
        <xdr:grpSpPr>
          <a:xfrm>
            <a:off x="10216637" y="11470515"/>
            <a:ext cx="7542262" cy="4354857"/>
            <a:chOff x="13649325" y="16070307"/>
            <a:chExt cx="7550921" cy="4318746"/>
          </a:xfrm>
        </xdr:grpSpPr>
        <xdr:grpSp>
          <xdr:nvGrpSpPr>
            <xdr:cNvPr id="69" name="Group 68">
              <a:extLst>
                <a:ext uri="{FF2B5EF4-FFF2-40B4-BE49-F238E27FC236}">
                  <a16:creationId xmlns:a16="http://schemas.microsoft.com/office/drawing/2014/main" id="{C6D392AF-DF9C-CF47-FE55-77DFF3241703}"/>
                </a:ext>
              </a:extLst>
            </xdr:cNvPr>
            <xdr:cNvGrpSpPr/>
          </xdr:nvGrpSpPr>
          <xdr:grpSpPr>
            <a:xfrm>
              <a:off x="13649325" y="16525875"/>
              <a:ext cx="7550921" cy="3863178"/>
              <a:chOff x="2084401" y="1062490"/>
              <a:chExt cx="7550921" cy="3215478"/>
            </a:xfrm>
          </xdr:grpSpPr>
          <xdr:grpSp>
            <xdr:nvGrpSpPr>
              <xdr:cNvPr id="71" name="Group 70">
                <a:extLst>
                  <a:ext uri="{FF2B5EF4-FFF2-40B4-BE49-F238E27FC236}">
                    <a16:creationId xmlns:a16="http://schemas.microsoft.com/office/drawing/2014/main" id="{757322D4-6807-78EA-E5B8-92C148981075}"/>
                  </a:ext>
                </a:extLst>
              </xdr:cNvPr>
              <xdr:cNvGrpSpPr/>
            </xdr:nvGrpSpPr>
            <xdr:grpSpPr>
              <a:xfrm>
                <a:off x="2084401" y="1062490"/>
                <a:ext cx="7550921" cy="2968334"/>
                <a:chOff x="2084401" y="1062490"/>
                <a:chExt cx="7550921" cy="2968334"/>
              </a:xfrm>
            </xdr:grpSpPr>
            <xdr:grpSp>
              <xdr:nvGrpSpPr>
                <xdr:cNvPr id="73" name="Group 72">
                  <a:extLst>
                    <a:ext uri="{FF2B5EF4-FFF2-40B4-BE49-F238E27FC236}">
                      <a16:creationId xmlns:a16="http://schemas.microsoft.com/office/drawing/2014/main" id="{2FC4908B-848D-CAE1-08D6-C2210849F752}"/>
                    </a:ext>
                  </a:extLst>
                </xdr:cNvPr>
                <xdr:cNvGrpSpPr/>
              </xdr:nvGrpSpPr>
              <xdr:grpSpPr>
                <a:xfrm>
                  <a:off x="2310791" y="1931437"/>
                  <a:ext cx="7324528" cy="2099387"/>
                  <a:chOff x="2310791" y="1931437"/>
                  <a:chExt cx="7324528" cy="2099387"/>
                </a:xfrm>
              </xdr:grpSpPr>
              <xdr:pic>
                <xdr:nvPicPr>
                  <xdr:cNvPr id="83" name="Picture 82" descr="A line of rectangular objects&#10;&#10;Description automatically generated">
                    <a:extLst>
                      <a:ext uri="{FF2B5EF4-FFF2-40B4-BE49-F238E27FC236}">
                        <a16:creationId xmlns:a16="http://schemas.microsoft.com/office/drawing/2014/main" id="{CEDC266B-6228-111B-7C70-1357C72E4F09}"/>
                      </a:ext>
                    </a:extLst>
                  </xdr:cNvPr>
                  <xdr:cNvPicPr>
                    <a:picLocks noChangeAspect="1"/>
                  </xdr:cNvPicPr>
                </xdr:nvPicPr>
                <xdr:blipFill rotWithShape="1">
                  <a:blip xmlns:r="http://schemas.openxmlformats.org/officeDocument/2006/relationships" r:embed="rId8">
                    <a:extLst>
                      <a:ext uri="{28A0092B-C50C-407E-A947-70E740481C1C}">
                        <a14:useLocalDpi xmlns:a14="http://schemas.microsoft.com/office/drawing/2010/main" val="0"/>
                      </a:ext>
                    </a:extLst>
                  </a:blip>
                  <a:srcRect l="7820" t="24397" r="10560" b="39711"/>
                  <a:stretch/>
                </xdr:blipFill>
                <xdr:spPr>
                  <a:xfrm>
                    <a:off x="2310791" y="1931437"/>
                    <a:ext cx="7324528" cy="2099387"/>
                  </a:xfrm>
                  <a:prstGeom prst="rect">
                    <a:avLst/>
                  </a:prstGeom>
                </xdr:spPr>
              </xdr:pic>
              <xdr:sp macro="" textlink="">
                <xdr:nvSpPr>
                  <xdr:cNvPr id="84" name="Rectangle 83">
                    <a:extLst>
                      <a:ext uri="{FF2B5EF4-FFF2-40B4-BE49-F238E27FC236}">
                        <a16:creationId xmlns:a16="http://schemas.microsoft.com/office/drawing/2014/main" id="{FA0059CE-E6C0-0148-C3F1-5F02A178EF2B}"/>
                      </a:ext>
                    </a:extLst>
                  </xdr:cNvPr>
                  <xdr:cNvSpPr/>
                </xdr:nvSpPr>
                <xdr:spPr>
                  <a:xfrm>
                    <a:off x="2975212" y="2019869"/>
                    <a:ext cx="702860" cy="1931157"/>
                  </a:xfrm>
                  <a:prstGeom prst="rect">
                    <a:avLst/>
                  </a:prstGeom>
                  <a:noFill/>
                  <a:ln w="28575">
                    <a:solidFill>
                      <a:srgbClr val="FF0000"/>
                    </a:solidFill>
                    <a:prstDash val="lgDash"/>
                  </a:ln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wrap="square" rtlCol="0" anchor="ctr"/>
                  <a:lstStyle>
                    <a:defPPr>
                      <a:defRPr lang="pt-BR"/>
                    </a:defPPr>
                    <a:lvl1pPr marL="0" algn="l" defTabSz="914400" rtl="0" eaLnBrk="1" latinLnBrk="0" hangingPunct="1">
                      <a:defRPr sz="1800" kern="1200">
                        <a:solidFill>
                          <a:schemeClr val="lt1"/>
                        </a:solidFill>
                        <a:latin typeface="+mn-lt"/>
                        <a:ea typeface="+mn-ea"/>
                        <a:cs typeface="+mn-cs"/>
                      </a:defRPr>
                    </a:lvl1pPr>
                    <a:lvl2pPr marL="457200" algn="l" defTabSz="914400" rtl="0" eaLnBrk="1" latinLnBrk="0" hangingPunct="1">
                      <a:defRPr sz="1800" kern="1200">
                        <a:solidFill>
                          <a:schemeClr val="lt1"/>
                        </a:solidFill>
                        <a:latin typeface="+mn-lt"/>
                        <a:ea typeface="+mn-ea"/>
                        <a:cs typeface="+mn-cs"/>
                      </a:defRPr>
                    </a:lvl2pPr>
                    <a:lvl3pPr marL="914400" algn="l" defTabSz="914400" rtl="0" eaLnBrk="1" latinLnBrk="0" hangingPunct="1">
                      <a:defRPr sz="1800" kern="1200">
                        <a:solidFill>
                          <a:schemeClr val="lt1"/>
                        </a:solidFill>
                        <a:latin typeface="+mn-lt"/>
                        <a:ea typeface="+mn-ea"/>
                        <a:cs typeface="+mn-cs"/>
                      </a:defRPr>
                    </a:lvl3pPr>
                    <a:lvl4pPr marL="1371600" algn="l" defTabSz="914400" rtl="0" eaLnBrk="1" latinLnBrk="0" hangingPunct="1">
                      <a:defRPr sz="1800" kern="1200">
                        <a:solidFill>
                          <a:schemeClr val="lt1"/>
                        </a:solidFill>
                        <a:latin typeface="+mn-lt"/>
                        <a:ea typeface="+mn-ea"/>
                        <a:cs typeface="+mn-cs"/>
                      </a:defRPr>
                    </a:lvl4pPr>
                    <a:lvl5pPr marL="1828800" algn="l" defTabSz="914400" rtl="0" eaLnBrk="1" latinLnBrk="0" hangingPunct="1">
                      <a:defRPr sz="1800" kern="1200">
                        <a:solidFill>
                          <a:schemeClr val="lt1"/>
                        </a:solidFill>
                        <a:latin typeface="+mn-lt"/>
                        <a:ea typeface="+mn-ea"/>
                        <a:cs typeface="+mn-cs"/>
                      </a:defRPr>
                    </a:lvl5pPr>
                    <a:lvl6pPr marL="2286000" algn="l" defTabSz="914400" rtl="0" eaLnBrk="1" latinLnBrk="0" hangingPunct="1">
                      <a:defRPr sz="1800" kern="1200">
                        <a:solidFill>
                          <a:schemeClr val="lt1"/>
                        </a:solidFill>
                        <a:latin typeface="+mn-lt"/>
                        <a:ea typeface="+mn-ea"/>
                        <a:cs typeface="+mn-cs"/>
                      </a:defRPr>
                    </a:lvl6pPr>
                    <a:lvl7pPr marL="2743200" algn="l" defTabSz="914400" rtl="0" eaLnBrk="1" latinLnBrk="0" hangingPunct="1">
                      <a:defRPr sz="1800" kern="1200">
                        <a:solidFill>
                          <a:schemeClr val="lt1"/>
                        </a:solidFill>
                        <a:latin typeface="+mn-lt"/>
                        <a:ea typeface="+mn-ea"/>
                        <a:cs typeface="+mn-cs"/>
                      </a:defRPr>
                    </a:lvl7pPr>
                    <a:lvl8pPr marL="3200400" algn="l" defTabSz="914400" rtl="0" eaLnBrk="1" latinLnBrk="0" hangingPunct="1">
                      <a:defRPr sz="1800" kern="1200">
                        <a:solidFill>
                          <a:schemeClr val="lt1"/>
                        </a:solidFill>
                        <a:latin typeface="+mn-lt"/>
                        <a:ea typeface="+mn-ea"/>
                        <a:cs typeface="+mn-cs"/>
                      </a:defRPr>
                    </a:lvl8pPr>
                    <a:lvl9pPr marL="3657600" algn="l" defTabSz="914400" rtl="0" eaLnBrk="1" latinLnBrk="0" hangingPunct="1">
                      <a:defRPr sz="1800" kern="1200">
                        <a:solidFill>
                          <a:schemeClr val="lt1"/>
                        </a:solidFill>
                        <a:latin typeface="+mn-lt"/>
                        <a:ea typeface="+mn-ea"/>
                        <a:cs typeface="+mn-cs"/>
                      </a:defRPr>
                    </a:lvl9pPr>
                  </a:lstStyle>
                  <a:p>
                    <a:pPr algn="ctr"/>
                    <a:endParaRPr lang="pt-BR"/>
                  </a:p>
                </xdr:txBody>
              </xdr:sp>
            </xdr:grpSp>
            <xdr:grpSp>
              <xdr:nvGrpSpPr>
                <xdr:cNvPr id="74" name="Group 73">
                  <a:extLst>
                    <a:ext uri="{FF2B5EF4-FFF2-40B4-BE49-F238E27FC236}">
                      <a16:creationId xmlns:a16="http://schemas.microsoft.com/office/drawing/2014/main" id="{E050568C-F284-10AA-2421-169CDA7735CF}"/>
                    </a:ext>
                  </a:extLst>
                </xdr:cNvPr>
                <xdr:cNvGrpSpPr/>
              </xdr:nvGrpSpPr>
              <xdr:grpSpPr>
                <a:xfrm>
                  <a:off x="2084401" y="1062490"/>
                  <a:ext cx="902298" cy="872480"/>
                  <a:chOff x="2084401" y="1062490"/>
                  <a:chExt cx="902298" cy="872480"/>
                </a:xfrm>
              </xdr:grpSpPr>
              <xdr:sp macro="" textlink="">
                <xdr:nvSpPr>
                  <xdr:cNvPr id="81" name="Right Brace 80">
                    <a:extLst>
                      <a:ext uri="{FF2B5EF4-FFF2-40B4-BE49-F238E27FC236}">
                        <a16:creationId xmlns:a16="http://schemas.microsoft.com/office/drawing/2014/main" id="{13CB7B6C-3894-D433-F715-C1755A409AD3}"/>
                      </a:ext>
                    </a:extLst>
                  </xdr:cNvPr>
                  <xdr:cNvSpPr/>
                </xdr:nvSpPr>
                <xdr:spPr>
                  <a:xfrm rot="16200000">
                    <a:off x="2414745" y="1363016"/>
                    <a:ext cx="468000" cy="675908"/>
                  </a:xfrm>
                  <a:prstGeom prst="rightBrace">
                    <a:avLst/>
                  </a:prstGeom>
                  <a:ln>
                    <a:solidFill>
                      <a:schemeClr val="tx1"/>
                    </a:solidFill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  <xdr:txBody>
                  <a:bodyPr wrap="square" rtlCol="0" anchor="ctr"/>
                  <a:lstStyle>
                    <a:defPPr>
                      <a:defRPr lang="pt-BR"/>
                    </a:defPPr>
                    <a:lvl1pPr marL="0" algn="l" defTabSz="914400" rtl="0" eaLnBrk="1" latinLnBrk="0" hangingPunct="1">
                      <a:defRPr sz="1800" kern="1200">
                        <a:solidFill>
                          <a:schemeClr val="tx1"/>
                        </a:solidFill>
                        <a:latin typeface="+mn-lt"/>
                        <a:ea typeface="+mn-ea"/>
                        <a:cs typeface="+mn-cs"/>
                      </a:defRPr>
                    </a:lvl1pPr>
                    <a:lvl2pPr marL="457200" algn="l" defTabSz="914400" rtl="0" eaLnBrk="1" latinLnBrk="0" hangingPunct="1">
                      <a:defRPr sz="1800" kern="1200">
                        <a:solidFill>
                          <a:schemeClr val="tx1"/>
                        </a:solidFill>
                        <a:latin typeface="+mn-lt"/>
                        <a:ea typeface="+mn-ea"/>
                        <a:cs typeface="+mn-cs"/>
                      </a:defRPr>
                    </a:lvl2pPr>
                    <a:lvl3pPr marL="914400" algn="l" defTabSz="914400" rtl="0" eaLnBrk="1" latinLnBrk="0" hangingPunct="1">
                      <a:defRPr sz="1800" kern="1200">
                        <a:solidFill>
                          <a:schemeClr val="tx1"/>
                        </a:solidFill>
                        <a:latin typeface="+mn-lt"/>
                        <a:ea typeface="+mn-ea"/>
                        <a:cs typeface="+mn-cs"/>
                      </a:defRPr>
                    </a:lvl3pPr>
                    <a:lvl4pPr marL="1371600" algn="l" defTabSz="914400" rtl="0" eaLnBrk="1" latinLnBrk="0" hangingPunct="1">
                      <a:defRPr sz="1800" kern="1200">
                        <a:solidFill>
                          <a:schemeClr val="tx1"/>
                        </a:solidFill>
                        <a:latin typeface="+mn-lt"/>
                        <a:ea typeface="+mn-ea"/>
                        <a:cs typeface="+mn-cs"/>
                      </a:defRPr>
                    </a:lvl4pPr>
                    <a:lvl5pPr marL="1828800" algn="l" defTabSz="914400" rtl="0" eaLnBrk="1" latinLnBrk="0" hangingPunct="1">
                      <a:defRPr sz="1800" kern="1200">
                        <a:solidFill>
                          <a:schemeClr val="tx1"/>
                        </a:solidFill>
                        <a:latin typeface="+mn-lt"/>
                        <a:ea typeface="+mn-ea"/>
                        <a:cs typeface="+mn-cs"/>
                      </a:defRPr>
                    </a:lvl5pPr>
                    <a:lvl6pPr marL="2286000" algn="l" defTabSz="914400" rtl="0" eaLnBrk="1" latinLnBrk="0" hangingPunct="1">
                      <a:defRPr sz="1800" kern="1200">
                        <a:solidFill>
                          <a:schemeClr val="tx1"/>
                        </a:solidFill>
                        <a:latin typeface="+mn-lt"/>
                        <a:ea typeface="+mn-ea"/>
                        <a:cs typeface="+mn-cs"/>
                      </a:defRPr>
                    </a:lvl6pPr>
                    <a:lvl7pPr marL="2743200" algn="l" defTabSz="914400" rtl="0" eaLnBrk="1" latinLnBrk="0" hangingPunct="1">
                      <a:defRPr sz="1800" kern="1200">
                        <a:solidFill>
                          <a:schemeClr val="tx1"/>
                        </a:solidFill>
                        <a:latin typeface="+mn-lt"/>
                        <a:ea typeface="+mn-ea"/>
                        <a:cs typeface="+mn-cs"/>
                      </a:defRPr>
                    </a:lvl7pPr>
                    <a:lvl8pPr marL="3200400" algn="l" defTabSz="914400" rtl="0" eaLnBrk="1" latinLnBrk="0" hangingPunct="1">
                      <a:defRPr sz="1800" kern="1200">
                        <a:solidFill>
                          <a:schemeClr val="tx1"/>
                        </a:solidFill>
                        <a:latin typeface="+mn-lt"/>
                        <a:ea typeface="+mn-ea"/>
                        <a:cs typeface="+mn-cs"/>
                      </a:defRPr>
                    </a:lvl8pPr>
                    <a:lvl9pPr marL="3657600" algn="l" defTabSz="914400" rtl="0" eaLnBrk="1" latinLnBrk="0" hangingPunct="1">
                      <a:defRPr sz="1800" kern="1200">
                        <a:solidFill>
                          <a:schemeClr val="tx1"/>
                        </a:solidFill>
                        <a:latin typeface="+mn-lt"/>
                        <a:ea typeface="+mn-ea"/>
                        <a:cs typeface="+mn-cs"/>
                      </a:defRPr>
                    </a:lvl9pPr>
                  </a:lstStyle>
                  <a:p>
                    <a:pPr algn="ctr"/>
                    <a:endParaRPr lang="pt-BR">
                      <a:latin typeface="Arial" panose="020B0604020202020204" pitchFamily="34" charset="0"/>
                      <a:cs typeface="Arial" panose="020B0604020202020204" pitchFamily="34" charset="0"/>
                    </a:endParaRPr>
                  </a:p>
                </xdr:txBody>
              </xdr:sp>
              <xdr:sp macro="" textlink="">
                <xdr:nvSpPr>
                  <xdr:cNvPr id="82" name="TextBox 11">
                    <a:extLst>
                      <a:ext uri="{FF2B5EF4-FFF2-40B4-BE49-F238E27FC236}">
                        <a16:creationId xmlns:a16="http://schemas.microsoft.com/office/drawing/2014/main" id="{F2304246-B767-4DF7-C28B-E96BC0E798AD}"/>
                      </a:ext>
                    </a:extLst>
                  </xdr:cNvPr>
                  <xdr:cNvSpPr txBox="1"/>
                </xdr:nvSpPr>
                <xdr:spPr>
                  <a:xfrm>
                    <a:off x="2084401" y="1062490"/>
                    <a:ext cx="863391" cy="400110"/>
                  </a:xfrm>
                  <a:prstGeom prst="rect">
                    <a:avLst/>
                  </a:prstGeom>
                  <a:noFill/>
                </xdr:spPr>
                <xdr:txBody>
                  <a:bodyPr wrap="square" rtlCol="0">
                    <a:spAutoFit/>
                  </a:bodyPr>
                  <a:lstStyle>
                    <a:defPPr>
                      <a:defRPr lang="pt-BR"/>
                    </a:defPPr>
                    <a:lvl1pPr marL="0" algn="l" defTabSz="914400" rtl="0" eaLnBrk="1" latinLnBrk="0" hangingPunct="1">
                      <a:defRPr sz="1800" kern="1200">
                        <a:solidFill>
                          <a:schemeClr val="tx1"/>
                        </a:solidFill>
                        <a:latin typeface="+mn-lt"/>
                        <a:ea typeface="+mn-ea"/>
                        <a:cs typeface="+mn-cs"/>
                      </a:defRPr>
                    </a:lvl1pPr>
                    <a:lvl2pPr marL="457200" algn="l" defTabSz="914400" rtl="0" eaLnBrk="1" latinLnBrk="0" hangingPunct="1">
                      <a:defRPr sz="1800" kern="1200">
                        <a:solidFill>
                          <a:schemeClr val="tx1"/>
                        </a:solidFill>
                        <a:latin typeface="+mn-lt"/>
                        <a:ea typeface="+mn-ea"/>
                        <a:cs typeface="+mn-cs"/>
                      </a:defRPr>
                    </a:lvl2pPr>
                    <a:lvl3pPr marL="914400" algn="l" defTabSz="914400" rtl="0" eaLnBrk="1" latinLnBrk="0" hangingPunct="1">
                      <a:defRPr sz="1800" kern="1200">
                        <a:solidFill>
                          <a:schemeClr val="tx1"/>
                        </a:solidFill>
                        <a:latin typeface="+mn-lt"/>
                        <a:ea typeface="+mn-ea"/>
                        <a:cs typeface="+mn-cs"/>
                      </a:defRPr>
                    </a:lvl3pPr>
                    <a:lvl4pPr marL="1371600" algn="l" defTabSz="914400" rtl="0" eaLnBrk="1" latinLnBrk="0" hangingPunct="1">
                      <a:defRPr sz="1800" kern="1200">
                        <a:solidFill>
                          <a:schemeClr val="tx1"/>
                        </a:solidFill>
                        <a:latin typeface="+mn-lt"/>
                        <a:ea typeface="+mn-ea"/>
                        <a:cs typeface="+mn-cs"/>
                      </a:defRPr>
                    </a:lvl4pPr>
                    <a:lvl5pPr marL="1828800" algn="l" defTabSz="914400" rtl="0" eaLnBrk="1" latinLnBrk="0" hangingPunct="1">
                      <a:defRPr sz="1800" kern="1200">
                        <a:solidFill>
                          <a:schemeClr val="tx1"/>
                        </a:solidFill>
                        <a:latin typeface="+mn-lt"/>
                        <a:ea typeface="+mn-ea"/>
                        <a:cs typeface="+mn-cs"/>
                      </a:defRPr>
                    </a:lvl5pPr>
                    <a:lvl6pPr marL="2286000" algn="l" defTabSz="914400" rtl="0" eaLnBrk="1" latinLnBrk="0" hangingPunct="1">
                      <a:defRPr sz="1800" kern="1200">
                        <a:solidFill>
                          <a:schemeClr val="tx1"/>
                        </a:solidFill>
                        <a:latin typeface="+mn-lt"/>
                        <a:ea typeface="+mn-ea"/>
                        <a:cs typeface="+mn-cs"/>
                      </a:defRPr>
                    </a:lvl6pPr>
                    <a:lvl7pPr marL="2743200" algn="l" defTabSz="914400" rtl="0" eaLnBrk="1" latinLnBrk="0" hangingPunct="1">
                      <a:defRPr sz="1800" kern="1200">
                        <a:solidFill>
                          <a:schemeClr val="tx1"/>
                        </a:solidFill>
                        <a:latin typeface="+mn-lt"/>
                        <a:ea typeface="+mn-ea"/>
                        <a:cs typeface="+mn-cs"/>
                      </a:defRPr>
                    </a:lvl7pPr>
                    <a:lvl8pPr marL="3200400" algn="l" defTabSz="914400" rtl="0" eaLnBrk="1" latinLnBrk="0" hangingPunct="1">
                      <a:defRPr sz="1800" kern="1200">
                        <a:solidFill>
                          <a:schemeClr val="tx1"/>
                        </a:solidFill>
                        <a:latin typeface="+mn-lt"/>
                        <a:ea typeface="+mn-ea"/>
                        <a:cs typeface="+mn-cs"/>
                      </a:defRPr>
                    </a:lvl8pPr>
                    <a:lvl9pPr marL="3657600" algn="l" defTabSz="914400" rtl="0" eaLnBrk="1" latinLnBrk="0" hangingPunct="1">
                      <a:defRPr sz="1800" kern="1200">
                        <a:solidFill>
                          <a:schemeClr val="tx1"/>
                        </a:solidFill>
                        <a:latin typeface="+mn-lt"/>
                        <a:ea typeface="+mn-ea"/>
                        <a:cs typeface="+mn-cs"/>
                      </a:defRPr>
                    </a:lvl9pPr>
                  </a:lstStyle>
                  <a:p>
                    <a:pPr algn="ctr"/>
                    <a:r>
                      <a:rPr lang="pt-BR" sz="1000" b="1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Zona Rígida (ZR)</a:t>
                    </a:r>
                  </a:p>
                </xdr:txBody>
              </xdr:sp>
            </xdr:grpSp>
            <xdr:grpSp>
              <xdr:nvGrpSpPr>
                <xdr:cNvPr id="75" name="Group 74">
                  <a:extLst>
                    <a:ext uri="{FF2B5EF4-FFF2-40B4-BE49-F238E27FC236}">
                      <a16:creationId xmlns:a16="http://schemas.microsoft.com/office/drawing/2014/main" id="{09D8E875-CAE4-6CC6-8152-B9030B4C1FE6}"/>
                    </a:ext>
                  </a:extLst>
                </xdr:cNvPr>
                <xdr:cNvGrpSpPr/>
              </xdr:nvGrpSpPr>
              <xdr:grpSpPr>
                <a:xfrm>
                  <a:off x="2941525" y="1062490"/>
                  <a:ext cx="1109570" cy="872480"/>
                  <a:chOff x="2941525" y="1062490"/>
                  <a:chExt cx="1109570" cy="872480"/>
                </a:xfrm>
              </xdr:grpSpPr>
              <xdr:sp macro="" textlink="">
                <xdr:nvSpPr>
                  <xdr:cNvPr id="79" name="Right Brace 78">
                    <a:extLst>
                      <a:ext uri="{FF2B5EF4-FFF2-40B4-BE49-F238E27FC236}">
                        <a16:creationId xmlns:a16="http://schemas.microsoft.com/office/drawing/2014/main" id="{3D696C2E-BC1B-0E19-9EF5-D4806F759F1C}"/>
                      </a:ext>
                    </a:extLst>
                  </xdr:cNvPr>
                  <xdr:cNvSpPr/>
                </xdr:nvSpPr>
                <xdr:spPr>
                  <a:xfrm rot="16200000">
                    <a:off x="3067680" y="1385987"/>
                    <a:ext cx="468000" cy="629966"/>
                  </a:xfrm>
                  <a:prstGeom prst="rightBrace">
                    <a:avLst/>
                  </a:prstGeom>
                  <a:ln>
                    <a:solidFill>
                      <a:schemeClr val="tx1"/>
                    </a:solidFill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  <xdr:txBody>
                  <a:bodyPr wrap="square" rtlCol="0" anchor="ctr"/>
                  <a:lstStyle>
                    <a:defPPr>
                      <a:defRPr lang="pt-BR"/>
                    </a:defPPr>
                    <a:lvl1pPr marL="0" algn="l" defTabSz="914400" rtl="0" eaLnBrk="1" latinLnBrk="0" hangingPunct="1">
                      <a:defRPr sz="1800" kern="1200">
                        <a:solidFill>
                          <a:schemeClr val="tx1"/>
                        </a:solidFill>
                        <a:latin typeface="+mn-lt"/>
                        <a:ea typeface="+mn-ea"/>
                        <a:cs typeface="+mn-cs"/>
                      </a:defRPr>
                    </a:lvl1pPr>
                    <a:lvl2pPr marL="457200" algn="l" defTabSz="914400" rtl="0" eaLnBrk="1" latinLnBrk="0" hangingPunct="1">
                      <a:defRPr sz="1800" kern="1200">
                        <a:solidFill>
                          <a:schemeClr val="tx1"/>
                        </a:solidFill>
                        <a:latin typeface="+mn-lt"/>
                        <a:ea typeface="+mn-ea"/>
                        <a:cs typeface="+mn-cs"/>
                      </a:defRPr>
                    </a:lvl2pPr>
                    <a:lvl3pPr marL="914400" algn="l" defTabSz="914400" rtl="0" eaLnBrk="1" latinLnBrk="0" hangingPunct="1">
                      <a:defRPr sz="1800" kern="1200">
                        <a:solidFill>
                          <a:schemeClr val="tx1"/>
                        </a:solidFill>
                        <a:latin typeface="+mn-lt"/>
                        <a:ea typeface="+mn-ea"/>
                        <a:cs typeface="+mn-cs"/>
                      </a:defRPr>
                    </a:lvl3pPr>
                    <a:lvl4pPr marL="1371600" algn="l" defTabSz="914400" rtl="0" eaLnBrk="1" latinLnBrk="0" hangingPunct="1">
                      <a:defRPr sz="1800" kern="1200">
                        <a:solidFill>
                          <a:schemeClr val="tx1"/>
                        </a:solidFill>
                        <a:latin typeface="+mn-lt"/>
                        <a:ea typeface="+mn-ea"/>
                        <a:cs typeface="+mn-cs"/>
                      </a:defRPr>
                    </a:lvl4pPr>
                    <a:lvl5pPr marL="1828800" algn="l" defTabSz="914400" rtl="0" eaLnBrk="1" latinLnBrk="0" hangingPunct="1">
                      <a:defRPr sz="1800" kern="1200">
                        <a:solidFill>
                          <a:schemeClr val="tx1"/>
                        </a:solidFill>
                        <a:latin typeface="+mn-lt"/>
                        <a:ea typeface="+mn-ea"/>
                        <a:cs typeface="+mn-cs"/>
                      </a:defRPr>
                    </a:lvl5pPr>
                    <a:lvl6pPr marL="2286000" algn="l" defTabSz="914400" rtl="0" eaLnBrk="1" latinLnBrk="0" hangingPunct="1">
                      <a:defRPr sz="1800" kern="1200">
                        <a:solidFill>
                          <a:schemeClr val="tx1"/>
                        </a:solidFill>
                        <a:latin typeface="+mn-lt"/>
                        <a:ea typeface="+mn-ea"/>
                        <a:cs typeface="+mn-cs"/>
                      </a:defRPr>
                    </a:lvl6pPr>
                    <a:lvl7pPr marL="2743200" algn="l" defTabSz="914400" rtl="0" eaLnBrk="1" latinLnBrk="0" hangingPunct="1">
                      <a:defRPr sz="1800" kern="1200">
                        <a:solidFill>
                          <a:schemeClr val="tx1"/>
                        </a:solidFill>
                        <a:latin typeface="+mn-lt"/>
                        <a:ea typeface="+mn-ea"/>
                        <a:cs typeface="+mn-cs"/>
                      </a:defRPr>
                    </a:lvl7pPr>
                    <a:lvl8pPr marL="3200400" algn="l" defTabSz="914400" rtl="0" eaLnBrk="1" latinLnBrk="0" hangingPunct="1">
                      <a:defRPr sz="1800" kern="1200">
                        <a:solidFill>
                          <a:schemeClr val="tx1"/>
                        </a:solidFill>
                        <a:latin typeface="+mn-lt"/>
                        <a:ea typeface="+mn-ea"/>
                        <a:cs typeface="+mn-cs"/>
                      </a:defRPr>
                    </a:lvl8pPr>
                    <a:lvl9pPr marL="3657600" algn="l" defTabSz="914400" rtl="0" eaLnBrk="1" latinLnBrk="0" hangingPunct="1">
                      <a:defRPr sz="1800" kern="1200">
                        <a:solidFill>
                          <a:schemeClr val="tx1"/>
                        </a:solidFill>
                        <a:latin typeface="+mn-lt"/>
                        <a:ea typeface="+mn-ea"/>
                        <a:cs typeface="+mn-cs"/>
                      </a:defRPr>
                    </a:lvl9pPr>
                  </a:lstStyle>
                  <a:p>
                    <a:pPr algn="ctr"/>
                    <a:endParaRPr lang="pt-BR"/>
                  </a:p>
                </xdr:txBody>
              </xdr:sp>
              <xdr:sp macro="" textlink="">
                <xdr:nvSpPr>
                  <xdr:cNvPr id="80" name="TextBox 17">
                    <a:extLst>
                      <a:ext uri="{FF2B5EF4-FFF2-40B4-BE49-F238E27FC236}">
                        <a16:creationId xmlns:a16="http://schemas.microsoft.com/office/drawing/2014/main" id="{336D0E85-0E30-41E1-F25C-85A38242892A}"/>
                      </a:ext>
                    </a:extLst>
                  </xdr:cNvPr>
                  <xdr:cNvSpPr txBox="1"/>
                </xdr:nvSpPr>
                <xdr:spPr>
                  <a:xfrm>
                    <a:off x="2941525" y="1062490"/>
                    <a:ext cx="1109570" cy="400110"/>
                  </a:xfrm>
                  <a:prstGeom prst="rect">
                    <a:avLst/>
                  </a:prstGeom>
                  <a:noFill/>
                </xdr:spPr>
                <xdr:txBody>
                  <a:bodyPr wrap="square" rtlCol="0">
                    <a:spAutoFit/>
                  </a:bodyPr>
                  <a:lstStyle>
                    <a:defPPr>
                      <a:defRPr lang="pt-BR"/>
                    </a:defPPr>
                    <a:lvl1pPr marL="0" algn="l" defTabSz="914400" rtl="0" eaLnBrk="1" latinLnBrk="0" hangingPunct="1">
                      <a:defRPr sz="1800" kern="1200">
                        <a:solidFill>
                          <a:schemeClr val="tx1"/>
                        </a:solidFill>
                        <a:latin typeface="+mn-lt"/>
                        <a:ea typeface="+mn-ea"/>
                        <a:cs typeface="+mn-cs"/>
                      </a:defRPr>
                    </a:lvl1pPr>
                    <a:lvl2pPr marL="457200" algn="l" defTabSz="914400" rtl="0" eaLnBrk="1" latinLnBrk="0" hangingPunct="1">
                      <a:defRPr sz="1800" kern="1200">
                        <a:solidFill>
                          <a:schemeClr val="tx1"/>
                        </a:solidFill>
                        <a:latin typeface="+mn-lt"/>
                        <a:ea typeface="+mn-ea"/>
                        <a:cs typeface="+mn-cs"/>
                      </a:defRPr>
                    </a:lvl2pPr>
                    <a:lvl3pPr marL="914400" algn="l" defTabSz="914400" rtl="0" eaLnBrk="1" latinLnBrk="0" hangingPunct="1">
                      <a:defRPr sz="1800" kern="1200">
                        <a:solidFill>
                          <a:schemeClr val="tx1"/>
                        </a:solidFill>
                        <a:latin typeface="+mn-lt"/>
                        <a:ea typeface="+mn-ea"/>
                        <a:cs typeface="+mn-cs"/>
                      </a:defRPr>
                    </a:lvl3pPr>
                    <a:lvl4pPr marL="1371600" algn="l" defTabSz="914400" rtl="0" eaLnBrk="1" latinLnBrk="0" hangingPunct="1">
                      <a:defRPr sz="1800" kern="1200">
                        <a:solidFill>
                          <a:schemeClr val="tx1"/>
                        </a:solidFill>
                        <a:latin typeface="+mn-lt"/>
                        <a:ea typeface="+mn-ea"/>
                        <a:cs typeface="+mn-cs"/>
                      </a:defRPr>
                    </a:lvl4pPr>
                    <a:lvl5pPr marL="1828800" algn="l" defTabSz="914400" rtl="0" eaLnBrk="1" latinLnBrk="0" hangingPunct="1">
                      <a:defRPr sz="1800" kern="1200">
                        <a:solidFill>
                          <a:schemeClr val="tx1"/>
                        </a:solidFill>
                        <a:latin typeface="+mn-lt"/>
                        <a:ea typeface="+mn-ea"/>
                        <a:cs typeface="+mn-cs"/>
                      </a:defRPr>
                    </a:lvl5pPr>
                    <a:lvl6pPr marL="2286000" algn="l" defTabSz="914400" rtl="0" eaLnBrk="1" latinLnBrk="0" hangingPunct="1">
                      <a:defRPr sz="1800" kern="1200">
                        <a:solidFill>
                          <a:schemeClr val="tx1"/>
                        </a:solidFill>
                        <a:latin typeface="+mn-lt"/>
                        <a:ea typeface="+mn-ea"/>
                        <a:cs typeface="+mn-cs"/>
                      </a:defRPr>
                    </a:lvl6pPr>
                    <a:lvl7pPr marL="2743200" algn="l" defTabSz="914400" rtl="0" eaLnBrk="1" latinLnBrk="0" hangingPunct="1">
                      <a:defRPr sz="1800" kern="1200">
                        <a:solidFill>
                          <a:schemeClr val="tx1"/>
                        </a:solidFill>
                        <a:latin typeface="+mn-lt"/>
                        <a:ea typeface="+mn-ea"/>
                        <a:cs typeface="+mn-cs"/>
                      </a:defRPr>
                    </a:lvl7pPr>
                    <a:lvl8pPr marL="3200400" algn="l" defTabSz="914400" rtl="0" eaLnBrk="1" latinLnBrk="0" hangingPunct="1">
                      <a:defRPr sz="1800" kern="1200">
                        <a:solidFill>
                          <a:schemeClr val="tx1"/>
                        </a:solidFill>
                        <a:latin typeface="+mn-lt"/>
                        <a:ea typeface="+mn-ea"/>
                        <a:cs typeface="+mn-cs"/>
                      </a:defRPr>
                    </a:lvl8pPr>
                    <a:lvl9pPr marL="3657600" algn="l" defTabSz="914400" rtl="0" eaLnBrk="1" latinLnBrk="0" hangingPunct="1">
                      <a:defRPr sz="1800" kern="1200">
                        <a:solidFill>
                          <a:schemeClr val="tx1"/>
                        </a:solidFill>
                        <a:latin typeface="+mn-lt"/>
                        <a:ea typeface="+mn-ea"/>
                        <a:cs typeface="+mn-cs"/>
                      </a:defRPr>
                    </a:lvl9pPr>
                  </a:lstStyle>
                  <a:p>
                    <a:pPr algn="ctr"/>
                    <a:r>
                      <a:rPr lang="pt-BR" sz="1000" b="1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Zona de Interseção (ZI)*</a:t>
                    </a:r>
                  </a:p>
                </xdr:txBody>
              </xdr:sp>
            </xdr:grpSp>
            <xdr:grpSp>
              <xdr:nvGrpSpPr>
                <xdr:cNvPr id="76" name="Group 75">
                  <a:extLst>
                    <a:ext uri="{FF2B5EF4-FFF2-40B4-BE49-F238E27FC236}">
                      <a16:creationId xmlns:a16="http://schemas.microsoft.com/office/drawing/2014/main" id="{8A5ED609-AAFF-64BD-1B7B-B7026477C208}"/>
                    </a:ext>
                  </a:extLst>
                </xdr:cNvPr>
                <xdr:cNvGrpSpPr/>
              </xdr:nvGrpSpPr>
              <xdr:grpSpPr>
                <a:xfrm>
                  <a:off x="3616663" y="1062490"/>
                  <a:ext cx="6018659" cy="872480"/>
                  <a:chOff x="3616663" y="1062490"/>
                  <a:chExt cx="6018659" cy="872480"/>
                </a:xfrm>
              </xdr:grpSpPr>
              <xdr:sp macro="" textlink="">
                <xdr:nvSpPr>
                  <xdr:cNvPr id="77" name="Right Brace 76">
                    <a:extLst>
                      <a:ext uri="{FF2B5EF4-FFF2-40B4-BE49-F238E27FC236}">
                        <a16:creationId xmlns:a16="http://schemas.microsoft.com/office/drawing/2014/main" id="{9CBC6638-C72A-AF30-4B30-20D5CCE65C6B}"/>
                      </a:ext>
                    </a:extLst>
                  </xdr:cNvPr>
                  <xdr:cNvSpPr/>
                </xdr:nvSpPr>
                <xdr:spPr>
                  <a:xfrm rot="16200000">
                    <a:off x="6391993" y="-1308360"/>
                    <a:ext cx="468000" cy="6018659"/>
                  </a:xfrm>
                  <a:prstGeom prst="rightBrace">
                    <a:avLst/>
                  </a:prstGeom>
                  <a:ln>
                    <a:solidFill>
                      <a:schemeClr val="tx1"/>
                    </a:solidFill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  <xdr:txBody>
                  <a:bodyPr wrap="square" rtlCol="0" anchor="ctr"/>
                  <a:lstStyle>
                    <a:defPPr>
                      <a:defRPr lang="pt-BR"/>
                    </a:defPPr>
                    <a:lvl1pPr marL="0" algn="l" defTabSz="914400" rtl="0" eaLnBrk="1" latinLnBrk="0" hangingPunct="1">
                      <a:defRPr sz="1800" kern="1200">
                        <a:solidFill>
                          <a:schemeClr val="tx1"/>
                        </a:solidFill>
                        <a:latin typeface="+mn-lt"/>
                        <a:ea typeface="+mn-ea"/>
                        <a:cs typeface="+mn-cs"/>
                      </a:defRPr>
                    </a:lvl1pPr>
                    <a:lvl2pPr marL="457200" algn="l" defTabSz="914400" rtl="0" eaLnBrk="1" latinLnBrk="0" hangingPunct="1">
                      <a:defRPr sz="1800" kern="1200">
                        <a:solidFill>
                          <a:schemeClr val="tx1"/>
                        </a:solidFill>
                        <a:latin typeface="+mn-lt"/>
                        <a:ea typeface="+mn-ea"/>
                        <a:cs typeface="+mn-cs"/>
                      </a:defRPr>
                    </a:lvl2pPr>
                    <a:lvl3pPr marL="914400" algn="l" defTabSz="914400" rtl="0" eaLnBrk="1" latinLnBrk="0" hangingPunct="1">
                      <a:defRPr sz="1800" kern="1200">
                        <a:solidFill>
                          <a:schemeClr val="tx1"/>
                        </a:solidFill>
                        <a:latin typeface="+mn-lt"/>
                        <a:ea typeface="+mn-ea"/>
                        <a:cs typeface="+mn-cs"/>
                      </a:defRPr>
                    </a:lvl3pPr>
                    <a:lvl4pPr marL="1371600" algn="l" defTabSz="914400" rtl="0" eaLnBrk="1" latinLnBrk="0" hangingPunct="1">
                      <a:defRPr sz="1800" kern="1200">
                        <a:solidFill>
                          <a:schemeClr val="tx1"/>
                        </a:solidFill>
                        <a:latin typeface="+mn-lt"/>
                        <a:ea typeface="+mn-ea"/>
                        <a:cs typeface="+mn-cs"/>
                      </a:defRPr>
                    </a:lvl4pPr>
                    <a:lvl5pPr marL="1828800" algn="l" defTabSz="914400" rtl="0" eaLnBrk="1" latinLnBrk="0" hangingPunct="1">
                      <a:defRPr sz="1800" kern="1200">
                        <a:solidFill>
                          <a:schemeClr val="tx1"/>
                        </a:solidFill>
                        <a:latin typeface="+mn-lt"/>
                        <a:ea typeface="+mn-ea"/>
                        <a:cs typeface="+mn-cs"/>
                      </a:defRPr>
                    </a:lvl5pPr>
                    <a:lvl6pPr marL="2286000" algn="l" defTabSz="914400" rtl="0" eaLnBrk="1" latinLnBrk="0" hangingPunct="1">
                      <a:defRPr sz="1800" kern="1200">
                        <a:solidFill>
                          <a:schemeClr val="tx1"/>
                        </a:solidFill>
                        <a:latin typeface="+mn-lt"/>
                        <a:ea typeface="+mn-ea"/>
                        <a:cs typeface="+mn-cs"/>
                      </a:defRPr>
                    </a:lvl6pPr>
                    <a:lvl7pPr marL="2743200" algn="l" defTabSz="914400" rtl="0" eaLnBrk="1" latinLnBrk="0" hangingPunct="1">
                      <a:defRPr sz="1800" kern="1200">
                        <a:solidFill>
                          <a:schemeClr val="tx1"/>
                        </a:solidFill>
                        <a:latin typeface="+mn-lt"/>
                        <a:ea typeface="+mn-ea"/>
                        <a:cs typeface="+mn-cs"/>
                      </a:defRPr>
                    </a:lvl7pPr>
                    <a:lvl8pPr marL="3200400" algn="l" defTabSz="914400" rtl="0" eaLnBrk="1" latinLnBrk="0" hangingPunct="1">
                      <a:defRPr sz="1800" kern="1200">
                        <a:solidFill>
                          <a:schemeClr val="tx1"/>
                        </a:solidFill>
                        <a:latin typeface="+mn-lt"/>
                        <a:ea typeface="+mn-ea"/>
                        <a:cs typeface="+mn-cs"/>
                      </a:defRPr>
                    </a:lvl8pPr>
                    <a:lvl9pPr marL="3657600" algn="l" defTabSz="914400" rtl="0" eaLnBrk="1" latinLnBrk="0" hangingPunct="1">
                      <a:defRPr sz="1800" kern="1200">
                        <a:solidFill>
                          <a:schemeClr val="tx1"/>
                        </a:solidFill>
                        <a:latin typeface="+mn-lt"/>
                        <a:ea typeface="+mn-ea"/>
                        <a:cs typeface="+mn-cs"/>
                      </a:defRPr>
                    </a:lvl9pPr>
                  </a:lstStyle>
                  <a:p>
                    <a:pPr algn="ctr"/>
                    <a:endParaRPr lang="pt-BR">
                      <a:latin typeface="Arial" panose="020B0604020202020204" pitchFamily="34" charset="0"/>
                      <a:cs typeface="Arial" panose="020B0604020202020204" pitchFamily="34" charset="0"/>
                    </a:endParaRPr>
                  </a:p>
                </xdr:txBody>
              </xdr:sp>
              <xdr:sp macro="" textlink="">
                <xdr:nvSpPr>
                  <xdr:cNvPr id="78" name="TextBox 18">
                    <a:extLst>
                      <a:ext uri="{FF2B5EF4-FFF2-40B4-BE49-F238E27FC236}">
                        <a16:creationId xmlns:a16="http://schemas.microsoft.com/office/drawing/2014/main" id="{40D3F686-65C1-3724-9C9A-20A9DA9120CD}"/>
                      </a:ext>
                    </a:extLst>
                  </xdr:cNvPr>
                  <xdr:cNvSpPr txBox="1"/>
                </xdr:nvSpPr>
                <xdr:spPr>
                  <a:xfrm>
                    <a:off x="6116563" y="1062490"/>
                    <a:ext cx="1018855" cy="400110"/>
                  </a:xfrm>
                  <a:prstGeom prst="rect">
                    <a:avLst/>
                  </a:prstGeom>
                  <a:noFill/>
                </xdr:spPr>
                <xdr:txBody>
                  <a:bodyPr wrap="square" rtlCol="0">
                    <a:spAutoFit/>
                  </a:bodyPr>
                  <a:lstStyle>
                    <a:defPPr>
                      <a:defRPr lang="pt-BR"/>
                    </a:defPPr>
                    <a:lvl1pPr marL="0" algn="l" defTabSz="914400" rtl="0" eaLnBrk="1" latinLnBrk="0" hangingPunct="1">
                      <a:defRPr sz="1800" kern="1200">
                        <a:solidFill>
                          <a:schemeClr val="tx1"/>
                        </a:solidFill>
                        <a:latin typeface="+mn-lt"/>
                        <a:ea typeface="+mn-ea"/>
                        <a:cs typeface="+mn-cs"/>
                      </a:defRPr>
                    </a:lvl1pPr>
                    <a:lvl2pPr marL="457200" algn="l" defTabSz="914400" rtl="0" eaLnBrk="1" latinLnBrk="0" hangingPunct="1">
                      <a:defRPr sz="1800" kern="1200">
                        <a:solidFill>
                          <a:schemeClr val="tx1"/>
                        </a:solidFill>
                        <a:latin typeface="+mn-lt"/>
                        <a:ea typeface="+mn-ea"/>
                        <a:cs typeface="+mn-cs"/>
                      </a:defRPr>
                    </a:lvl2pPr>
                    <a:lvl3pPr marL="914400" algn="l" defTabSz="914400" rtl="0" eaLnBrk="1" latinLnBrk="0" hangingPunct="1">
                      <a:defRPr sz="1800" kern="1200">
                        <a:solidFill>
                          <a:schemeClr val="tx1"/>
                        </a:solidFill>
                        <a:latin typeface="+mn-lt"/>
                        <a:ea typeface="+mn-ea"/>
                        <a:cs typeface="+mn-cs"/>
                      </a:defRPr>
                    </a:lvl3pPr>
                    <a:lvl4pPr marL="1371600" algn="l" defTabSz="914400" rtl="0" eaLnBrk="1" latinLnBrk="0" hangingPunct="1">
                      <a:defRPr sz="1800" kern="1200">
                        <a:solidFill>
                          <a:schemeClr val="tx1"/>
                        </a:solidFill>
                        <a:latin typeface="+mn-lt"/>
                        <a:ea typeface="+mn-ea"/>
                        <a:cs typeface="+mn-cs"/>
                      </a:defRPr>
                    </a:lvl4pPr>
                    <a:lvl5pPr marL="1828800" algn="l" defTabSz="914400" rtl="0" eaLnBrk="1" latinLnBrk="0" hangingPunct="1">
                      <a:defRPr sz="1800" kern="1200">
                        <a:solidFill>
                          <a:schemeClr val="tx1"/>
                        </a:solidFill>
                        <a:latin typeface="+mn-lt"/>
                        <a:ea typeface="+mn-ea"/>
                        <a:cs typeface="+mn-cs"/>
                      </a:defRPr>
                    </a:lvl5pPr>
                    <a:lvl6pPr marL="2286000" algn="l" defTabSz="914400" rtl="0" eaLnBrk="1" latinLnBrk="0" hangingPunct="1">
                      <a:defRPr sz="1800" kern="1200">
                        <a:solidFill>
                          <a:schemeClr val="tx1"/>
                        </a:solidFill>
                        <a:latin typeface="+mn-lt"/>
                        <a:ea typeface="+mn-ea"/>
                        <a:cs typeface="+mn-cs"/>
                      </a:defRPr>
                    </a:lvl6pPr>
                    <a:lvl7pPr marL="2743200" algn="l" defTabSz="914400" rtl="0" eaLnBrk="1" latinLnBrk="0" hangingPunct="1">
                      <a:defRPr sz="1800" kern="1200">
                        <a:solidFill>
                          <a:schemeClr val="tx1"/>
                        </a:solidFill>
                        <a:latin typeface="+mn-lt"/>
                        <a:ea typeface="+mn-ea"/>
                        <a:cs typeface="+mn-cs"/>
                      </a:defRPr>
                    </a:lvl7pPr>
                    <a:lvl8pPr marL="3200400" algn="l" defTabSz="914400" rtl="0" eaLnBrk="1" latinLnBrk="0" hangingPunct="1">
                      <a:defRPr sz="1800" kern="1200">
                        <a:solidFill>
                          <a:schemeClr val="tx1"/>
                        </a:solidFill>
                        <a:latin typeface="+mn-lt"/>
                        <a:ea typeface="+mn-ea"/>
                        <a:cs typeface="+mn-cs"/>
                      </a:defRPr>
                    </a:lvl8pPr>
                    <a:lvl9pPr marL="3657600" algn="l" defTabSz="914400" rtl="0" eaLnBrk="1" latinLnBrk="0" hangingPunct="1">
                      <a:defRPr sz="1800" kern="1200">
                        <a:solidFill>
                          <a:schemeClr val="tx1"/>
                        </a:solidFill>
                        <a:latin typeface="+mn-lt"/>
                        <a:ea typeface="+mn-ea"/>
                        <a:cs typeface="+mn-cs"/>
                      </a:defRPr>
                    </a:lvl9pPr>
                  </a:lstStyle>
                  <a:p>
                    <a:pPr algn="ctr"/>
                    <a:r>
                      <a:rPr lang="pt-BR" sz="1000" b="1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Zona NÃO</a:t>
                    </a:r>
                  </a:p>
                  <a:p>
                    <a:pPr algn="ctr"/>
                    <a:r>
                      <a:rPr lang="pt-BR" sz="1000" b="1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Rígida (ZNR)</a:t>
                    </a:r>
                  </a:p>
                </xdr:txBody>
              </xdr:sp>
            </xdr:grpSp>
          </xdr:grpSp>
          <xdr:sp macro="" textlink="">
            <xdr:nvSpPr>
              <xdr:cNvPr id="72" name="TextBox 24">
                <a:extLst>
                  <a:ext uri="{FF2B5EF4-FFF2-40B4-BE49-F238E27FC236}">
                    <a16:creationId xmlns:a16="http://schemas.microsoft.com/office/drawing/2014/main" id="{CC6EE7C1-A275-D4BB-D1ED-CE4516E051FF}"/>
                  </a:ext>
                </a:extLst>
              </xdr:cNvPr>
              <xdr:cNvSpPr txBox="1"/>
            </xdr:nvSpPr>
            <xdr:spPr>
              <a:xfrm>
                <a:off x="2194206" y="4031747"/>
                <a:ext cx="4930991" cy="246221"/>
              </a:xfrm>
              <a:prstGeom prst="rect">
                <a:avLst/>
              </a:prstGeom>
              <a:noFill/>
            </xdr:spPr>
            <xdr:txBody>
              <a:bodyPr wrap="square" rtlCol="0">
                <a:spAutoFit/>
              </a:bodyPr>
              <a:lstStyle>
                <a:defPPr>
                  <a:defRPr lang="pt-BR"/>
                </a:defPPr>
                <a:lvl1pPr marL="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r>
                  <a:rPr lang="pt-BR" sz="1000">
                    <a:latin typeface="Arial" panose="020B0604020202020204" pitchFamily="34" charset="0"/>
                    <a:cs typeface="Arial" panose="020B0604020202020204" pitchFamily="34" charset="0"/>
                  </a:rPr>
                  <a:t>*O comportamento da zona de interseção deve ser considerado como rígido!</a:t>
                </a:r>
              </a:p>
            </xdr:txBody>
          </xdr:sp>
        </xdr:grpSp>
        <xdr:sp macro="" textlink="">
          <xdr:nvSpPr>
            <xdr:cNvPr id="70" name="Rectangle 69">
              <a:extLst>
                <a:ext uri="{FF2B5EF4-FFF2-40B4-BE49-F238E27FC236}">
                  <a16:creationId xmlns:a16="http://schemas.microsoft.com/office/drawing/2014/main" id="{66089D9B-5763-71CA-3473-A70CA11D51F4}"/>
                </a:ext>
              </a:extLst>
            </xdr:cNvPr>
            <xdr:cNvSpPr/>
          </xdr:nvSpPr>
          <xdr:spPr bwMode="auto">
            <a:xfrm>
              <a:off x="13668374" y="16070307"/>
              <a:ext cx="3433763" cy="212535"/>
            </a:xfrm>
            <a:prstGeom prst="rect">
              <a:avLst/>
            </a:prstGeom>
            <a:solidFill>
              <a:srgbClr val="FFFFFF"/>
            </a:solidFill>
            <a:ln w="9525" cap="flat" cmpd="sng" algn="ctr">
              <a:noFill/>
              <a:prstDash val="solid"/>
              <a:round/>
              <a:headEnd type="none" w="med" len="med"/>
              <a:tailEnd type="none" w="med" len="med"/>
            </a:ln>
            <a:effectLst/>
          </xdr:spPr>
          <xdr:txBody>
            <a:bodyPr vertOverflow="clip" wrap="square" lIns="18288" tIns="0" rIns="0" bIns="0" rtlCol="0" anchor="ctr" upright="1"/>
            <a:lstStyle/>
            <a:p>
              <a:pPr algn="l"/>
              <a:r>
                <a:rPr lang="pt-BR" sz="1000" b="1" i="0">
                  <a:latin typeface="Arial" panose="020B0604020202020204" pitchFamily="34" charset="0"/>
                  <a:cs typeface="Arial" panose="020B0604020202020204" pitchFamily="34" charset="0"/>
                </a:rPr>
                <a:t>Figura 2 - Vértebra de PU</a:t>
              </a:r>
            </a:p>
          </xdr:txBody>
        </xdr:sp>
      </xdr:grpSp>
      <xdr:grpSp>
        <xdr:nvGrpSpPr>
          <xdr:cNvPr id="20" name="Group 19">
            <a:extLst>
              <a:ext uri="{FF2B5EF4-FFF2-40B4-BE49-F238E27FC236}">
                <a16:creationId xmlns:a16="http://schemas.microsoft.com/office/drawing/2014/main" id="{70A22100-5F9D-D38F-DE3E-0219918493DA}"/>
              </a:ext>
            </a:extLst>
          </xdr:cNvPr>
          <xdr:cNvGrpSpPr/>
        </xdr:nvGrpSpPr>
        <xdr:grpSpPr>
          <a:xfrm>
            <a:off x="1341320" y="11467186"/>
            <a:ext cx="7155895" cy="4476357"/>
            <a:chOff x="8687483" y="5080193"/>
            <a:chExt cx="7152649" cy="4476357"/>
          </a:xfrm>
        </xdr:grpSpPr>
        <xdr:pic>
          <xdr:nvPicPr>
            <xdr:cNvPr id="17" name="Picture 16">
              <a:extLst>
                <a:ext uri="{FF2B5EF4-FFF2-40B4-BE49-F238E27FC236}">
                  <a16:creationId xmlns:a16="http://schemas.microsoft.com/office/drawing/2014/main" id="{0F7CC741-DC8F-258C-1826-8881BEDACBA4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9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8689105" y="5307807"/>
              <a:ext cx="7151027" cy="4248743"/>
            </a:xfrm>
            <a:prstGeom prst="rect">
              <a:avLst/>
            </a:prstGeom>
          </xdr:spPr>
        </xdr:pic>
        <xdr:sp macro="" textlink="">
          <xdr:nvSpPr>
            <xdr:cNvPr id="18" name="Rectangle 17">
              <a:extLst>
                <a:ext uri="{FF2B5EF4-FFF2-40B4-BE49-F238E27FC236}">
                  <a16:creationId xmlns:a16="http://schemas.microsoft.com/office/drawing/2014/main" id="{69D78322-CA49-4755-8BB0-833C98E6B773}"/>
                </a:ext>
              </a:extLst>
            </xdr:cNvPr>
            <xdr:cNvSpPr/>
          </xdr:nvSpPr>
          <xdr:spPr bwMode="auto">
            <a:xfrm>
              <a:off x="8687483" y="5080193"/>
              <a:ext cx="4669217" cy="220971"/>
            </a:xfrm>
            <a:prstGeom prst="rect">
              <a:avLst/>
            </a:prstGeom>
            <a:solidFill>
              <a:srgbClr val="FFFFFF"/>
            </a:solidFill>
            <a:ln w="9525" cap="flat" cmpd="sng" algn="ctr">
              <a:noFill/>
              <a:prstDash val="solid"/>
              <a:round/>
              <a:headEnd type="none" w="med" len="med"/>
              <a:tailEnd type="none" w="med" len="med"/>
            </a:ln>
            <a:effectLst/>
          </xdr:spPr>
          <xdr:txBody>
            <a:bodyPr vertOverflow="clip" wrap="square" lIns="18288" tIns="0" rIns="0" bIns="0" rtlCol="0" anchor="ctr" upright="1"/>
            <a:lstStyle/>
            <a:p>
              <a:pPr algn="l"/>
              <a:r>
                <a:rPr lang="pt-BR" sz="1000" b="1" i="0">
                  <a:latin typeface="Arial" panose="020B0604020202020204" pitchFamily="34" charset="0"/>
                  <a:cs typeface="Arial" panose="020B0604020202020204" pitchFamily="34" charset="0"/>
                </a:rPr>
                <a:t>Figura 1</a:t>
              </a:r>
              <a:r>
                <a:rPr lang="pt-BR" sz="1000" b="1" i="0" baseline="0">
                  <a:latin typeface="Arial" panose="020B0604020202020204" pitchFamily="34" charset="0"/>
                  <a:cs typeface="Arial" panose="020B0604020202020204" pitchFamily="34" charset="0"/>
                </a:rPr>
                <a:t> - Diâmetros interno, externo e de contato da vértebra (para CVD)</a:t>
              </a:r>
              <a:endParaRPr lang="pt-BR" sz="1000" b="1" i="0"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</xdr:grpSp>
      <xdr:sp macro="" textlink="">
        <xdr:nvSpPr>
          <xdr:cNvPr id="91" name="Rectangle 90">
            <a:extLst>
              <a:ext uri="{FF2B5EF4-FFF2-40B4-BE49-F238E27FC236}">
                <a16:creationId xmlns:a16="http://schemas.microsoft.com/office/drawing/2014/main" id="{9DBD1E08-4C44-43F4-AFDA-B7F33FA48E81}"/>
              </a:ext>
            </a:extLst>
          </xdr:cNvPr>
          <xdr:cNvSpPr/>
        </xdr:nvSpPr>
        <xdr:spPr bwMode="auto">
          <a:xfrm>
            <a:off x="154799" y="10821053"/>
            <a:ext cx="18538013" cy="360000"/>
          </a:xfrm>
          <a:prstGeom prst="rect">
            <a:avLst/>
          </a:prstGeom>
          <a:solidFill>
            <a:schemeClr val="bg1">
              <a:lumMod val="75000"/>
            </a:schemeClr>
          </a:solidFill>
          <a:ln w="9525" cap="flat" cmpd="sng" algn="ctr">
            <a:noFill/>
            <a:prstDash val="solid"/>
            <a:round/>
            <a:headEnd type="none" w="med" len="med"/>
            <a:tailEnd type="none" w="med" len="med"/>
          </a:ln>
          <a:effectLst/>
        </xdr:spPr>
        <xdr:txBody>
          <a:bodyPr vertOverflow="clip" wrap="square" lIns="18288" tIns="0" rIns="0" bIns="0" rtlCol="0" anchor="ctr" upright="1"/>
          <a:lstStyle/>
          <a:p>
            <a:pPr algn="ctr"/>
            <a:r>
              <a:rPr lang="pt-BR" sz="1200" b="1" i="0">
                <a:latin typeface="Arial" panose="020B0604020202020204" pitchFamily="34" charset="0"/>
                <a:cs typeface="Arial" panose="020B0604020202020204" pitchFamily="34" charset="0"/>
              </a:rPr>
              <a:t>Figuras</a:t>
            </a:r>
            <a:endParaRPr lang="pt-BR" sz="1400" b="1" i="0"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</xdr:grpSp>
    <xdr:clientData/>
  </xdr:twoCellAnchor>
  <xdr:twoCellAnchor>
    <xdr:from>
      <xdr:col>0</xdr:col>
      <xdr:colOff>138802</xdr:colOff>
      <xdr:row>17</xdr:row>
      <xdr:rowOff>357836</xdr:rowOff>
    </xdr:from>
    <xdr:to>
      <xdr:col>7</xdr:col>
      <xdr:colOff>190878</xdr:colOff>
      <xdr:row>24</xdr:row>
      <xdr:rowOff>349798</xdr:rowOff>
    </xdr:to>
    <xdr:grpSp>
      <xdr:nvGrpSpPr>
        <xdr:cNvPr id="98" name="Group 97">
          <a:extLst>
            <a:ext uri="{FF2B5EF4-FFF2-40B4-BE49-F238E27FC236}">
              <a16:creationId xmlns:a16="http://schemas.microsoft.com/office/drawing/2014/main" id="{E40F63DB-66E5-FDBC-B7FF-6600EF467A22}"/>
            </a:ext>
          </a:extLst>
        </xdr:cNvPr>
        <xdr:cNvGrpSpPr/>
      </xdr:nvGrpSpPr>
      <xdr:grpSpPr>
        <a:xfrm>
          <a:off x="138802" y="6834836"/>
          <a:ext cx="10164451" cy="2658962"/>
          <a:chOff x="154800" y="5775190"/>
          <a:chExt cx="9719951" cy="2658962"/>
        </a:xfrm>
      </xdr:grpSpPr>
      <xdr:sp macro="" textlink="">
        <xdr:nvSpPr>
          <xdr:cNvPr id="23" name="Rectangle 22">
            <a:extLst>
              <a:ext uri="{FF2B5EF4-FFF2-40B4-BE49-F238E27FC236}">
                <a16:creationId xmlns:a16="http://schemas.microsoft.com/office/drawing/2014/main" id="{BAF2126D-EE8B-1E88-135E-6A3F383FAD42}"/>
              </a:ext>
            </a:extLst>
          </xdr:cNvPr>
          <xdr:cNvSpPr/>
        </xdr:nvSpPr>
        <xdr:spPr bwMode="auto">
          <a:xfrm>
            <a:off x="154800" y="5775190"/>
            <a:ext cx="9719951" cy="360000"/>
          </a:xfrm>
          <a:prstGeom prst="rect">
            <a:avLst/>
          </a:prstGeom>
          <a:solidFill>
            <a:schemeClr val="bg1">
              <a:lumMod val="75000"/>
            </a:schemeClr>
          </a:solidFill>
          <a:ln w="9525" cap="flat" cmpd="sng" algn="ctr">
            <a:noFill/>
            <a:prstDash val="solid"/>
            <a:round/>
            <a:headEnd type="none" w="med" len="med"/>
            <a:tailEnd type="none" w="med" len="med"/>
          </a:ln>
          <a:effectLst/>
        </xdr:spPr>
        <xdr:txBody>
          <a:bodyPr vertOverflow="clip" wrap="square" lIns="18288" tIns="0" rIns="0" bIns="0" rtlCol="0" anchor="ctr" upright="1"/>
          <a:lstStyle/>
          <a:p>
            <a:pPr algn="ctr"/>
            <a:r>
              <a:rPr lang="pt-BR" sz="1200" b="1" i="0">
                <a:latin typeface="Arial" panose="020B0604020202020204" pitchFamily="34" charset="0"/>
                <a:cs typeface="Arial" panose="020B0604020202020204" pitchFamily="34" charset="0"/>
              </a:rPr>
              <a:t>Conector</a:t>
            </a:r>
            <a:r>
              <a:rPr lang="pt-BR" sz="1200" b="1" i="0" baseline="0">
                <a:latin typeface="Arial" panose="020B0604020202020204" pitchFamily="34" charset="0"/>
                <a:cs typeface="Arial" panose="020B0604020202020204" pitchFamily="34" charset="0"/>
              </a:rPr>
              <a:t>/Adaptador</a:t>
            </a:r>
            <a:r>
              <a:rPr lang="pt-BR" sz="1200" b="1" i="0">
                <a:latin typeface="Arial" panose="020B0604020202020204" pitchFamily="34" charset="0"/>
                <a:cs typeface="Arial" panose="020B0604020202020204" pitchFamily="34" charset="0"/>
              </a:rPr>
              <a:t> - Equações</a:t>
            </a:r>
            <a:endParaRPr lang="pt-BR" sz="1400" b="1" i="0"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  <xdr:grpSp>
        <xdr:nvGrpSpPr>
          <xdr:cNvPr id="42" name="Group 41">
            <a:extLst>
              <a:ext uri="{FF2B5EF4-FFF2-40B4-BE49-F238E27FC236}">
                <a16:creationId xmlns:a16="http://schemas.microsoft.com/office/drawing/2014/main" id="{9DD41BD2-0CF5-87D3-C7DE-2E028A76E180}"/>
              </a:ext>
            </a:extLst>
          </xdr:cNvPr>
          <xdr:cNvGrpSpPr/>
        </xdr:nvGrpSpPr>
        <xdr:grpSpPr>
          <a:xfrm>
            <a:off x="178612" y="6238884"/>
            <a:ext cx="3550760" cy="924616"/>
            <a:chOff x="583386" y="7560470"/>
            <a:chExt cx="3550760" cy="924616"/>
          </a:xfrm>
        </xdr:grpSpPr>
        <xdr:pic>
          <xdr:nvPicPr>
            <xdr:cNvPr id="34" name="Picture 33">
              <a:extLst>
                <a:ext uri="{FF2B5EF4-FFF2-40B4-BE49-F238E27FC236}">
                  <a16:creationId xmlns:a16="http://schemas.microsoft.com/office/drawing/2014/main" id="{D3044CBE-A2A1-29D6-6889-154D5B46A26F}"/>
                </a:ext>
              </a:extLst>
            </xdr:cNvPr>
            <xdr:cNvPicPr>
              <a:picLocks noChangeAspect="1"/>
            </xdr:cNvPicPr>
          </xdr:nvPicPr>
          <xdr:blipFill rotWithShape="1">
            <a:blip xmlns:r="http://schemas.openxmlformats.org/officeDocument/2006/relationships" r:embed="rId10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 l="37495"/>
            <a:stretch/>
          </xdr:blipFill>
          <xdr:spPr>
            <a:xfrm>
              <a:off x="583386" y="7742032"/>
              <a:ext cx="3394058" cy="743054"/>
            </a:xfrm>
            <a:prstGeom prst="rect">
              <a:avLst/>
            </a:prstGeom>
          </xdr:spPr>
        </xdr:pic>
        <xdr:sp macro="" textlink="">
          <xdr:nvSpPr>
            <xdr:cNvPr id="39" name="Rectangle 38">
              <a:extLst>
                <a:ext uri="{FF2B5EF4-FFF2-40B4-BE49-F238E27FC236}">
                  <a16:creationId xmlns:a16="http://schemas.microsoft.com/office/drawing/2014/main" id="{EA854F6A-ABB3-4D14-8BE0-3F72E88C6D4D}"/>
                </a:ext>
              </a:extLst>
            </xdr:cNvPr>
            <xdr:cNvSpPr/>
          </xdr:nvSpPr>
          <xdr:spPr bwMode="auto">
            <a:xfrm>
              <a:off x="583405" y="7560470"/>
              <a:ext cx="3550741" cy="184331"/>
            </a:xfrm>
            <a:prstGeom prst="rect">
              <a:avLst/>
            </a:prstGeom>
            <a:solidFill>
              <a:srgbClr val="FFFFFF"/>
            </a:solidFill>
            <a:ln w="9525" cap="flat" cmpd="sng" algn="ctr">
              <a:noFill/>
              <a:prstDash val="solid"/>
              <a:round/>
              <a:headEnd type="none" w="med" len="med"/>
              <a:tailEnd type="none" w="med" len="med"/>
            </a:ln>
            <a:effectLst/>
          </xdr:spPr>
          <xdr:txBody>
            <a:bodyPr vertOverflow="clip" wrap="square" lIns="18288" tIns="0" rIns="0" bIns="0" rtlCol="0" anchor="ctr" upright="1"/>
            <a:lstStyle/>
            <a:p>
              <a:pPr algn="l"/>
              <a:r>
                <a:rPr lang="pt-BR" sz="1000" b="1" i="0">
                  <a:latin typeface="Arial" panose="020B0604020202020204" pitchFamily="34" charset="0"/>
                  <a:cs typeface="Arial" panose="020B0604020202020204" pitchFamily="34" charset="0"/>
                </a:rPr>
                <a:t>Equação 6</a:t>
              </a:r>
              <a:r>
                <a:rPr lang="pt-BR" sz="1000" b="1" i="0" baseline="0">
                  <a:latin typeface="Arial" panose="020B0604020202020204" pitchFamily="34" charset="0"/>
                  <a:cs typeface="Arial" panose="020B0604020202020204" pitchFamily="34" charset="0"/>
                </a:rPr>
                <a:t> - Rigidez Flexional</a:t>
              </a:r>
              <a:endParaRPr lang="pt-BR" sz="1000" b="1" i="0"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</xdr:grpSp>
      <xdr:grpSp>
        <xdr:nvGrpSpPr>
          <xdr:cNvPr id="43" name="Group 42">
            <a:extLst>
              <a:ext uri="{FF2B5EF4-FFF2-40B4-BE49-F238E27FC236}">
                <a16:creationId xmlns:a16="http://schemas.microsoft.com/office/drawing/2014/main" id="{7F52EF83-357C-EDFD-1142-38B4E38F0CF1}"/>
              </a:ext>
            </a:extLst>
          </xdr:cNvPr>
          <xdr:cNvGrpSpPr/>
        </xdr:nvGrpSpPr>
        <xdr:grpSpPr>
          <a:xfrm>
            <a:off x="5393531" y="6223414"/>
            <a:ext cx="3658379" cy="978189"/>
            <a:chOff x="4831537" y="7498557"/>
            <a:chExt cx="3658379" cy="978189"/>
          </a:xfrm>
        </xdr:grpSpPr>
        <xdr:pic>
          <xdr:nvPicPr>
            <xdr:cNvPr id="36" name="Picture 35">
              <a:extLst>
                <a:ext uri="{FF2B5EF4-FFF2-40B4-BE49-F238E27FC236}">
                  <a16:creationId xmlns:a16="http://schemas.microsoft.com/office/drawing/2014/main" id="{4D034F73-91D5-F828-0887-557ACD6EAAE7}"/>
                </a:ext>
              </a:extLst>
            </xdr:cNvPr>
            <xdr:cNvPicPr>
              <a:picLocks noChangeAspect="1"/>
            </xdr:cNvPicPr>
          </xdr:nvPicPr>
          <xdr:blipFill rotWithShape="1">
            <a:blip xmlns:r="http://schemas.openxmlformats.org/officeDocument/2006/relationships" r:embed="rId11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 l="34578"/>
            <a:stretch/>
          </xdr:blipFill>
          <xdr:spPr>
            <a:xfrm>
              <a:off x="4831537" y="7705113"/>
              <a:ext cx="3658379" cy="771633"/>
            </a:xfrm>
            <a:prstGeom prst="rect">
              <a:avLst/>
            </a:prstGeom>
          </xdr:spPr>
        </xdr:pic>
        <xdr:sp macro="" textlink="">
          <xdr:nvSpPr>
            <xdr:cNvPr id="40" name="Rectangle 39">
              <a:extLst>
                <a:ext uri="{FF2B5EF4-FFF2-40B4-BE49-F238E27FC236}">
                  <a16:creationId xmlns:a16="http://schemas.microsoft.com/office/drawing/2014/main" id="{51E0E709-3FAA-4142-AED8-00637D390AC2}"/>
                </a:ext>
              </a:extLst>
            </xdr:cNvPr>
            <xdr:cNvSpPr/>
          </xdr:nvSpPr>
          <xdr:spPr bwMode="auto">
            <a:xfrm>
              <a:off x="4831537" y="7498557"/>
              <a:ext cx="3550741" cy="184331"/>
            </a:xfrm>
            <a:prstGeom prst="rect">
              <a:avLst/>
            </a:prstGeom>
            <a:solidFill>
              <a:srgbClr val="FFFFFF"/>
            </a:solidFill>
            <a:ln w="9525" cap="flat" cmpd="sng" algn="ctr">
              <a:noFill/>
              <a:prstDash val="solid"/>
              <a:round/>
              <a:headEnd type="none" w="med" len="med"/>
              <a:tailEnd type="none" w="med" len="med"/>
            </a:ln>
            <a:effectLst/>
          </xdr:spPr>
          <xdr:txBody>
            <a:bodyPr vertOverflow="clip" wrap="square" lIns="18288" tIns="0" rIns="0" bIns="0" rtlCol="0" anchor="ctr" upright="1"/>
            <a:lstStyle/>
            <a:p>
              <a:pPr algn="l"/>
              <a:r>
                <a:rPr lang="pt-BR" sz="1000" b="1" i="0">
                  <a:latin typeface="Arial" panose="020B0604020202020204" pitchFamily="34" charset="0"/>
                  <a:cs typeface="Arial" panose="020B0604020202020204" pitchFamily="34" charset="0"/>
                </a:rPr>
                <a:t>Equação 7</a:t>
              </a:r>
              <a:r>
                <a:rPr lang="pt-BR" sz="1000" b="1" i="0" baseline="0">
                  <a:latin typeface="Arial" panose="020B0604020202020204" pitchFamily="34" charset="0"/>
                  <a:cs typeface="Arial" panose="020B0604020202020204" pitchFamily="34" charset="0"/>
                </a:rPr>
                <a:t> - Rigidez Axial</a:t>
              </a:r>
              <a:endParaRPr lang="pt-BR" sz="1000" b="1" i="0"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</xdr:grpSp>
      <xdr:grpSp>
        <xdr:nvGrpSpPr>
          <xdr:cNvPr id="97" name="Group 96">
            <a:extLst>
              <a:ext uri="{FF2B5EF4-FFF2-40B4-BE49-F238E27FC236}">
                <a16:creationId xmlns:a16="http://schemas.microsoft.com/office/drawing/2014/main" id="{3630EC52-17EE-8A0B-19F7-06ECA33B37E9}"/>
              </a:ext>
            </a:extLst>
          </xdr:cNvPr>
          <xdr:cNvGrpSpPr/>
        </xdr:nvGrpSpPr>
        <xdr:grpSpPr>
          <a:xfrm>
            <a:off x="166706" y="7329495"/>
            <a:ext cx="4822982" cy="1104657"/>
            <a:chOff x="154800" y="8329620"/>
            <a:chExt cx="4822982" cy="1104657"/>
          </a:xfrm>
        </xdr:grpSpPr>
        <xdr:sp macro="" textlink="">
          <xdr:nvSpPr>
            <xdr:cNvPr id="41" name="Rectangle 40">
              <a:extLst>
                <a:ext uri="{FF2B5EF4-FFF2-40B4-BE49-F238E27FC236}">
                  <a16:creationId xmlns:a16="http://schemas.microsoft.com/office/drawing/2014/main" id="{34449745-3C3A-4F89-8C4B-C25DF3591DA2}"/>
                </a:ext>
              </a:extLst>
            </xdr:cNvPr>
            <xdr:cNvSpPr/>
          </xdr:nvSpPr>
          <xdr:spPr bwMode="auto">
            <a:xfrm>
              <a:off x="154800" y="8329620"/>
              <a:ext cx="3550741" cy="184331"/>
            </a:xfrm>
            <a:prstGeom prst="rect">
              <a:avLst/>
            </a:prstGeom>
            <a:solidFill>
              <a:srgbClr val="FFFFFF"/>
            </a:solidFill>
            <a:ln w="9525" cap="flat" cmpd="sng" algn="ctr">
              <a:noFill/>
              <a:prstDash val="solid"/>
              <a:round/>
              <a:headEnd type="none" w="med" len="med"/>
              <a:tailEnd type="none" w="med" len="med"/>
            </a:ln>
            <a:effectLst/>
          </xdr:spPr>
          <xdr:txBody>
            <a:bodyPr vertOverflow="clip" wrap="square" lIns="18288" tIns="0" rIns="0" bIns="0" rtlCol="0" anchor="ctr" upright="1"/>
            <a:lstStyle/>
            <a:p>
              <a:pPr algn="l"/>
              <a:r>
                <a:rPr lang="pt-BR" sz="1000" b="1" i="0">
                  <a:latin typeface="Arial" panose="020B0604020202020204" pitchFamily="34" charset="0"/>
                  <a:cs typeface="Arial" panose="020B0604020202020204" pitchFamily="34" charset="0"/>
                </a:rPr>
                <a:t>Equação 8</a:t>
              </a:r>
              <a:r>
                <a:rPr lang="pt-BR" sz="1000" b="1" i="0" baseline="0">
                  <a:latin typeface="Arial" panose="020B0604020202020204" pitchFamily="34" charset="0"/>
                  <a:cs typeface="Arial" panose="020B0604020202020204" pitchFamily="34" charset="0"/>
                </a:rPr>
                <a:t> - Rigidez Torcional</a:t>
              </a:r>
              <a:endParaRPr lang="pt-BR" sz="1000" b="1" i="0"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  <xdr:grpSp>
          <xdr:nvGrpSpPr>
            <xdr:cNvPr id="96" name="Group 95">
              <a:extLst>
                <a:ext uri="{FF2B5EF4-FFF2-40B4-BE49-F238E27FC236}">
                  <a16:creationId xmlns:a16="http://schemas.microsoft.com/office/drawing/2014/main" id="{BC3CF2F4-861B-1C6C-DFF0-0FE70867E3A4}"/>
                </a:ext>
              </a:extLst>
            </xdr:cNvPr>
            <xdr:cNvGrpSpPr/>
          </xdr:nvGrpSpPr>
          <xdr:grpSpPr>
            <a:xfrm>
              <a:off x="261954" y="8539133"/>
              <a:ext cx="4715828" cy="895144"/>
              <a:chOff x="1262062" y="8539133"/>
              <a:chExt cx="4715828" cy="895144"/>
            </a:xfrm>
          </xdr:grpSpPr>
          <xdr:pic>
            <xdr:nvPicPr>
              <xdr:cNvPr id="38" name="Picture 37">
                <a:extLst>
                  <a:ext uri="{FF2B5EF4-FFF2-40B4-BE49-F238E27FC236}">
                    <a16:creationId xmlns:a16="http://schemas.microsoft.com/office/drawing/2014/main" id="{422BE13F-5851-5554-C95B-B7EFA9823B93}"/>
                  </a:ext>
                </a:extLst>
              </xdr:cNvPr>
              <xdr:cNvPicPr>
                <a:picLocks noChangeAspect="1"/>
              </xdr:cNvPicPr>
            </xdr:nvPicPr>
            <xdr:blipFill rotWithShape="1">
              <a:blip xmlns:r="http://schemas.openxmlformats.org/officeDocument/2006/relationships" r:embed="rId12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 l="32281"/>
              <a:stretch/>
            </xdr:blipFill>
            <xdr:spPr>
              <a:xfrm>
                <a:off x="1262062" y="8539133"/>
                <a:ext cx="4715828" cy="714475"/>
              </a:xfrm>
              <a:prstGeom prst="rect">
                <a:avLst/>
              </a:prstGeom>
            </xdr:spPr>
          </xdr:pic>
          <xdr:sp macro="" textlink="">
            <xdr:nvSpPr>
              <xdr:cNvPr id="94" name="TextBox 93">
                <a:extLst>
                  <a:ext uri="{FF2B5EF4-FFF2-40B4-BE49-F238E27FC236}">
                    <a16:creationId xmlns:a16="http://schemas.microsoft.com/office/drawing/2014/main" id="{4C565D6A-2B38-9C7D-4638-50E8FD10A139}"/>
                  </a:ext>
                </a:extLst>
              </xdr:cNvPr>
              <xdr:cNvSpPr txBox="1"/>
            </xdr:nvSpPr>
            <xdr:spPr>
              <a:xfrm>
                <a:off x="1500325" y="9179720"/>
                <a:ext cx="4239302" cy="254557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t">
                <a:spAutoFit/>
              </a:bodyPr>
              <a:lstStyle/>
              <a:p>
                <a:r>
                  <a:rPr lang="pt-BR" sz="1100">
                    <a:latin typeface="Arial" panose="020B0604020202020204" pitchFamily="34" charset="0"/>
                    <a:cs typeface="Arial" panose="020B0604020202020204" pitchFamily="34" charset="0"/>
                  </a:rPr>
                  <a:t>Nota:</a:t>
                </a:r>
                <a:r>
                  <a:rPr lang="pt-BR" sz="1100" baseline="0">
                    <a:latin typeface="Arial" panose="020B0604020202020204" pitchFamily="34" charset="0"/>
                    <a:cs typeface="Arial" panose="020B0604020202020204" pitchFamily="34" charset="0"/>
                  </a:rPr>
                  <a:t> v é o Coeficiente de Poisson e é igual a 0,3 conforme a ET.</a:t>
                </a:r>
                <a:endParaRPr lang="pt-BR" sz="1100">
                  <a:latin typeface="Arial" panose="020B0604020202020204" pitchFamily="34" charset="0"/>
                  <a:cs typeface="Arial" panose="020B0604020202020204" pitchFamily="34" charset="0"/>
                </a:endParaRPr>
              </a:p>
            </xdr:txBody>
          </xdr:sp>
        </xdr:grpSp>
      </xdr:grpSp>
    </xdr:grpSp>
    <xdr:clientData/>
  </xdr:twoCellAnchor>
  <xdr:oneCellAnchor>
    <xdr:from>
      <xdr:col>8</xdr:col>
      <xdr:colOff>0</xdr:colOff>
      <xdr:row>7</xdr:row>
      <xdr:rowOff>0</xdr:rowOff>
    </xdr:from>
    <xdr:ext cx="7667625" cy="254557"/>
    <xdr:sp macro="" textlink="">
      <xdr:nvSpPr>
        <xdr:cNvPr id="95" name="TextBox 94">
          <a:extLst>
            <a:ext uri="{FF2B5EF4-FFF2-40B4-BE49-F238E27FC236}">
              <a16:creationId xmlns:a16="http://schemas.microsoft.com/office/drawing/2014/main" id="{45F7176E-84FE-4BEA-88BE-EDB6C725B49B}"/>
            </a:ext>
          </a:extLst>
        </xdr:cNvPr>
        <xdr:cNvSpPr txBox="1"/>
      </xdr:nvSpPr>
      <xdr:spPr>
        <a:xfrm>
          <a:off x="11049000" y="2667000"/>
          <a:ext cx="7667625" cy="2545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pt-BR" sz="1100">
              <a:solidFill>
                <a:srgbClr val="FF0000"/>
              </a:solidFill>
              <a:latin typeface="Arial" panose="020B0604020202020204" pitchFamily="34" charset="0"/>
              <a:cs typeface="Arial" panose="020B0604020202020204" pitchFamily="34" charset="0"/>
            </a:rPr>
            <a:t>Nota: os</a:t>
          </a:r>
          <a:r>
            <a:rPr lang="pt-BR" sz="1100" baseline="0">
              <a:solidFill>
                <a:srgbClr val="FF0000"/>
              </a:solidFill>
              <a:latin typeface="Arial" panose="020B0604020202020204" pitchFamily="34" charset="0"/>
              <a:cs typeface="Arial" panose="020B0604020202020204" pitchFamily="34" charset="0"/>
            </a:rPr>
            <a:t> documentos podem ser atualizados com o tempo. Portanto, SEMPRE verifique a descrição das curvas!</a:t>
          </a:r>
          <a:endParaRPr lang="pt-BR" sz="1100">
            <a:solidFill>
              <a:srgbClr val="FF0000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oneCellAnchor>
  <xdr:twoCellAnchor>
    <xdr:from>
      <xdr:col>3</xdr:col>
      <xdr:colOff>1198457</xdr:colOff>
      <xdr:row>1</xdr:row>
      <xdr:rowOff>190500</xdr:rowOff>
    </xdr:from>
    <xdr:to>
      <xdr:col>6</xdr:col>
      <xdr:colOff>1154905</xdr:colOff>
      <xdr:row>8</xdr:row>
      <xdr:rowOff>13741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B1668080-763A-6EA1-C8C2-33AFD1CE8A1C}"/>
            </a:ext>
          </a:extLst>
        </xdr:cNvPr>
        <xdr:cNvGrpSpPr/>
      </xdr:nvGrpSpPr>
      <xdr:grpSpPr>
        <a:xfrm>
          <a:off x="5532332" y="571500"/>
          <a:ext cx="4290323" cy="2490241"/>
          <a:chOff x="5532332" y="571500"/>
          <a:chExt cx="4099823" cy="2490241"/>
        </a:xfrm>
      </xdr:grpSpPr>
      <xdr:pic>
        <xdr:nvPicPr>
          <xdr:cNvPr id="99" name="Picture 98">
            <a:extLst>
              <a:ext uri="{FF2B5EF4-FFF2-40B4-BE49-F238E27FC236}">
                <a16:creationId xmlns:a16="http://schemas.microsoft.com/office/drawing/2014/main" id="{FABEEBE1-7C97-130C-570A-C017898FDC87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584031" y="928686"/>
            <a:ext cx="3119438" cy="2133055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100" name="Rectangle 99">
            <a:extLst>
              <a:ext uri="{FF2B5EF4-FFF2-40B4-BE49-F238E27FC236}">
                <a16:creationId xmlns:a16="http://schemas.microsoft.com/office/drawing/2014/main" id="{93F6692E-A5B9-48F5-BF22-22036E6A4946}"/>
              </a:ext>
            </a:extLst>
          </xdr:cNvPr>
          <xdr:cNvSpPr/>
        </xdr:nvSpPr>
        <xdr:spPr bwMode="auto">
          <a:xfrm>
            <a:off x="5532332" y="571500"/>
            <a:ext cx="4099823" cy="166687"/>
          </a:xfrm>
          <a:prstGeom prst="rect">
            <a:avLst/>
          </a:prstGeom>
          <a:solidFill>
            <a:srgbClr val="FFFFFF"/>
          </a:solidFill>
          <a:ln w="9525" cap="flat" cmpd="sng" algn="ctr">
            <a:noFill/>
            <a:prstDash val="solid"/>
            <a:round/>
            <a:headEnd type="none" w="med" len="med"/>
            <a:tailEnd type="none" w="med" len="med"/>
          </a:ln>
          <a:effectLst/>
        </xdr:spPr>
        <xdr:txBody>
          <a:bodyPr vertOverflow="clip" wrap="square" lIns="18288" tIns="0" rIns="0" bIns="0" rtlCol="0" anchor="ctr" upright="1"/>
          <a:lstStyle/>
          <a:p>
            <a:pPr algn="l"/>
            <a:r>
              <a:rPr lang="pt-BR" sz="1000" b="1" i="0">
                <a:latin typeface="Arial" panose="020B0604020202020204" pitchFamily="34" charset="0"/>
                <a:cs typeface="Arial" panose="020B0604020202020204" pitchFamily="34" charset="0"/>
              </a:rPr>
              <a:t>Equação 3</a:t>
            </a:r>
            <a:r>
              <a:rPr lang="pt-BR" sz="1000" b="1" i="0" baseline="0">
                <a:latin typeface="Arial" panose="020B0604020202020204" pitchFamily="34" charset="0"/>
                <a:cs typeface="Arial" panose="020B0604020202020204" pitchFamily="34" charset="0"/>
              </a:rPr>
              <a:t> - Rigidez Axial a partir da deformação relativa</a:t>
            </a:r>
            <a:endParaRPr lang="pt-BR" sz="1000" b="1" i="0"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123825</xdr:colOff>
      <xdr:row>30</xdr:row>
      <xdr:rowOff>123825</xdr:rowOff>
    </xdr:from>
    <xdr:to>
      <xdr:col>0</xdr:col>
      <xdr:colOff>2571750</xdr:colOff>
      <xdr:row>31</xdr:row>
      <xdr:rowOff>171450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 bwMode="auto">
        <a:xfrm>
          <a:off x="123825" y="6255544"/>
          <a:ext cx="2447925" cy="297656"/>
        </a:xfrm>
        <a:prstGeom prst="rect">
          <a:avLst/>
        </a:prstGeom>
        <a:solidFill>
          <a:srgbClr val="FFFFFF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pt-BR" sz="1000" b="1" i="0" baseline="0">
              <a:latin typeface="Arial" panose="020B0604020202020204" pitchFamily="34" charset="0"/>
              <a:cs typeface="Arial" panose="020B0604020202020204" pitchFamily="34" charset="0"/>
            </a:rPr>
            <a:t>Para vértebra PU, ver a aba Consulta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56353</xdr:colOff>
      <xdr:row>0</xdr:row>
      <xdr:rowOff>236428</xdr:rowOff>
    </xdr:from>
    <xdr:to>
      <xdr:col>7</xdr:col>
      <xdr:colOff>704931</xdr:colOff>
      <xdr:row>13</xdr:row>
      <xdr:rowOff>211138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5123"/>
        <a:stretch/>
      </xdr:blipFill>
      <xdr:spPr>
        <a:xfrm>
          <a:off x="6188072" y="236428"/>
          <a:ext cx="4387140" cy="3379898"/>
        </a:xfrm>
        <a:prstGeom prst="rect">
          <a:avLst/>
        </a:prstGeom>
      </xdr:spPr>
    </xdr:pic>
    <xdr:clientData/>
  </xdr:twoCellAnchor>
  <xdr:twoCellAnchor editAs="oneCell">
    <xdr:from>
      <xdr:col>5</xdr:col>
      <xdr:colOff>404815</xdr:colOff>
      <xdr:row>16</xdr:row>
      <xdr:rowOff>11907</xdr:rowOff>
    </xdr:from>
    <xdr:to>
      <xdr:col>8</xdr:col>
      <xdr:colOff>754021</xdr:colOff>
      <xdr:row>33</xdr:row>
      <xdr:rowOff>134450</xdr:rowOff>
    </xdr:to>
    <xdr:pic>
      <xdr:nvPicPr>
        <xdr:cNvPr id="3" name="Picture 1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7310440" y="4012407"/>
          <a:ext cx="3932987" cy="5485118"/>
        </a:xfrm>
        <a:prstGeom prst="rect">
          <a:avLst/>
        </a:prstGeom>
        <a:noFill/>
        <a:ln>
          <a:solidFill>
            <a:schemeClr val="accent1"/>
          </a:solidFill>
        </a:ln>
      </xdr:spPr>
    </xdr:pic>
    <xdr:clientData/>
  </xdr:twoCellAnchor>
  <xdr:oneCellAnchor>
    <xdr:from>
      <xdr:col>9</xdr:col>
      <xdr:colOff>794</xdr:colOff>
      <xdr:row>26</xdr:row>
      <xdr:rowOff>84359</xdr:rowOff>
    </xdr:from>
    <xdr:ext cx="5749925" cy="655949"/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681D246C-3C11-F68E-2F6C-1BC7985D827D}"/>
            </a:ext>
          </a:extLst>
        </xdr:cNvPr>
        <xdr:cNvSpPr txBox="1"/>
      </xdr:nvSpPr>
      <xdr:spPr>
        <a:xfrm>
          <a:off x="12108127" y="6434359"/>
          <a:ext cx="5749925" cy="655949"/>
        </a:xfrm>
        <a:prstGeom prst="rect">
          <a:avLst/>
        </a:prstGeom>
        <a:solidFill>
          <a:srgbClr val="FFFFCC"/>
        </a:solidFill>
        <a:ln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pt-BR" sz="1200" b="1">
              <a:solidFill>
                <a:srgbClr val="FF0000"/>
              </a:solidFill>
            </a:rPr>
            <a:t>Não</a:t>
          </a:r>
          <a:r>
            <a:rPr lang="pt-BR" sz="1200" b="1" baseline="0">
              <a:solidFill>
                <a:srgbClr val="FF0000"/>
              </a:solidFill>
            </a:rPr>
            <a:t> deixar linhas em branco na tabela acima!</a:t>
          </a:r>
          <a:br>
            <a:rPr lang="pt-BR" sz="1200" b="1" baseline="0">
              <a:solidFill>
                <a:srgbClr val="FF0000"/>
              </a:solidFill>
            </a:rPr>
          </a:br>
          <a:r>
            <a:rPr lang="pt-BR" sz="1200" b="1" baseline="0">
              <a:solidFill>
                <a:srgbClr val="FF0000"/>
              </a:solidFill>
            </a:rPr>
            <a:t>Caso necessário, duplicar os valores "Dist. Vert" e adicionar um novo valor para "Dist. Hor."</a:t>
          </a:r>
          <a:endParaRPr lang="pt-BR" sz="1200" b="1">
            <a:solidFill>
              <a:srgbClr val="FF0000"/>
            </a:solidFill>
          </a:endParaRPr>
        </a:p>
      </xdr:txBody>
    </xdr:sp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47624</xdr:colOff>
      <xdr:row>8</xdr:row>
      <xdr:rowOff>117088</xdr:rowOff>
    </xdr:from>
    <xdr:to>
      <xdr:col>3</xdr:col>
      <xdr:colOff>830731</xdr:colOff>
      <xdr:row>11</xdr:row>
      <xdr:rowOff>41156</xdr:rowOff>
    </xdr:to>
    <xdr:sp macro="[0]!InterpolateStiffCurve" textlink="">
      <xdr:nvSpPr>
        <xdr:cNvPr id="2" name="Rectangle 1" descr="&#10;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 bwMode="auto">
        <a:xfrm>
          <a:off x="166687" y="1831588"/>
          <a:ext cx="2545232" cy="257443"/>
        </a:xfrm>
        <a:prstGeom prst="rect">
          <a:avLst/>
        </a:prstGeom>
        <a:solidFill>
          <a:schemeClr val="bg1">
            <a:lumMod val="95000"/>
          </a:schemeClr>
        </a:solidFill>
        <a:ln w="19050" cap="flat" cmpd="sng" algn="ctr">
          <a:solidFill>
            <a:schemeClr val="tx1"/>
          </a:solidFill>
          <a:prstDash val="solid"/>
          <a:round/>
          <a:headEnd type="none" w="med" len="med"/>
          <a:tailEnd type="none" w="med" len="med"/>
        </a:ln>
        <a:effectLst/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txBody>
        <a:bodyPr vertOverflow="clip" wrap="square" lIns="18288" tIns="0" rIns="0" bIns="0" rtlCol="0" anchor="ctr" upright="1"/>
        <a:lstStyle/>
        <a:p>
          <a:pPr algn="ctr"/>
          <a:r>
            <a:rPr lang="pt-BR" sz="1100" b="0" baseline="0">
              <a:latin typeface="Arial" panose="020B0604020202020204" pitchFamily="34" charset="0"/>
              <a:cs typeface="Arial" panose="020B0604020202020204" pitchFamily="34" charset="0"/>
            </a:rPr>
            <a:t>Obter pontos de TODAS as Curvas</a:t>
          </a:r>
        </a:p>
      </xdr:txBody>
    </xdr:sp>
    <xdr:clientData/>
  </xdr:twoCellAnchor>
  <xdr:twoCellAnchor>
    <xdr:from>
      <xdr:col>4</xdr:col>
      <xdr:colOff>379147</xdr:colOff>
      <xdr:row>2</xdr:row>
      <xdr:rowOff>6803</xdr:rowOff>
    </xdr:from>
    <xdr:to>
      <xdr:col>6</xdr:col>
      <xdr:colOff>1341438</xdr:colOff>
      <xdr:row>13</xdr:row>
      <xdr:rowOff>143579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372341</xdr:colOff>
      <xdr:row>2</xdr:row>
      <xdr:rowOff>8662</xdr:rowOff>
    </xdr:from>
    <xdr:to>
      <xdr:col>13</xdr:col>
      <xdr:colOff>1352550</xdr:colOff>
      <xdr:row>13</xdr:row>
      <xdr:rowOff>161926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372341</xdr:colOff>
      <xdr:row>2</xdr:row>
      <xdr:rowOff>8661</xdr:rowOff>
    </xdr:from>
    <xdr:to>
      <xdr:col>20</xdr:col>
      <xdr:colOff>1343025</xdr:colOff>
      <xdr:row>13</xdr:row>
      <xdr:rowOff>161925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495300</xdr:colOff>
          <xdr:row>2</xdr:row>
          <xdr:rowOff>31750</xdr:rowOff>
        </xdr:from>
        <xdr:to>
          <xdr:col>4</xdr:col>
          <xdr:colOff>2819400</xdr:colOff>
          <xdr:row>4</xdr:row>
          <xdr:rowOff>152400</xdr:rowOff>
        </xdr:to>
        <xdr:sp macro="" textlink="">
          <xdr:nvSpPr>
            <xdr:cNvPr id="128001" name="Button 1" hidden="1">
              <a:extLst>
                <a:ext uri="{63B3BB69-23CF-44E3-9099-C40C66FF867C}">
                  <a14:compatExt spid="_x0000_s128001"/>
                </a:ext>
                <a:ext uri="{FF2B5EF4-FFF2-40B4-BE49-F238E27FC236}">
                  <a16:creationId xmlns:a16="http://schemas.microsoft.com/office/drawing/2014/main" id="{00000000-0008-0000-0600-000001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RIGIDEZ </a:t>
              </a:r>
            </a:p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(SOMENTE SE NÃO FOR UEH)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21</xdr:col>
      <xdr:colOff>25401</xdr:colOff>
      <xdr:row>65</xdr:row>
      <xdr:rowOff>127000</xdr:rowOff>
    </xdr:from>
    <xdr:ext cx="2908300" cy="447675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D50A9A8F-E765-1ECC-6FC3-76C8E90745A0}"/>
            </a:ext>
          </a:extLst>
        </xdr:cNvPr>
        <xdr:cNvSpPr txBox="1"/>
      </xdr:nvSpPr>
      <xdr:spPr>
        <a:xfrm>
          <a:off x="19665951" y="11404600"/>
          <a:ext cx="2908300" cy="447675"/>
        </a:xfrm>
        <a:prstGeom prst="rect">
          <a:avLst/>
        </a:prstGeom>
        <a:solidFill>
          <a:srgbClr val="FFFFCC"/>
        </a:solidFill>
        <a:ln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100"/>
            <a:t>O</a:t>
          </a:r>
          <a:r>
            <a:rPr lang="pt-BR" sz="1100" baseline="0"/>
            <a:t>s scripts python buscam a tabela Arquivos!</a:t>
          </a:r>
          <a:br>
            <a:rPr lang="pt-BR" sz="1100" baseline="0"/>
          </a:br>
          <a:r>
            <a:rPr lang="pt-BR" sz="1100" baseline="0"/>
            <a:t>NÃO altere a coluna "python_keys"</a:t>
          </a:r>
          <a:endParaRPr lang="pt-BR" sz="1100"/>
        </a:p>
      </xdr:txBody>
    </xdr:sp>
    <xdr:clientData/>
  </xdr:oneCellAnchor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12700</xdr:colOff>
          <xdr:row>11</xdr:row>
          <xdr:rowOff>190500</xdr:rowOff>
        </xdr:from>
        <xdr:to>
          <xdr:col>3</xdr:col>
          <xdr:colOff>2127250</xdr:colOff>
          <xdr:row>14</xdr:row>
          <xdr:rowOff>12700</xdr:rowOff>
        </xdr:to>
        <xdr:sp macro="" textlink="">
          <xdr:nvSpPr>
            <xdr:cNvPr id="3114" name="Button 42" hidden="1">
              <a:extLst>
                <a:ext uri="{63B3BB69-23CF-44E3-9099-C40C66FF867C}">
                  <a14:compatExt spid="_x0000_s3114"/>
                </a:ext>
                <a:ext uri="{FF2B5EF4-FFF2-40B4-BE49-F238E27FC236}">
                  <a16:creationId xmlns:a16="http://schemas.microsoft.com/office/drawing/2014/main" id="{00000000-0008-0000-0E00-00002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Gerar Relatório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12700</xdr:colOff>
          <xdr:row>8</xdr:row>
          <xdr:rowOff>190500</xdr:rowOff>
        </xdr:from>
        <xdr:to>
          <xdr:col>3</xdr:col>
          <xdr:colOff>2127250</xdr:colOff>
          <xdr:row>11</xdr:row>
          <xdr:rowOff>0</xdr:rowOff>
        </xdr:to>
        <xdr:sp macro="" textlink="">
          <xdr:nvSpPr>
            <xdr:cNvPr id="3115" name="Button 43" hidden="1">
              <a:extLst>
                <a:ext uri="{63B3BB69-23CF-44E3-9099-C40C66FF867C}">
                  <a14:compatExt spid="_x0000_s3115"/>
                </a:ext>
                <a:ext uri="{FF2B5EF4-FFF2-40B4-BE49-F238E27FC236}">
                  <a16:creationId xmlns:a16="http://schemas.microsoft.com/office/drawing/2014/main" id="{00000000-0008-0000-0E00-00002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Pós-Processamento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12700</xdr:colOff>
          <xdr:row>6</xdr:row>
          <xdr:rowOff>0</xdr:rowOff>
        </xdr:from>
        <xdr:to>
          <xdr:col>3</xdr:col>
          <xdr:colOff>2127250</xdr:colOff>
          <xdr:row>8</xdr:row>
          <xdr:rowOff>12700</xdr:rowOff>
        </xdr:to>
        <xdr:sp macro="" textlink="">
          <xdr:nvSpPr>
            <xdr:cNvPr id="3146" name="Button 74" hidden="1">
              <a:extLst>
                <a:ext uri="{63B3BB69-23CF-44E3-9099-C40C66FF867C}">
                  <a14:compatExt spid="_x0000_s3146"/>
                </a:ext>
                <a:ext uri="{FF2B5EF4-FFF2-40B4-BE49-F238E27FC236}">
                  <a16:creationId xmlns:a16="http://schemas.microsoft.com/office/drawing/2014/main" id="{00000000-0008-0000-0E00-00004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Gerar Casos 4 e 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12700</xdr:colOff>
          <xdr:row>2</xdr:row>
          <xdr:rowOff>203200</xdr:rowOff>
        </xdr:from>
        <xdr:to>
          <xdr:col>3</xdr:col>
          <xdr:colOff>2127250</xdr:colOff>
          <xdr:row>5</xdr:row>
          <xdr:rowOff>12700</xdr:rowOff>
        </xdr:to>
        <xdr:sp macro="" textlink="">
          <xdr:nvSpPr>
            <xdr:cNvPr id="3156" name="Button 84" hidden="1">
              <a:extLst>
                <a:ext uri="{63B3BB69-23CF-44E3-9099-C40C66FF867C}">
                  <a14:compatExt spid="_x0000_s3156"/>
                </a:ext>
                <a:ext uri="{FF2B5EF4-FFF2-40B4-BE49-F238E27FC236}">
                  <a16:creationId xmlns:a16="http://schemas.microsoft.com/office/drawing/2014/main" id="{00000000-0008-0000-0E00-00005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Gerar Cont e Layaway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111125</xdr:colOff>
      <xdr:row>35</xdr:row>
      <xdr:rowOff>142876</xdr:rowOff>
    </xdr:from>
    <xdr:to>
      <xdr:col>1</xdr:col>
      <xdr:colOff>2424629</xdr:colOff>
      <xdr:row>50</xdr:row>
      <xdr:rowOff>30615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A8E31C63-B05C-43AD-9CE4-E7722731D485}"/>
            </a:ext>
          </a:extLst>
        </xdr:cNvPr>
        <xdr:cNvGrpSpPr/>
      </xdr:nvGrpSpPr>
      <xdr:grpSpPr>
        <a:xfrm>
          <a:off x="111125" y="8199439"/>
          <a:ext cx="5147192" cy="3340551"/>
          <a:chOff x="13533974" y="6215043"/>
          <a:chExt cx="4083634" cy="3097866"/>
        </a:xfrm>
      </xdr:grpSpPr>
      <xdr:pic>
        <xdr:nvPicPr>
          <xdr:cNvPr id="6" name="Picture 5">
            <a:extLst>
              <a:ext uri="{FF2B5EF4-FFF2-40B4-BE49-F238E27FC236}">
                <a16:creationId xmlns:a16="http://schemas.microsoft.com/office/drawing/2014/main" id="{2F02041A-190F-E698-DB19-294198477C1E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"/>
          <a:srcRect l="7058" t="3825"/>
          <a:stretch/>
        </xdr:blipFill>
        <xdr:spPr>
          <a:xfrm>
            <a:off x="13533974" y="6238850"/>
            <a:ext cx="4083634" cy="3074059"/>
          </a:xfrm>
          <a:prstGeom prst="rect">
            <a:avLst/>
          </a:prstGeom>
          <a:ln w="3175">
            <a:solidFill>
              <a:schemeClr val="tx1"/>
            </a:solidFill>
          </a:ln>
        </xdr:spPr>
      </xdr:pic>
      <xdr:sp macro="" textlink="">
        <xdr:nvSpPr>
          <xdr:cNvPr id="7" name="TextBox 6">
            <a:extLst>
              <a:ext uri="{FF2B5EF4-FFF2-40B4-BE49-F238E27FC236}">
                <a16:creationId xmlns:a16="http://schemas.microsoft.com/office/drawing/2014/main" id="{1D998595-E360-9556-CFF4-C644EB3C5CA8}"/>
              </a:ext>
            </a:extLst>
          </xdr:cNvPr>
          <xdr:cNvSpPr txBox="1"/>
        </xdr:nvSpPr>
        <xdr:spPr>
          <a:xfrm>
            <a:off x="15522772" y="6215043"/>
            <a:ext cx="1101417" cy="234424"/>
          </a:xfrm>
          <a:prstGeom prst="rect">
            <a:avLst/>
          </a:prstGeom>
          <a:noFill/>
          <a:ln w="3175"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pt-BR" sz="1000" b="1">
                <a:latin typeface="Arial" panose="020B0604020202020204" pitchFamily="34" charset="0"/>
                <a:cs typeface="Arial" panose="020B0604020202020204" pitchFamily="34" charset="0"/>
              </a:rPr>
              <a:t>Cotas da Dragagem</a:t>
            </a:r>
          </a:p>
        </xdr:txBody>
      </xdr:sp>
    </xdr:grp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992187</xdr:colOff>
      <xdr:row>5</xdr:row>
      <xdr:rowOff>95251</xdr:rowOff>
    </xdr:from>
    <xdr:to>
      <xdr:col>4</xdr:col>
      <xdr:colOff>739775</xdr:colOff>
      <xdr:row>6</xdr:row>
      <xdr:rowOff>190501</xdr:rowOff>
    </xdr:to>
    <xdr:sp macro="" textlink="">
      <xdr:nvSpPr>
        <xdr:cNvPr id="3" name="Callout: Line 2">
          <a:extLst>
            <a:ext uri="{FF2B5EF4-FFF2-40B4-BE49-F238E27FC236}">
              <a16:creationId xmlns:a16="http://schemas.microsoft.com/office/drawing/2014/main" id="{00000000-0008-0000-1800-000003000000}"/>
            </a:ext>
          </a:extLst>
        </xdr:cNvPr>
        <xdr:cNvSpPr/>
      </xdr:nvSpPr>
      <xdr:spPr>
        <a:xfrm>
          <a:off x="4556125" y="1047751"/>
          <a:ext cx="1327150" cy="285750"/>
        </a:xfrm>
        <a:prstGeom prst="borderCallout1">
          <a:avLst>
            <a:gd name="adj1" fmla="val 121381"/>
            <a:gd name="adj2" fmla="val 107253"/>
            <a:gd name="adj3" fmla="val 40195"/>
            <a:gd name="adj4" fmla="val 99763"/>
          </a:avLst>
        </a:prstGeom>
        <a:ln w="3175">
          <a:prstDash val="dash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Colar tabela RL aqui</a:t>
          </a:r>
        </a:p>
      </xdr:txBody>
    </xdr:sp>
    <xdr:clientData/>
  </xdr:twoCellAnchor>
  <xdr:oneCellAnchor>
    <xdr:from>
      <xdr:col>3</xdr:col>
      <xdr:colOff>182562</xdr:colOff>
      <xdr:row>1</xdr:row>
      <xdr:rowOff>71438</xdr:rowOff>
    </xdr:from>
    <xdr:ext cx="4849018" cy="815976"/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FBFFA068-07E8-43B2-B2AC-A59B32C27312}"/>
            </a:ext>
          </a:extLst>
        </xdr:cNvPr>
        <xdr:cNvSpPr txBox="1"/>
      </xdr:nvSpPr>
      <xdr:spPr>
        <a:xfrm>
          <a:off x="3746500" y="230188"/>
          <a:ext cx="4849018" cy="815976"/>
        </a:xfrm>
        <a:prstGeom prst="rect">
          <a:avLst/>
        </a:prstGeom>
        <a:solidFill>
          <a:srgbClr val="FFFFCC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Atenção sobre os dados do Caso3</a:t>
          </a:r>
        </a:p>
        <a:p>
          <a:pPr algn="ctr"/>
          <a:endParaRPr lang="pt-BR" sz="1000" b="1">
            <a:latin typeface="Arial" panose="020B0604020202020204" pitchFamily="34" charset="0"/>
            <a:cs typeface="Arial" panose="020B0604020202020204" pitchFamily="34" charset="0"/>
          </a:endParaRPr>
        </a:p>
        <a:p>
          <a:pPr algn="ctr"/>
          <a:r>
            <a:rPr lang="pt-BR" sz="1000">
              <a:latin typeface="Arial" panose="020B0604020202020204" pitchFamily="34" charset="0"/>
              <a:cs typeface="Arial" panose="020B0604020202020204" pitchFamily="34" charset="0"/>
            </a:rPr>
            <a:t>Resultados</a:t>
          </a:r>
          <a:r>
            <a:rPr lang="pt-BR" sz="1000" baseline="0">
              <a:latin typeface="Arial" panose="020B0604020202020204" pitchFamily="34" charset="0"/>
              <a:cs typeface="Arial" panose="020B0604020202020204" pitchFamily="34" charset="0"/>
            </a:rPr>
            <a:t> preliminares: Arquivo "Dinamico.sim" - Tempo de simulação menor</a:t>
          </a:r>
        </a:p>
        <a:p>
          <a:pPr algn="ctr"/>
          <a:r>
            <a:rPr lang="pt-BR" sz="1000" baseline="0">
              <a:latin typeface="Arial" panose="020B0604020202020204" pitchFamily="34" charset="0"/>
              <a:cs typeface="Arial" panose="020B0604020202020204" pitchFamily="34" charset="0"/>
            </a:rPr>
            <a:t>Resultados finais: Arquivo "Caso3_lançamento.sim" </a:t>
          </a:r>
          <a:r>
            <a:rPr lang="pt-BR" sz="1000" baseline="0">
              <a:solidFill>
                <a:schemeClr val="tx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- Tempo de simulação maior</a:t>
          </a:r>
          <a:endParaRPr lang="pt-BR" sz="10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one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11641</xdr:colOff>
      <xdr:row>7</xdr:row>
      <xdr:rowOff>21168</xdr:rowOff>
    </xdr:from>
    <xdr:to>
      <xdr:col>15</xdr:col>
      <xdr:colOff>278340</xdr:colOff>
      <xdr:row>7</xdr:row>
      <xdr:rowOff>486834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896DEAF1-F389-6E63-6A38-E072E24E2F28}"/>
            </a:ext>
          </a:extLst>
        </xdr:cNvPr>
        <xdr:cNvSpPr txBox="1"/>
      </xdr:nvSpPr>
      <xdr:spPr>
        <a:xfrm>
          <a:off x="6308724" y="2688168"/>
          <a:ext cx="4690533" cy="465666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 baseline="0"/>
            <a:t>A coluna "Documento de referência" deve ser alterada manualmente se a referência for um Patec ou outro documento.</a:t>
          </a:r>
          <a:endParaRPr lang="pt-BR" sz="1100"/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94C913EC-576A-4F33-AEED-236D2C49ECD5}" name="data_seabed_profile" displayName="data_seabed_profile" ref="J22:L26" totalsRowShown="0" headerRowDxfId="75" headerRowBorderDxfId="74" tableBorderDxfId="73" headerRowCellStyle="Normal 2">
  <autoFilter ref="J22:L26" xr:uid="{94C913EC-576A-4F33-AEED-236D2C49ECD5}"/>
  <tableColumns count="3">
    <tableColumn id="1" xr3:uid="{B1997E9A-7F1F-43B5-A872-6CEF0C139303}" name="Dist. Hor." dataDxfId="72" dataCellStyle="Good"/>
    <tableColumn id="2" xr3:uid="{FF12B8C9-3B8F-4622-A7D9-92C37E8D8021}" name="Dist. Vert." dataDxfId="71" dataCellStyle="Good"/>
    <tableColumn id="3" xr3:uid="{FB98C726-CFB7-427F-8BF2-E764ECAC037E}" name="Profundidade" dataDxfId="70" dataCellStyle="Normal 2">
      <calculatedColumnFormula>IF(OR(K23=0,K23=""),$L22,$L$23+((K23/1000)-($K$23/1000)))</calculatedColumnFormula>
    </tableColumn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21B201E2-04A9-47B4-8BD6-C434A82A12C8}" name="tbl_new_bs_curve_lan" displayName="tbl_new_bs_curve_lan" ref="F17:G57" totalsRowShown="0" headerRowDxfId="107" headerRowBorderDxfId="106" tableBorderDxfId="105" headerRowCellStyle="Normal 2">
  <autoFilter ref="F17:G57" xr:uid="{21B201E2-04A9-47B4-8BD6-C434A82A12C8}"/>
  <tableColumns count="2">
    <tableColumn id="1" xr3:uid="{4F99C78C-B603-4C89-B741-259F9A98641B}" name="IndependentValue" dataDxfId="104"/>
    <tableColumn id="2" xr3:uid="{979F8B6B-435A-4D64-97E9-34460D59EFA5}" name="DependentValue" dataDxfId="103" dataCellStyle="Normal 2"/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7712883E-BA1C-4C6F-B0E2-BF6BEB9C383E}" name="tbl_new_bs_curve_hid" displayName="tbl_new_bs_curve_hid" ref="M17:N57" totalsRowShown="0" headerRowDxfId="102" headerRowBorderDxfId="101" tableBorderDxfId="100" headerRowCellStyle="Normal 2">
  <autoFilter ref="M17:N57" xr:uid="{7712883E-BA1C-4C6F-B0E2-BF6BEB9C383E}"/>
  <tableColumns count="2">
    <tableColumn id="1" xr3:uid="{B2E94BD0-B7EF-4EB0-B5D0-D62DC35B30B5}" name="IndependentValue" dataDxfId="99"/>
    <tableColumn id="2" xr3:uid="{D10F628A-D36C-4CBB-A346-ADDB69704EAD}" name="DependentValue" dataDxfId="98" dataCellStyle="Normal 2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7A15E28E-DD93-4176-B0AD-C6AB60BBAA71}" name="tbl_new_bs_curve_ope" displayName="tbl_new_bs_curve_ope" ref="T17:U57" totalsRowShown="0" headerRowDxfId="97" headerRowBorderDxfId="96" tableBorderDxfId="95" headerRowCellStyle="Normal 2">
  <autoFilter ref="T17:U57" xr:uid="{7A15E28E-DD93-4176-B0AD-C6AB60BBAA71}"/>
  <tableColumns count="2">
    <tableColumn id="1" xr3:uid="{188EDCF1-1458-4ECF-803A-8AC45944AE6A}" name="IndependentValue" dataDxfId="94"/>
    <tableColumn id="2" xr3:uid="{07D236F5-0513-4C99-8657-FAFED9EE4B93}" name="DependentValue" dataDxfId="93" dataCellStyle="Normal 2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84F2EAFB-7C2D-4EB5-9031-723075000E0D}" name="tbl_bs_bend_restrictor" displayName="tbl_bs_bend_restrictor" ref="W17:X20" totalsRowShown="0" headerRowDxfId="92" headerRowBorderDxfId="91" tableBorderDxfId="90" headerRowCellStyle="Normal 2">
  <autoFilter ref="W17:X20" xr:uid="{84F2EAFB-7C2D-4EB5-9031-723075000E0D}"/>
  <tableColumns count="2">
    <tableColumn id="1" xr3:uid="{75B8ECF0-829C-4DFA-8337-EF71791B1A0B}" name="IndependentValue"/>
    <tableColumn id="2" xr3:uid="{B9C6947C-730A-4D1D-BB84-69652B7AC889}" name="DependentValue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FDB06F4C-C7A1-4C90-BB0F-E5B8F430B9D0}" name="tbl_original_bs_curve_lan" displayName="tbl_original_bs_curve_lan" ref="B17:D1267" totalsRowShown="0" headerRowBorderDxfId="89" tableBorderDxfId="88">
  <autoFilter ref="B17:D1267" xr:uid="{FDB06F4C-C7A1-4C90-BB0F-E5B8F430B9D0}"/>
  <tableColumns count="3">
    <tableColumn id="1" xr3:uid="{85A0647E-33CF-4843-97BE-D3D0A946CE6A}" name="Curvature _x000a_[1/m]" dataDxfId="87" dataCellStyle="Normal 2 10"/>
    <tableColumn id="2" xr3:uid="{477A6253-F977-4937-A358-B60590EB1D1D}" name="BM _x000a_[N.m]" dataDxfId="86" dataCellStyle="Normal 2 10"/>
    <tableColumn id="3" xr3:uid="{CF80DF08-8E31-4734-9B81-F0FAD68FE41D}" name="BM _x000a_[kN.m]" dataDxfId="85" dataCellStyle="Normal 2">
      <calculatedColumnFormula>C18/1000</calculatedColumnFormula>
    </tableColumn>
  </tableColumns>
  <tableStyleInfo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1779F542-C7EC-4356-814C-588629F033C3}" name="tbl_original_bs_curve_hid" displayName="tbl_original_bs_curve_hid" ref="I17:K1267" totalsRowShown="0" tableBorderDxfId="84">
  <autoFilter ref="I17:K1267" xr:uid="{1779F542-C7EC-4356-814C-588629F033C3}"/>
  <tableColumns count="3">
    <tableColumn id="1" xr3:uid="{2EB731C5-8A0B-4149-856E-33D13346EE4C}" name="Curvature _x000a_[1/m]" dataDxfId="83" dataCellStyle="Normal 2 10"/>
    <tableColumn id="2" xr3:uid="{B3A67AF3-8E3A-42C6-A495-A72FCDDBC24C}" name="BM _x000a_[N.m]" dataDxfId="82" dataCellStyle="Normal 2 10"/>
    <tableColumn id="3" xr3:uid="{DA412758-B79D-4EE0-96A2-AD23794F0DBD}" name="BM _x000a_[kN.m]" dataDxfId="81" dataCellStyle="Normal 2">
      <calculatedColumnFormula>J18/1000</calculatedColumnFormula>
    </tableColumn>
  </tableColumns>
  <tableStyleInfo name="TableStyleMedium9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ADA78353-4D2C-45C3-82AD-05CFB86E95E5}" name="tbl_original_bs_curve_ope" displayName="tbl_original_bs_curve_ope" ref="P17:R1267" totalsRowShown="0" headerRowBorderDxfId="80" tableBorderDxfId="79">
  <autoFilter ref="P17:R1267" xr:uid="{ADA78353-4D2C-45C3-82AD-05CFB86E95E5}"/>
  <tableColumns count="3">
    <tableColumn id="1" xr3:uid="{DC2B636C-167A-4F9C-9A66-B4FDF44909FE}" name="Curvature _x000a_[1/m]" dataDxfId="78" dataCellStyle="Normal 2 10"/>
    <tableColumn id="2" xr3:uid="{A67605FC-59DC-4787-BEE1-5A1B5E84F5E1}" name="BM _x000a_[N.m]" dataDxfId="77" dataCellStyle="Normal 2 10"/>
    <tableColumn id="3" xr3:uid="{0D179C8D-DEA5-44DC-8DE4-4DB1678354DA}" name="BM _x000a_[kN.m]" dataDxfId="76" dataCellStyle="Normal 2">
      <calculatedColumnFormula>Q18/1000</calculatedColumnFormula>
    </tableColumn>
  </tableColumns>
  <tableStyleInfo name="TableStyleMedium9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8A9DCD5-6E92-45F0-9DF6-D6D2E96A69D3}" name="tbl_buoyancy" displayName="tbl_buoyancy" ref="AA5:AB55" totalsRowShown="0" headerRowDxfId="69" dataDxfId="67" headerRowBorderDxfId="68" tableBorderDxfId="66" totalsRowBorderDxfId="65">
  <autoFilter ref="AA5:AB55" xr:uid="{9E5DC681-28D6-4633-A8CE-BA675902198D}"/>
  <tableColumns count="2">
    <tableColumn id="1" xr3:uid="{EEFEDFA0-3ABA-44EB-ACFF-93085B1DB3AC}" name="Empuxo" dataDxfId="64" dataCellStyle="Normal 2 10">
      <calculatedColumnFormula>Auxiliar2!AK2</calculatedColumnFormula>
    </tableColumn>
    <tableColumn id="2" xr3:uid="{AEF50034-1E9A-4675-86B1-B8CA61B8C306}" name="Posição em relação ao flange [m]" dataDxfId="63" dataCellStyle="Normal 2 10">
      <calculatedColumnFormula>IF(ISNUMBER(tbl_buoyancy[[#This Row],[Empuxo]]), Auxiliar2!AL2, "")</calculatedColumnFormula>
    </tableColumn>
  </tableColumns>
  <tableStyleInfo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7F62D57-ACC7-4D71-BDEE-4090F71AC077}" name="data_tab_files_path" displayName="data_tab_files_path" ref="V54:W65" totalsRowShown="0" headerRowDxfId="62" headerRowBorderDxfId="61" tableBorderDxfId="60" totalsRowBorderDxfId="59">
  <autoFilter ref="V54:W65" xr:uid="{47F62D57-ACC7-4D71-BDEE-4090F71AC077}"/>
  <tableColumns count="2">
    <tableColumn id="1" xr3:uid="{48FAA91B-A19D-47A1-ABDD-DBB75FFD4F90}" name="python keys" dataDxfId="58"/>
    <tableColumn id="2" xr3:uid="{CA27FFBC-4841-4DA7-A718-0AB63257233A}" name="filename" dataDxfId="57">
      <calculatedColumnFormula>_xlfn.XLOOKUP(Results!$A55, Results!$A$55:$A$62, Results!$B$55:$B$62)</calculatedColumnFormula>
    </tableColumn>
  </tableColumns>
  <tableStyleInfo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bl_esforcos" displayName="tbl_esforcos" ref="F8:J49" totalsRowShown="0" headerRowDxfId="56" dataDxfId="54" headerRowBorderDxfId="55" tableBorderDxfId="53">
  <autoFilter ref="F8:J49" xr:uid="{00000000-0009-0000-0100-000001000000}"/>
  <tableColumns count="5">
    <tableColumn id="1" xr3:uid="{00000000-0010-0000-0000-000001000000}" name="Valor" dataDxfId="52">
      <calculatedColumnFormula>VALUE(LEFT(E9,SEARCH(" ",E9)-1))</calculatedColumnFormula>
    </tableColumn>
    <tableColumn id="6" xr3:uid="{60B23DED-7FFF-4A6E-A781-12AF78693BB0}" name="Tração" dataDxfId="51"/>
    <tableColumn id="2" xr3:uid="{00000000-0010-0000-0000-000002000000}" name="Cortante" dataDxfId="50"/>
    <tableColumn id="4" xr3:uid="{00000000-0010-0000-0000-000004000000}" name="M. Fletor" dataDxfId="49"/>
    <tableColumn id="5" xr3:uid="{00000000-0010-0000-0000-000005000000}" name="Verificação" dataDxfId="48">
      <calculatedColumnFormula>IF(tbl_esforcos[[#This Row],[Cortante]]&lt;&gt;"",IF(SIGN(tbl_esforcos[[#This Row],[Cortante]])&lt;&gt;SIGN(tbl_esforcos[[#This Row],[Valor]]),"SINAL",IF(ABS(tbl_esforcos[[#This Row],[Cortante]])&gt;ABS(tbl_esforcos[[#This Row],[Valor]]),"VALOR","OK")),IF(tbl_esforcos[[#This Row],[Tração]]&lt;&gt;"",IF(SIGN(tbl_esforcos[[#This Row],[Tração]])&lt;&gt;SIGN(tbl_esforcos[[#This Row],[Valor]]),"SINAL",IF(ABS(tbl_esforcos[[#This Row],[Tração]])&gt;ABS(tbl_esforcos[[#This Row],[Valor]]),"VALOR","OK")),IF(tbl_esforcos[[#This Row],[M. Fletor]]&lt;&gt;"",IF(SIGN(tbl_esforcos[[#This Row],[M. Fletor]])&lt;&gt;SIGN(tbl_esforcos[[#This Row],[Valor]]),"SINAL",IF(ABS(tbl_esforcos[[#This Row],[M. Fletor]])&gt;ABS(tbl_esforcos[[#This Row],[Valor]]),"VALOR","OK")),"---")))</calculatedColumnFormula>
    </tableColumn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4.xml"/><Relationship Id="rId4" Type="http://schemas.openxmlformats.org/officeDocument/2006/relationships/comments" Target="../comments2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table" Target="../tables/table6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5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4.xml"/><Relationship Id="rId11" Type="http://schemas.openxmlformats.org/officeDocument/2006/relationships/comments" Target="../comments3.xml"/><Relationship Id="rId5" Type="http://schemas.openxmlformats.org/officeDocument/2006/relationships/table" Target="../tables/table3.xml"/><Relationship Id="rId10" Type="http://schemas.openxmlformats.org/officeDocument/2006/relationships/table" Target="../tables/table8.xml"/><Relationship Id="rId4" Type="http://schemas.openxmlformats.org/officeDocument/2006/relationships/table" Target="../tables/table2.xml"/><Relationship Id="rId9" Type="http://schemas.openxmlformats.org/officeDocument/2006/relationships/table" Target="../tables/table7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Relationship Id="rId5" Type="http://schemas.openxmlformats.org/officeDocument/2006/relationships/comments" Target="../comments4.xml"/><Relationship Id="rId4" Type="http://schemas.openxmlformats.org/officeDocument/2006/relationships/ctrlProp" Target="../ctrlProps/ctrlProp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2.bin"/><Relationship Id="rId6" Type="http://schemas.openxmlformats.org/officeDocument/2006/relationships/comments" Target="../comments8.xml"/><Relationship Id="rId5" Type="http://schemas.openxmlformats.org/officeDocument/2006/relationships/table" Target="../tables/table10.xml"/><Relationship Id="rId4" Type="http://schemas.openxmlformats.org/officeDocument/2006/relationships/table" Target="../tables/table9.xml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comments" Target="../comments9.xml"/><Relationship Id="rId3" Type="http://schemas.openxmlformats.org/officeDocument/2006/relationships/vmlDrawing" Target="../drawings/vmlDrawing9.vml"/><Relationship Id="rId7" Type="http://schemas.openxmlformats.org/officeDocument/2006/relationships/ctrlProp" Target="../ctrlProps/ctrlProp5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3.bin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1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5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/>
  <dimension ref="A1:G247"/>
  <sheetViews>
    <sheetView zoomScale="80" zoomScaleNormal="80" workbookViewId="0">
      <selection sqref="A1:F1"/>
    </sheetView>
  </sheetViews>
  <sheetFormatPr defaultColWidth="0" defaultRowHeight="18" customHeight="1" x14ac:dyDescent="0.25"/>
  <cols>
    <col min="1" max="5" width="16.7265625" style="338" customWidth="1"/>
    <col min="6" max="6" width="50.7265625" style="338" customWidth="1"/>
    <col min="7" max="7" width="1.7265625" style="338" customWidth="1"/>
    <col min="8" max="16384" width="9.26953125" style="338" hidden="1"/>
  </cols>
  <sheetData>
    <row r="1" spans="1:6" ht="18" customHeight="1" x14ac:dyDescent="0.25">
      <c r="A1" s="626" t="s">
        <v>0</v>
      </c>
      <c r="B1" s="626"/>
      <c r="C1" s="626"/>
      <c r="D1" s="626"/>
      <c r="E1" s="626"/>
      <c r="F1" s="626"/>
    </row>
    <row r="2" spans="1:6" ht="14" x14ac:dyDescent="0.25">
      <c r="A2" s="339" t="s">
        <v>1</v>
      </c>
      <c r="B2" s="340" t="s">
        <v>2</v>
      </c>
      <c r="C2" s="341" t="s">
        <v>3</v>
      </c>
      <c r="D2" s="340" t="s">
        <v>4</v>
      </c>
      <c r="E2" s="340" t="s">
        <v>5</v>
      </c>
      <c r="F2" s="340" t="s">
        <v>6</v>
      </c>
    </row>
    <row r="3" spans="1:6" ht="18" customHeight="1" x14ac:dyDescent="0.25">
      <c r="A3" s="342">
        <v>1</v>
      </c>
      <c r="B3" s="343"/>
      <c r="C3" s="344" t="s">
        <v>7</v>
      </c>
      <c r="D3" s="345"/>
      <c r="E3" s="345"/>
      <c r="F3" s="346" t="s">
        <v>8</v>
      </c>
    </row>
    <row r="4" spans="1:6" ht="18" customHeight="1" x14ac:dyDescent="0.25">
      <c r="A4" s="342">
        <v>2</v>
      </c>
      <c r="B4" s="347">
        <v>42850</v>
      </c>
      <c r="C4" s="342" t="s">
        <v>9</v>
      </c>
      <c r="D4" s="342" t="s">
        <v>10</v>
      </c>
      <c r="E4" s="342" t="s">
        <v>7</v>
      </c>
      <c r="F4" s="342"/>
    </row>
    <row r="5" spans="1:6" ht="18" customHeight="1" x14ac:dyDescent="0.25">
      <c r="A5" s="348">
        <v>3</v>
      </c>
      <c r="B5" s="349">
        <v>42916</v>
      </c>
      <c r="C5" s="348" t="s">
        <v>9</v>
      </c>
      <c r="D5" s="348"/>
      <c r="E5" s="348"/>
      <c r="F5" s="348" t="s">
        <v>11</v>
      </c>
    </row>
    <row r="6" spans="1:6" ht="18" customHeight="1" x14ac:dyDescent="0.25">
      <c r="A6" s="348">
        <v>4</v>
      </c>
      <c r="B6" s="349">
        <v>42942</v>
      </c>
      <c r="C6" s="348" t="s">
        <v>9</v>
      </c>
      <c r="D6" s="348"/>
      <c r="E6" s="348"/>
      <c r="F6" s="348" t="s">
        <v>11</v>
      </c>
    </row>
    <row r="7" spans="1:6" ht="18" customHeight="1" x14ac:dyDescent="0.25">
      <c r="A7" s="348">
        <v>5</v>
      </c>
      <c r="B7" s="349">
        <v>43000</v>
      </c>
      <c r="C7" s="348" t="s">
        <v>12</v>
      </c>
      <c r="D7" s="348"/>
      <c r="E7" s="348"/>
      <c r="F7" s="348" t="s">
        <v>11</v>
      </c>
    </row>
    <row r="8" spans="1:6" ht="18" customHeight="1" x14ac:dyDescent="0.25">
      <c r="A8" s="348">
        <v>6</v>
      </c>
      <c r="B8" s="349">
        <v>42942</v>
      </c>
      <c r="C8" s="348" t="s">
        <v>9</v>
      </c>
      <c r="D8" s="348"/>
      <c r="E8" s="348"/>
      <c r="F8" s="348" t="s">
        <v>11</v>
      </c>
    </row>
    <row r="9" spans="1:6" ht="18" customHeight="1" x14ac:dyDescent="0.25">
      <c r="A9" s="348">
        <v>7</v>
      </c>
      <c r="B9" s="349">
        <v>43160</v>
      </c>
      <c r="C9" s="348" t="s">
        <v>13</v>
      </c>
      <c r="D9" s="348"/>
      <c r="E9" s="348"/>
      <c r="F9" s="348" t="s">
        <v>11</v>
      </c>
    </row>
    <row r="10" spans="1:6" ht="18" customHeight="1" x14ac:dyDescent="0.25">
      <c r="A10" s="348">
        <v>8</v>
      </c>
      <c r="B10" s="349">
        <v>43452</v>
      </c>
      <c r="C10" s="348" t="s">
        <v>13</v>
      </c>
      <c r="D10" s="348"/>
      <c r="E10" s="348"/>
      <c r="F10" s="348" t="s">
        <v>11</v>
      </c>
    </row>
    <row r="11" spans="1:6" ht="18" customHeight="1" x14ac:dyDescent="0.25">
      <c r="A11" s="348">
        <v>9</v>
      </c>
      <c r="B11" s="349">
        <v>44683</v>
      </c>
      <c r="C11" s="348" t="s">
        <v>14</v>
      </c>
      <c r="D11" s="348"/>
      <c r="E11" s="348"/>
      <c r="F11" s="348" t="s">
        <v>11</v>
      </c>
    </row>
    <row r="12" spans="1:6" ht="18" customHeight="1" x14ac:dyDescent="0.25">
      <c r="A12" s="348">
        <v>10</v>
      </c>
      <c r="B12" s="349" t="s">
        <v>15</v>
      </c>
      <c r="C12" s="348" t="s">
        <v>15</v>
      </c>
      <c r="D12" s="348" t="s">
        <v>15</v>
      </c>
      <c r="E12" s="348" t="s">
        <v>15</v>
      </c>
      <c r="F12" s="348" t="s">
        <v>11</v>
      </c>
    </row>
    <row r="13" spans="1:6" ht="18" customHeight="1" x14ac:dyDescent="0.25">
      <c r="A13" s="348">
        <v>11</v>
      </c>
      <c r="B13" s="349">
        <v>45291</v>
      </c>
      <c r="C13" s="348" t="s">
        <v>16</v>
      </c>
      <c r="D13" s="348"/>
      <c r="E13" s="348"/>
      <c r="F13" s="348" t="s">
        <v>11</v>
      </c>
    </row>
    <row r="14" spans="1:6" ht="18" customHeight="1" x14ac:dyDescent="0.25">
      <c r="A14" s="348">
        <v>12</v>
      </c>
      <c r="B14" s="349">
        <v>45349</v>
      </c>
      <c r="C14" s="348" t="s">
        <v>17</v>
      </c>
      <c r="D14" s="348"/>
      <c r="E14" s="348"/>
      <c r="F14" s="348" t="s">
        <v>11</v>
      </c>
    </row>
    <row r="15" spans="1:6" ht="18" customHeight="1" x14ac:dyDescent="0.25">
      <c r="A15" s="348" t="s">
        <v>18</v>
      </c>
      <c r="B15" s="349">
        <v>45439</v>
      </c>
      <c r="C15" s="348" t="s">
        <v>19</v>
      </c>
      <c r="D15" s="348"/>
      <c r="E15" s="348"/>
      <c r="F15" s="348" t="s">
        <v>11</v>
      </c>
    </row>
    <row r="16" spans="1:6" ht="18" customHeight="1" x14ac:dyDescent="0.25">
      <c r="A16" s="348" t="s">
        <v>20</v>
      </c>
      <c r="B16" s="349">
        <v>45483</v>
      </c>
      <c r="C16" s="348" t="s">
        <v>21</v>
      </c>
      <c r="D16" s="348" t="s">
        <v>19</v>
      </c>
      <c r="E16" s="348"/>
      <c r="F16" s="348" t="s">
        <v>11</v>
      </c>
    </row>
    <row r="17" spans="1:6" ht="18" customHeight="1" x14ac:dyDescent="0.25">
      <c r="A17" s="348" t="s">
        <v>22</v>
      </c>
      <c r="B17" s="349">
        <v>45530</v>
      </c>
      <c r="C17" s="348" t="s">
        <v>23</v>
      </c>
      <c r="D17" s="348" t="s">
        <v>19</v>
      </c>
      <c r="E17" s="348"/>
      <c r="F17" s="348" t="s">
        <v>11</v>
      </c>
    </row>
    <row r="18" spans="1:6" ht="18" customHeight="1" x14ac:dyDescent="0.25">
      <c r="A18" s="348" t="s">
        <v>24</v>
      </c>
      <c r="B18" s="349">
        <v>45643</v>
      </c>
      <c r="C18" s="348" t="s">
        <v>19</v>
      </c>
      <c r="D18" s="348"/>
      <c r="E18" s="348"/>
      <c r="F18" s="348" t="s">
        <v>11</v>
      </c>
    </row>
    <row r="19" spans="1:6" ht="18" customHeight="1" x14ac:dyDescent="0.25">
      <c r="A19" s="348" t="s">
        <v>25</v>
      </c>
      <c r="B19" s="349">
        <v>45700</v>
      </c>
      <c r="C19" s="348" t="s">
        <v>19</v>
      </c>
      <c r="D19" s="348"/>
      <c r="E19" s="348"/>
      <c r="F19" s="348" t="s">
        <v>11</v>
      </c>
    </row>
    <row r="20" spans="1:6" ht="18" customHeight="1" x14ac:dyDescent="0.25">
      <c r="A20" s="348" t="s">
        <v>26</v>
      </c>
      <c r="B20" s="349">
        <v>45723</v>
      </c>
      <c r="C20" s="348" t="s">
        <v>19</v>
      </c>
      <c r="D20" s="348"/>
      <c r="E20" s="348"/>
      <c r="F20" s="348" t="s">
        <v>11</v>
      </c>
    </row>
    <row r="21" spans="1:6" ht="18" customHeight="1" x14ac:dyDescent="0.25">
      <c r="A21" s="348" t="s">
        <v>27</v>
      </c>
      <c r="B21" s="349">
        <v>45728</v>
      </c>
      <c r="C21" s="348" t="s">
        <v>19</v>
      </c>
      <c r="D21" s="348"/>
      <c r="E21" s="348"/>
      <c r="F21" s="348" t="s">
        <v>11</v>
      </c>
    </row>
    <row r="22" spans="1:6" ht="18" customHeight="1" x14ac:dyDescent="0.25">
      <c r="A22" s="348" t="s">
        <v>28</v>
      </c>
      <c r="B22" s="349">
        <v>45733</v>
      </c>
      <c r="C22" s="348" t="s">
        <v>19</v>
      </c>
      <c r="D22" s="348"/>
      <c r="E22" s="348"/>
      <c r="F22" s="348" t="s">
        <v>11</v>
      </c>
    </row>
    <row r="23" spans="1:6" ht="18" customHeight="1" x14ac:dyDescent="0.25">
      <c r="A23" s="348" t="s">
        <v>29</v>
      </c>
      <c r="B23" s="349">
        <v>45742</v>
      </c>
      <c r="C23" s="348" t="s">
        <v>19</v>
      </c>
      <c r="D23" s="348"/>
      <c r="E23" s="348"/>
      <c r="F23" s="348" t="s">
        <v>11</v>
      </c>
    </row>
    <row r="24" spans="1:6" ht="18" customHeight="1" x14ac:dyDescent="0.25">
      <c r="A24" s="348" t="s">
        <v>30</v>
      </c>
      <c r="B24" s="349">
        <v>45755</v>
      </c>
      <c r="C24" s="348" t="s">
        <v>19</v>
      </c>
      <c r="D24" s="348"/>
      <c r="E24" s="348"/>
      <c r="F24" s="348" t="s">
        <v>11</v>
      </c>
    </row>
    <row r="25" spans="1:6" ht="18" customHeight="1" x14ac:dyDescent="0.25">
      <c r="A25" s="348" t="s">
        <v>31</v>
      </c>
      <c r="B25" s="349">
        <v>45757</v>
      </c>
      <c r="C25" s="348" t="s">
        <v>19</v>
      </c>
      <c r="D25" s="348"/>
      <c r="E25" s="348"/>
      <c r="F25" s="348" t="s">
        <v>11</v>
      </c>
    </row>
    <row r="26" spans="1:6" ht="18" customHeight="1" x14ac:dyDescent="0.25">
      <c r="A26" s="348" t="s">
        <v>32</v>
      </c>
      <c r="B26" s="349">
        <v>45764</v>
      </c>
      <c r="C26" s="348" t="s">
        <v>19</v>
      </c>
      <c r="D26" s="348"/>
      <c r="E26" s="348"/>
      <c r="F26" s="348" t="s">
        <v>11</v>
      </c>
    </row>
    <row r="27" spans="1:6" ht="18" customHeight="1" x14ac:dyDescent="0.25">
      <c r="A27" s="348" t="s">
        <v>33</v>
      </c>
      <c r="B27" s="349">
        <v>45772</v>
      </c>
      <c r="C27" s="348" t="s">
        <v>19</v>
      </c>
      <c r="D27" s="348"/>
      <c r="E27" s="348"/>
      <c r="F27" s="348" t="s">
        <v>11</v>
      </c>
    </row>
    <row r="28" spans="1:6" ht="18" customHeight="1" x14ac:dyDescent="0.25">
      <c r="A28" s="348" t="s">
        <v>34</v>
      </c>
      <c r="B28" s="349">
        <v>45800</v>
      </c>
      <c r="C28" s="348" t="s">
        <v>19</v>
      </c>
      <c r="D28" s="348"/>
      <c r="E28" s="348"/>
      <c r="F28" s="348" t="s">
        <v>11</v>
      </c>
    </row>
    <row r="29" spans="1:6" ht="18" customHeight="1" x14ac:dyDescent="0.25">
      <c r="A29" s="348" t="s">
        <v>35</v>
      </c>
      <c r="B29" s="349">
        <v>45805</v>
      </c>
      <c r="C29" s="348" t="s">
        <v>19</v>
      </c>
      <c r="D29" s="348"/>
      <c r="E29" s="348"/>
      <c r="F29" s="348" t="s">
        <v>11</v>
      </c>
    </row>
    <row r="30" spans="1:6" ht="18" customHeight="1" x14ac:dyDescent="0.25">
      <c r="A30" s="348" t="s">
        <v>36</v>
      </c>
      <c r="B30" s="349">
        <v>45811</v>
      </c>
      <c r="C30" s="348" t="s">
        <v>19</v>
      </c>
      <c r="D30" s="348"/>
      <c r="E30" s="348"/>
      <c r="F30" s="348" t="s">
        <v>11</v>
      </c>
    </row>
    <row r="31" spans="1:6" ht="18" customHeight="1" x14ac:dyDescent="0.25">
      <c r="A31" s="348" t="s">
        <v>37</v>
      </c>
      <c r="B31" s="349">
        <v>45845</v>
      </c>
      <c r="C31" s="348" t="s">
        <v>19</v>
      </c>
      <c r="D31" s="348"/>
      <c r="E31" s="348"/>
      <c r="F31" s="348" t="s">
        <v>11</v>
      </c>
    </row>
    <row r="32" spans="1:6" ht="18" customHeight="1" x14ac:dyDescent="0.25">
      <c r="A32" s="348" t="s">
        <v>38</v>
      </c>
      <c r="B32" s="349">
        <v>45897</v>
      </c>
      <c r="C32" s="348" t="s">
        <v>19</v>
      </c>
      <c r="D32" s="348"/>
      <c r="E32" s="348"/>
      <c r="F32" s="348" t="s">
        <v>11</v>
      </c>
    </row>
    <row r="33" spans="1:6" ht="18" customHeight="1" x14ac:dyDescent="0.25">
      <c r="A33" s="348" t="s">
        <v>39</v>
      </c>
      <c r="B33" s="349">
        <v>45912</v>
      </c>
      <c r="C33" s="348" t="s">
        <v>19</v>
      </c>
      <c r="D33" s="348"/>
      <c r="E33" s="348"/>
      <c r="F33" s="348" t="s">
        <v>11</v>
      </c>
    </row>
    <row r="34" spans="1:6" ht="18" customHeight="1" x14ac:dyDescent="0.25">
      <c r="A34" s="348" t="s">
        <v>40</v>
      </c>
      <c r="B34" s="349">
        <v>45950</v>
      </c>
      <c r="C34" s="348" t="s">
        <v>19</v>
      </c>
      <c r="D34" s="348"/>
      <c r="E34" s="348"/>
      <c r="F34" s="348" t="s">
        <v>11</v>
      </c>
    </row>
    <row r="35" spans="1:6" ht="18" customHeight="1" x14ac:dyDescent="0.25">
      <c r="A35" s="348" t="s">
        <v>41</v>
      </c>
      <c r="B35" s="349">
        <v>45973</v>
      </c>
      <c r="C35" s="348" t="s">
        <v>19</v>
      </c>
      <c r="D35" s="348"/>
      <c r="E35" s="348"/>
      <c r="F35" s="348" t="s">
        <v>11</v>
      </c>
    </row>
    <row r="36" spans="1:6" ht="18" customHeight="1" x14ac:dyDescent="0.25">
      <c r="A36" s="348" t="s">
        <v>42</v>
      </c>
      <c r="B36" s="349">
        <v>46035</v>
      </c>
      <c r="C36" s="348" t="s">
        <v>19</v>
      </c>
      <c r="D36" s="348"/>
      <c r="E36" s="348"/>
      <c r="F36" s="348" t="s">
        <v>11</v>
      </c>
    </row>
    <row r="37" spans="1:6" ht="18" customHeight="1" x14ac:dyDescent="0.25">
      <c r="A37" s="348" t="s">
        <v>43</v>
      </c>
      <c r="B37" s="349">
        <v>46216</v>
      </c>
      <c r="C37" s="348" t="s">
        <v>19</v>
      </c>
      <c r="D37" s="348"/>
      <c r="E37" s="348"/>
      <c r="F37" s="348" t="s">
        <v>11</v>
      </c>
    </row>
    <row r="38" spans="1:6" ht="18" customHeight="1" x14ac:dyDescent="0.25">
      <c r="A38" s="348" t="s">
        <v>1232</v>
      </c>
      <c r="B38" s="349">
        <v>46241</v>
      </c>
      <c r="C38" s="348" t="s">
        <v>19</v>
      </c>
      <c r="D38" s="348"/>
      <c r="E38" s="348"/>
      <c r="F38" s="348" t="s">
        <v>11</v>
      </c>
    </row>
    <row r="39" spans="1:6" ht="18" customHeight="1" x14ac:dyDescent="0.25">
      <c r="A39" s="501"/>
      <c r="B39" s="503"/>
      <c r="C39" s="501"/>
      <c r="D39" s="501"/>
      <c r="E39" s="501"/>
      <c r="F39" s="501"/>
    </row>
    <row r="40" spans="1:6" ht="18" customHeight="1" x14ac:dyDescent="0.25">
      <c r="A40" s="626" t="s">
        <v>1233</v>
      </c>
      <c r="B40" s="626"/>
      <c r="C40" s="626"/>
      <c r="D40" s="626"/>
      <c r="E40" s="626"/>
      <c r="F40" s="626"/>
    </row>
    <row r="41" spans="1:6" ht="18" customHeight="1" x14ac:dyDescent="0.25">
      <c r="A41" s="627" t="s">
        <v>1234</v>
      </c>
      <c r="B41" s="628"/>
      <c r="C41" s="628"/>
      <c r="D41" s="628"/>
      <c r="E41" s="628"/>
      <c r="F41" s="629"/>
    </row>
    <row r="42" spans="1:6" ht="18" customHeight="1" x14ac:dyDescent="0.25">
      <c r="A42" s="627" t="s">
        <v>1235</v>
      </c>
      <c r="B42" s="628"/>
      <c r="C42" s="628"/>
      <c r="D42" s="628"/>
      <c r="E42" s="628"/>
      <c r="F42" s="629"/>
    </row>
    <row r="43" spans="1:6" ht="18" customHeight="1" x14ac:dyDescent="0.25">
      <c r="A43" s="627" t="s">
        <v>1236</v>
      </c>
      <c r="B43" s="628"/>
      <c r="C43" s="628"/>
      <c r="D43" s="628"/>
      <c r="E43" s="628"/>
      <c r="F43" s="629"/>
    </row>
    <row r="44" spans="1:6" ht="18" customHeight="1" x14ac:dyDescent="0.25">
      <c r="A44" s="626" t="s">
        <v>44</v>
      </c>
      <c r="B44" s="626"/>
      <c r="C44" s="626"/>
      <c r="D44" s="626"/>
      <c r="E44" s="626"/>
      <c r="F44" s="626"/>
    </row>
    <row r="45" spans="1:6" ht="18" customHeight="1" x14ac:dyDescent="0.25">
      <c r="A45" s="627" t="s">
        <v>45</v>
      </c>
      <c r="B45" s="628"/>
      <c r="C45" s="628"/>
      <c r="D45" s="628"/>
      <c r="E45" s="628"/>
      <c r="F45" s="629"/>
    </row>
    <row r="46" spans="1:6" ht="18" customHeight="1" x14ac:dyDescent="0.25">
      <c r="A46" s="627" t="s">
        <v>46</v>
      </c>
      <c r="B46" s="628"/>
      <c r="C46" s="628"/>
      <c r="D46" s="628"/>
      <c r="E46" s="628"/>
      <c r="F46" s="629"/>
    </row>
    <row r="47" spans="1:6" ht="18" customHeight="1" x14ac:dyDescent="0.25">
      <c r="A47" s="627" t="s">
        <v>47</v>
      </c>
      <c r="B47" s="628"/>
      <c r="C47" s="628"/>
      <c r="D47" s="628"/>
      <c r="E47" s="628"/>
      <c r="F47" s="629"/>
    </row>
    <row r="48" spans="1:6" ht="18" customHeight="1" x14ac:dyDescent="0.25">
      <c r="A48" s="627" t="s">
        <v>48</v>
      </c>
      <c r="B48" s="628"/>
      <c r="C48" s="628"/>
      <c r="D48" s="628"/>
      <c r="E48" s="628"/>
      <c r="F48" s="629"/>
    </row>
    <row r="49" spans="1:6" ht="18" customHeight="1" x14ac:dyDescent="0.25">
      <c r="A49" s="627" t="s">
        <v>49</v>
      </c>
      <c r="B49" s="628"/>
      <c r="C49" s="628"/>
      <c r="D49" s="628"/>
      <c r="E49" s="628"/>
      <c r="F49" s="629"/>
    </row>
    <row r="50" spans="1:6" ht="18" customHeight="1" x14ac:dyDescent="0.25">
      <c r="A50" s="627" t="s">
        <v>50</v>
      </c>
      <c r="B50" s="628"/>
      <c r="C50" s="628"/>
      <c r="D50" s="628"/>
      <c r="E50" s="628"/>
      <c r="F50" s="629"/>
    </row>
    <row r="51" spans="1:6" ht="18" customHeight="1" x14ac:dyDescent="0.25">
      <c r="A51" s="627" t="s">
        <v>51</v>
      </c>
      <c r="B51" s="628"/>
      <c r="C51" s="628"/>
      <c r="D51" s="628"/>
      <c r="E51" s="628"/>
      <c r="F51" s="629"/>
    </row>
    <row r="52" spans="1:6" ht="18" customHeight="1" x14ac:dyDescent="0.25">
      <c r="A52" s="627" t="s">
        <v>52</v>
      </c>
      <c r="B52" s="628"/>
      <c r="C52" s="628"/>
      <c r="D52" s="628"/>
      <c r="E52" s="628"/>
      <c r="F52" s="629"/>
    </row>
    <row r="53" spans="1:6" ht="18" customHeight="1" x14ac:dyDescent="0.25">
      <c r="A53" s="627" t="s">
        <v>53</v>
      </c>
      <c r="B53" s="628"/>
      <c r="C53" s="628"/>
      <c r="D53" s="628"/>
      <c r="E53" s="628"/>
      <c r="F53" s="629"/>
    </row>
    <row r="54" spans="1:6" ht="18" customHeight="1" x14ac:dyDescent="0.25">
      <c r="A54" s="627" t="s">
        <v>54</v>
      </c>
      <c r="B54" s="628"/>
      <c r="C54" s="628"/>
      <c r="D54" s="628"/>
      <c r="E54" s="628"/>
      <c r="F54" s="629"/>
    </row>
    <row r="55" spans="1:6" ht="18" customHeight="1" x14ac:dyDescent="0.25">
      <c r="A55" s="627" t="s">
        <v>55</v>
      </c>
      <c r="B55" s="628"/>
      <c r="C55" s="628"/>
      <c r="D55" s="628"/>
      <c r="E55" s="628"/>
      <c r="F55" s="629"/>
    </row>
    <row r="56" spans="1:6" ht="18" customHeight="1" x14ac:dyDescent="0.25">
      <c r="A56" s="627" t="s">
        <v>56</v>
      </c>
      <c r="B56" s="628"/>
      <c r="C56" s="628"/>
      <c r="D56" s="628"/>
      <c r="E56" s="628"/>
      <c r="F56" s="629"/>
    </row>
    <row r="57" spans="1:6" ht="18" customHeight="1" x14ac:dyDescent="0.25">
      <c r="A57" s="627" t="s">
        <v>57</v>
      </c>
      <c r="B57" s="628"/>
      <c r="C57" s="628"/>
      <c r="D57" s="628"/>
      <c r="E57" s="628"/>
      <c r="F57" s="629"/>
    </row>
    <row r="58" spans="1:6" ht="18" customHeight="1" x14ac:dyDescent="0.25">
      <c r="A58" s="627" t="s">
        <v>58</v>
      </c>
      <c r="B58" s="628"/>
      <c r="C58" s="628"/>
      <c r="D58" s="628"/>
      <c r="E58" s="628"/>
      <c r="F58" s="629"/>
    </row>
    <row r="59" spans="1:6" ht="18" customHeight="1" x14ac:dyDescent="0.25">
      <c r="A59" s="627" t="s">
        <v>59</v>
      </c>
      <c r="B59" s="628"/>
      <c r="C59" s="628"/>
      <c r="D59" s="628"/>
      <c r="E59" s="628"/>
      <c r="F59" s="629"/>
    </row>
    <row r="60" spans="1:6" ht="18" customHeight="1" x14ac:dyDescent="0.25">
      <c r="A60" s="627" t="s">
        <v>60</v>
      </c>
      <c r="B60" s="628"/>
      <c r="C60" s="628"/>
      <c r="D60" s="628"/>
      <c r="E60" s="628"/>
      <c r="F60" s="629"/>
    </row>
    <row r="61" spans="1:6" ht="35.15" customHeight="1" x14ac:dyDescent="0.25">
      <c r="A61" s="636" t="s">
        <v>61</v>
      </c>
      <c r="B61" s="637"/>
      <c r="C61" s="637"/>
      <c r="D61" s="637"/>
      <c r="E61" s="637"/>
      <c r="F61" s="638"/>
    </row>
    <row r="62" spans="1:6" ht="35.15" customHeight="1" x14ac:dyDescent="0.25">
      <c r="A62" s="636" t="s">
        <v>62</v>
      </c>
      <c r="B62" s="637"/>
      <c r="C62" s="637"/>
      <c r="D62" s="637"/>
      <c r="E62" s="637"/>
      <c r="F62" s="638"/>
    </row>
    <row r="63" spans="1:6" ht="18" customHeight="1" x14ac:dyDescent="0.25">
      <c r="A63" s="626" t="s">
        <v>63</v>
      </c>
      <c r="B63" s="626"/>
      <c r="C63" s="626"/>
      <c r="D63" s="626"/>
      <c r="E63" s="626"/>
      <c r="F63" s="626"/>
    </row>
    <row r="64" spans="1:6" ht="18" customHeight="1" x14ac:dyDescent="0.25">
      <c r="A64" s="632" t="s">
        <v>64</v>
      </c>
      <c r="B64" s="632"/>
      <c r="C64" s="632"/>
      <c r="D64" s="632"/>
      <c r="E64" s="632"/>
      <c r="F64" s="632"/>
    </row>
    <row r="65" spans="1:7" ht="18" customHeight="1" x14ac:dyDescent="0.25">
      <c r="A65" s="632" t="s">
        <v>65</v>
      </c>
      <c r="B65" s="632"/>
      <c r="C65" s="632"/>
      <c r="D65" s="632"/>
      <c r="E65" s="632"/>
      <c r="F65" s="632"/>
    </row>
    <row r="66" spans="1:7" ht="18" customHeight="1" x14ac:dyDescent="0.25">
      <c r="A66" s="632" t="s">
        <v>66</v>
      </c>
      <c r="B66" s="632"/>
      <c r="C66" s="632"/>
      <c r="D66" s="632"/>
      <c r="E66" s="632"/>
      <c r="F66" s="632"/>
    </row>
    <row r="67" spans="1:7" ht="18" customHeight="1" x14ac:dyDescent="0.25">
      <c r="A67" s="627" t="s">
        <v>67</v>
      </c>
      <c r="B67" s="628"/>
      <c r="C67" s="628"/>
      <c r="D67" s="628"/>
      <c r="E67" s="628"/>
      <c r="F67" s="629"/>
    </row>
    <row r="68" spans="1:7" s="502" customFormat="1" ht="18" customHeight="1" x14ac:dyDescent="0.25">
      <c r="A68" s="632" t="s">
        <v>68</v>
      </c>
      <c r="B68" s="632"/>
      <c r="C68" s="632"/>
      <c r="D68" s="632"/>
      <c r="E68" s="632"/>
      <c r="F68" s="632"/>
      <c r="G68" s="338"/>
    </row>
    <row r="69" spans="1:7" s="501" customFormat="1" ht="18" customHeight="1" x14ac:dyDescent="0.25">
      <c r="A69" s="632" t="s">
        <v>69</v>
      </c>
      <c r="B69" s="632"/>
      <c r="C69" s="632"/>
      <c r="D69" s="632"/>
      <c r="E69" s="632"/>
      <c r="F69" s="632"/>
    </row>
    <row r="70" spans="1:7" s="501" customFormat="1" ht="18" customHeight="1" x14ac:dyDescent="0.25">
      <c r="A70" s="632" t="s">
        <v>70</v>
      </c>
      <c r="B70" s="632"/>
      <c r="C70" s="632"/>
      <c r="D70" s="632"/>
      <c r="E70" s="632"/>
      <c r="F70" s="632"/>
    </row>
    <row r="71" spans="1:7" s="501" customFormat="1" ht="18" customHeight="1" x14ac:dyDescent="0.25">
      <c r="A71" s="627" t="s">
        <v>71</v>
      </c>
      <c r="B71" s="628"/>
      <c r="C71" s="628"/>
      <c r="D71" s="628"/>
      <c r="E71" s="628"/>
      <c r="F71" s="629"/>
    </row>
    <row r="72" spans="1:7" ht="18" customHeight="1" x14ac:dyDescent="0.25">
      <c r="A72" s="626" t="s">
        <v>72</v>
      </c>
      <c r="B72" s="626"/>
      <c r="C72" s="626"/>
      <c r="D72" s="626"/>
      <c r="E72" s="626"/>
      <c r="F72" s="626"/>
    </row>
    <row r="73" spans="1:7" ht="18" customHeight="1" x14ac:dyDescent="0.25">
      <c r="A73" s="632" t="s">
        <v>73</v>
      </c>
      <c r="B73" s="632"/>
      <c r="C73" s="632"/>
      <c r="D73" s="632"/>
      <c r="E73" s="632"/>
      <c r="F73" s="632"/>
    </row>
    <row r="74" spans="1:7" ht="18" customHeight="1" x14ac:dyDescent="0.25">
      <c r="A74" s="632" t="s">
        <v>74</v>
      </c>
      <c r="B74" s="632"/>
      <c r="C74" s="632"/>
      <c r="D74" s="632"/>
      <c r="E74" s="632"/>
      <c r="F74" s="632"/>
    </row>
    <row r="75" spans="1:7" ht="18" customHeight="1" x14ac:dyDescent="0.25">
      <c r="A75" s="626" t="s">
        <v>75</v>
      </c>
      <c r="B75" s="626"/>
      <c r="C75" s="626"/>
      <c r="D75" s="626"/>
      <c r="E75" s="626"/>
      <c r="F75" s="626"/>
    </row>
    <row r="76" spans="1:7" ht="18" customHeight="1" x14ac:dyDescent="0.25">
      <c r="A76" s="632" t="s">
        <v>76</v>
      </c>
      <c r="B76" s="632"/>
      <c r="C76" s="632"/>
      <c r="D76" s="632"/>
      <c r="E76" s="632"/>
      <c r="F76" s="632"/>
    </row>
    <row r="77" spans="1:7" ht="18" customHeight="1" x14ac:dyDescent="0.25">
      <c r="A77" s="626" t="s">
        <v>77</v>
      </c>
      <c r="B77" s="626"/>
      <c r="C77" s="626"/>
      <c r="D77" s="626"/>
      <c r="E77" s="626"/>
      <c r="F77" s="626"/>
    </row>
    <row r="78" spans="1:7" ht="18" customHeight="1" x14ac:dyDescent="0.25">
      <c r="A78" s="632" t="s">
        <v>78</v>
      </c>
      <c r="B78" s="632"/>
      <c r="C78" s="632"/>
      <c r="D78" s="632"/>
      <c r="E78" s="632"/>
      <c r="F78" s="632"/>
    </row>
    <row r="79" spans="1:7" ht="18" customHeight="1" x14ac:dyDescent="0.25">
      <c r="A79" s="626" t="s">
        <v>79</v>
      </c>
      <c r="B79" s="626"/>
      <c r="C79" s="626"/>
      <c r="D79" s="626"/>
      <c r="E79" s="626"/>
      <c r="F79" s="626"/>
    </row>
    <row r="80" spans="1:7" ht="18" customHeight="1" x14ac:dyDescent="0.25">
      <c r="A80" s="632" t="s">
        <v>80</v>
      </c>
      <c r="B80" s="632"/>
      <c r="C80" s="632"/>
      <c r="D80" s="632"/>
      <c r="E80" s="632"/>
      <c r="F80" s="632"/>
    </row>
    <row r="81" spans="1:6" ht="18" customHeight="1" x14ac:dyDescent="0.25">
      <c r="A81" s="632" t="s">
        <v>81</v>
      </c>
      <c r="B81" s="632"/>
      <c r="C81" s="632"/>
      <c r="D81" s="632"/>
      <c r="E81" s="632"/>
      <c r="F81" s="632"/>
    </row>
    <row r="82" spans="1:6" ht="18" customHeight="1" x14ac:dyDescent="0.25">
      <c r="A82" s="626" t="s">
        <v>82</v>
      </c>
      <c r="B82" s="626"/>
      <c r="C82" s="626"/>
      <c r="D82" s="626"/>
      <c r="E82" s="626"/>
      <c r="F82" s="626"/>
    </row>
    <row r="83" spans="1:6" ht="18" customHeight="1" x14ac:dyDescent="0.25">
      <c r="A83" s="632" t="s">
        <v>83</v>
      </c>
      <c r="B83" s="632"/>
      <c r="C83" s="632"/>
      <c r="D83" s="632"/>
      <c r="E83" s="632"/>
      <c r="F83" s="632"/>
    </row>
    <row r="84" spans="1:6" ht="18" customHeight="1" x14ac:dyDescent="0.25">
      <c r="A84" s="626" t="s">
        <v>84</v>
      </c>
      <c r="B84" s="626"/>
      <c r="C84" s="626"/>
      <c r="D84" s="626"/>
      <c r="E84" s="626"/>
      <c r="F84" s="626"/>
    </row>
    <row r="85" spans="1:6" ht="18" customHeight="1" x14ac:dyDescent="0.25">
      <c r="A85" s="632" t="s">
        <v>85</v>
      </c>
      <c r="B85" s="632"/>
      <c r="C85" s="632"/>
      <c r="D85" s="632"/>
      <c r="E85" s="632"/>
      <c r="F85" s="632"/>
    </row>
    <row r="86" spans="1:6" ht="18" customHeight="1" x14ac:dyDescent="0.25">
      <c r="A86" s="632" t="s">
        <v>86</v>
      </c>
      <c r="B86" s="632"/>
      <c r="C86" s="632"/>
      <c r="D86" s="632"/>
      <c r="E86" s="632"/>
      <c r="F86" s="632"/>
    </row>
    <row r="87" spans="1:6" ht="18" customHeight="1" x14ac:dyDescent="0.25">
      <c r="A87" s="632" t="s">
        <v>87</v>
      </c>
      <c r="B87" s="632"/>
      <c r="C87" s="632"/>
      <c r="D87" s="632"/>
      <c r="E87" s="632"/>
      <c r="F87" s="632"/>
    </row>
    <row r="88" spans="1:6" ht="18" customHeight="1" x14ac:dyDescent="0.25">
      <c r="A88" s="626" t="s">
        <v>88</v>
      </c>
      <c r="B88" s="626"/>
      <c r="C88" s="626"/>
      <c r="D88" s="626"/>
      <c r="E88" s="626"/>
      <c r="F88" s="626"/>
    </row>
    <row r="89" spans="1:6" ht="18" customHeight="1" x14ac:dyDescent="0.25">
      <c r="A89" s="632" t="s">
        <v>89</v>
      </c>
      <c r="B89" s="632"/>
      <c r="C89" s="632"/>
      <c r="D89" s="632"/>
      <c r="E89" s="632"/>
      <c r="F89" s="632"/>
    </row>
    <row r="90" spans="1:6" ht="18" customHeight="1" x14ac:dyDescent="0.25">
      <c r="A90" s="632" t="s">
        <v>90</v>
      </c>
      <c r="B90" s="632"/>
      <c r="C90" s="632"/>
      <c r="D90" s="632"/>
      <c r="E90" s="632"/>
      <c r="F90" s="632"/>
    </row>
    <row r="91" spans="1:6" ht="18" customHeight="1" x14ac:dyDescent="0.25">
      <c r="A91" s="643" t="s">
        <v>91</v>
      </c>
      <c r="B91" s="643"/>
      <c r="C91" s="643"/>
      <c r="D91" s="643"/>
      <c r="E91" s="643"/>
      <c r="F91" s="643"/>
    </row>
    <row r="92" spans="1:6" ht="18" customHeight="1" x14ac:dyDescent="0.25">
      <c r="A92" s="627" t="s">
        <v>92</v>
      </c>
      <c r="B92" s="628"/>
      <c r="C92" s="628"/>
      <c r="D92" s="628"/>
      <c r="E92" s="628"/>
      <c r="F92" s="629"/>
    </row>
    <row r="93" spans="1:6" ht="18" customHeight="1" x14ac:dyDescent="0.25">
      <c r="A93" s="643" t="s">
        <v>93</v>
      </c>
      <c r="B93" s="643"/>
      <c r="C93" s="643"/>
      <c r="D93" s="643"/>
      <c r="E93" s="643"/>
      <c r="F93" s="643"/>
    </row>
    <row r="94" spans="1:6" ht="18" customHeight="1" x14ac:dyDescent="0.25">
      <c r="A94" s="627" t="s">
        <v>94</v>
      </c>
      <c r="B94" s="628"/>
      <c r="C94" s="628"/>
      <c r="D94" s="628"/>
      <c r="E94" s="628"/>
      <c r="F94" s="629"/>
    </row>
    <row r="95" spans="1:6" ht="18" customHeight="1" x14ac:dyDescent="0.25">
      <c r="A95" s="643" t="s">
        <v>95</v>
      </c>
      <c r="B95" s="643"/>
      <c r="C95" s="643"/>
      <c r="D95" s="643"/>
      <c r="E95" s="643"/>
      <c r="F95" s="643"/>
    </row>
    <row r="96" spans="1:6" ht="18" customHeight="1" x14ac:dyDescent="0.25">
      <c r="A96" s="627" t="s">
        <v>96</v>
      </c>
      <c r="B96" s="628"/>
      <c r="C96" s="628"/>
      <c r="D96" s="628"/>
      <c r="E96" s="628"/>
      <c r="F96" s="629"/>
    </row>
    <row r="97" spans="1:6" ht="18" customHeight="1" x14ac:dyDescent="0.25">
      <c r="A97" s="627" t="s">
        <v>97</v>
      </c>
      <c r="B97" s="628"/>
      <c r="C97" s="628"/>
      <c r="D97" s="628"/>
      <c r="E97" s="628"/>
      <c r="F97" s="629"/>
    </row>
    <row r="98" spans="1:6" ht="18" customHeight="1" x14ac:dyDescent="0.25">
      <c r="A98" s="627" t="s">
        <v>98</v>
      </c>
      <c r="B98" s="628"/>
      <c r="C98" s="628"/>
      <c r="D98" s="628"/>
      <c r="E98" s="628"/>
      <c r="F98" s="629"/>
    </row>
    <row r="99" spans="1:6" ht="18" customHeight="1" x14ac:dyDescent="0.25">
      <c r="A99" s="643" t="s">
        <v>99</v>
      </c>
      <c r="B99" s="643"/>
      <c r="C99" s="643"/>
      <c r="D99" s="643"/>
      <c r="E99" s="643"/>
      <c r="F99" s="643"/>
    </row>
    <row r="100" spans="1:6" ht="18" customHeight="1" x14ac:dyDescent="0.25">
      <c r="A100" s="627" t="s">
        <v>100</v>
      </c>
      <c r="B100" s="628"/>
      <c r="C100" s="628"/>
      <c r="D100" s="628"/>
      <c r="E100" s="628"/>
      <c r="F100" s="629"/>
    </row>
    <row r="101" spans="1:6" ht="18" customHeight="1" x14ac:dyDescent="0.25">
      <c r="A101" s="643" t="s">
        <v>101</v>
      </c>
      <c r="B101" s="643"/>
      <c r="C101" s="643"/>
      <c r="D101" s="643"/>
      <c r="E101" s="643"/>
      <c r="F101" s="643"/>
    </row>
    <row r="102" spans="1:6" ht="18" customHeight="1" x14ac:dyDescent="0.25">
      <c r="A102" s="627" t="s">
        <v>102</v>
      </c>
      <c r="B102" s="628"/>
      <c r="C102" s="628"/>
      <c r="D102" s="628"/>
      <c r="E102" s="628"/>
      <c r="F102" s="629"/>
    </row>
    <row r="103" spans="1:6" ht="14" x14ac:dyDescent="0.25">
      <c r="A103" s="627" t="s">
        <v>103</v>
      </c>
      <c r="B103" s="628"/>
      <c r="C103" s="628"/>
      <c r="D103" s="628"/>
      <c r="E103" s="628"/>
      <c r="F103" s="629"/>
    </row>
    <row r="104" spans="1:6" ht="18" customHeight="1" x14ac:dyDescent="0.25">
      <c r="A104" s="627" t="s">
        <v>104</v>
      </c>
      <c r="B104" s="628"/>
      <c r="C104" s="628"/>
      <c r="D104" s="628"/>
      <c r="E104" s="628"/>
      <c r="F104" s="629"/>
    </row>
    <row r="105" spans="1:6" ht="18" customHeight="1" x14ac:dyDescent="0.25">
      <c r="A105" s="627" t="s">
        <v>105</v>
      </c>
      <c r="B105" s="628"/>
      <c r="C105" s="628"/>
      <c r="D105" s="628"/>
      <c r="E105" s="628"/>
      <c r="F105" s="629"/>
    </row>
    <row r="106" spans="1:6" ht="28.5" customHeight="1" x14ac:dyDescent="0.25">
      <c r="A106" s="627" t="s">
        <v>106</v>
      </c>
      <c r="B106" s="628"/>
      <c r="C106" s="628"/>
      <c r="D106" s="628"/>
      <c r="E106" s="628"/>
      <c r="F106" s="629"/>
    </row>
    <row r="107" spans="1:6" ht="18" customHeight="1" x14ac:dyDescent="0.25">
      <c r="A107" s="627" t="s">
        <v>107</v>
      </c>
      <c r="B107" s="628"/>
      <c r="C107" s="628"/>
      <c r="D107" s="628"/>
      <c r="E107" s="628"/>
      <c r="F107" s="629"/>
    </row>
    <row r="108" spans="1:6" ht="18" customHeight="1" x14ac:dyDescent="0.25">
      <c r="A108" s="636" t="s">
        <v>108</v>
      </c>
      <c r="B108" s="637"/>
      <c r="C108" s="637"/>
      <c r="D108" s="637"/>
      <c r="E108" s="637"/>
      <c r="F108" s="638"/>
    </row>
    <row r="109" spans="1:6" ht="18" customHeight="1" x14ac:dyDescent="0.25">
      <c r="A109" s="627" t="s">
        <v>109</v>
      </c>
      <c r="B109" s="628"/>
      <c r="C109" s="628"/>
      <c r="D109" s="628"/>
      <c r="E109" s="628"/>
      <c r="F109" s="629"/>
    </row>
    <row r="110" spans="1:6" ht="18" customHeight="1" x14ac:dyDescent="0.25">
      <c r="A110" s="627" t="s">
        <v>110</v>
      </c>
      <c r="B110" s="628"/>
      <c r="C110" s="628"/>
      <c r="D110" s="628"/>
      <c r="E110" s="628"/>
      <c r="F110" s="629"/>
    </row>
    <row r="111" spans="1:6" ht="18" customHeight="1" x14ac:dyDescent="0.25">
      <c r="A111" s="627" t="s">
        <v>111</v>
      </c>
      <c r="B111" s="628"/>
      <c r="C111" s="628"/>
      <c r="D111" s="628"/>
      <c r="E111" s="628"/>
      <c r="F111" s="629"/>
    </row>
    <row r="112" spans="1:6" ht="18" customHeight="1" x14ac:dyDescent="0.25">
      <c r="A112" s="627" t="s">
        <v>112</v>
      </c>
      <c r="B112" s="628"/>
      <c r="C112" s="628"/>
      <c r="D112" s="628"/>
      <c r="E112" s="628"/>
      <c r="F112" s="629"/>
    </row>
    <row r="113" spans="1:6" ht="18" customHeight="1" x14ac:dyDescent="0.25">
      <c r="A113" s="627" t="s">
        <v>113</v>
      </c>
      <c r="B113" s="628"/>
      <c r="C113" s="628"/>
      <c r="D113" s="628"/>
      <c r="E113" s="628"/>
      <c r="F113" s="629"/>
    </row>
    <row r="114" spans="1:6" ht="18" customHeight="1" x14ac:dyDescent="0.25">
      <c r="A114" s="627" t="s">
        <v>114</v>
      </c>
      <c r="B114" s="628"/>
      <c r="C114" s="628"/>
      <c r="D114" s="628"/>
      <c r="E114" s="628"/>
      <c r="F114" s="629"/>
    </row>
    <row r="115" spans="1:6" ht="18" customHeight="1" x14ac:dyDescent="0.25">
      <c r="A115" s="627" t="s">
        <v>115</v>
      </c>
      <c r="B115" s="628"/>
      <c r="C115" s="628"/>
      <c r="D115" s="628"/>
      <c r="E115" s="628"/>
      <c r="F115" s="629"/>
    </row>
    <row r="116" spans="1:6" ht="18" customHeight="1" x14ac:dyDescent="0.25">
      <c r="A116" s="626" t="s">
        <v>116</v>
      </c>
      <c r="B116" s="626"/>
      <c r="C116" s="626"/>
      <c r="D116" s="626"/>
      <c r="E116" s="626"/>
      <c r="F116" s="626"/>
    </row>
    <row r="117" spans="1:6" ht="18" customHeight="1" x14ac:dyDescent="0.25">
      <c r="A117" s="627" t="s">
        <v>117</v>
      </c>
      <c r="B117" s="628"/>
      <c r="C117" s="628"/>
      <c r="D117" s="628"/>
      <c r="E117" s="628"/>
      <c r="F117" s="629"/>
    </row>
    <row r="118" spans="1:6" ht="18" customHeight="1" x14ac:dyDescent="0.25">
      <c r="A118" s="627" t="s">
        <v>118</v>
      </c>
      <c r="B118" s="628"/>
      <c r="C118" s="628"/>
      <c r="D118" s="628"/>
      <c r="E118" s="628"/>
      <c r="F118" s="629"/>
    </row>
    <row r="119" spans="1:6" ht="18" customHeight="1" x14ac:dyDescent="0.25">
      <c r="A119" s="626" t="s">
        <v>119</v>
      </c>
      <c r="B119" s="626"/>
      <c r="C119" s="626"/>
      <c r="D119" s="626"/>
      <c r="E119" s="626"/>
      <c r="F119" s="626"/>
    </row>
    <row r="120" spans="1:6" ht="18" customHeight="1" x14ac:dyDescent="0.25">
      <c r="A120" s="632" t="s">
        <v>120</v>
      </c>
      <c r="B120" s="632"/>
      <c r="C120" s="632"/>
      <c r="D120" s="632"/>
      <c r="E120" s="632"/>
      <c r="F120" s="632"/>
    </row>
    <row r="121" spans="1:6" ht="18" customHeight="1" x14ac:dyDescent="0.25">
      <c r="A121" s="627" t="s">
        <v>121</v>
      </c>
      <c r="B121" s="628"/>
      <c r="C121" s="628"/>
      <c r="D121" s="628"/>
      <c r="E121" s="628"/>
      <c r="F121" s="629"/>
    </row>
    <row r="122" spans="1:6" ht="18" customHeight="1" x14ac:dyDescent="0.25">
      <c r="A122" s="626" t="s">
        <v>122</v>
      </c>
      <c r="B122" s="626"/>
      <c r="C122" s="626"/>
      <c r="D122" s="626"/>
      <c r="E122" s="626"/>
      <c r="F122" s="626"/>
    </row>
    <row r="123" spans="1:6" ht="18" customHeight="1" x14ac:dyDescent="0.25">
      <c r="A123" s="632" t="s">
        <v>123</v>
      </c>
      <c r="B123" s="632"/>
      <c r="C123" s="632"/>
      <c r="D123" s="632"/>
      <c r="E123" s="632"/>
      <c r="F123" s="632"/>
    </row>
    <row r="124" spans="1:6" ht="18" customHeight="1" x14ac:dyDescent="0.25">
      <c r="A124" s="626" t="s">
        <v>124</v>
      </c>
      <c r="B124" s="626"/>
      <c r="C124" s="626"/>
      <c r="D124" s="626"/>
      <c r="E124" s="626"/>
      <c r="F124" s="626"/>
    </row>
    <row r="125" spans="1:6" ht="18" customHeight="1" x14ac:dyDescent="0.25">
      <c r="A125" s="632" t="s">
        <v>125</v>
      </c>
      <c r="B125" s="632"/>
      <c r="C125" s="632"/>
      <c r="D125" s="632"/>
      <c r="E125" s="632"/>
      <c r="F125" s="632"/>
    </row>
    <row r="126" spans="1:6" ht="18" customHeight="1" x14ac:dyDescent="0.25">
      <c r="A126" s="626" t="s">
        <v>126</v>
      </c>
      <c r="B126" s="626"/>
      <c r="C126" s="626"/>
      <c r="D126" s="626"/>
      <c r="E126" s="626"/>
      <c r="F126" s="626"/>
    </row>
    <row r="127" spans="1:6" ht="18" customHeight="1" x14ac:dyDescent="0.25">
      <c r="A127" s="632" t="s">
        <v>127</v>
      </c>
      <c r="B127" s="632"/>
      <c r="C127" s="632"/>
      <c r="D127" s="632"/>
      <c r="E127" s="632"/>
      <c r="F127" s="632"/>
    </row>
    <row r="128" spans="1:6" ht="18" customHeight="1" x14ac:dyDescent="0.25">
      <c r="A128" s="627" t="s">
        <v>128</v>
      </c>
      <c r="B128" s="628"/>
      <c r="C128" s="628"/>
      <c r="D128" s="628"/>
      <c r="E128" s="628"/>
      <c r="F128" s="629"/>
    </row>
    <row r="129" spans="1:6" ht="18" customHeight="1" x14ac:dyDescent="0.25">
      <c r="A129" s="627" t="s">
        <v>129</v>
      </c>
      <c r="B129" s="628"/>
      <c r="C129" s="628"/>
      <c r="D129" s="628"/>
      <c r="E129" s="628"/>
      <c r="F129" s="629"/>
    </row>
    <row r="130" spans="1:6" ht="18" customHeight="1" x14ac:dyDescent="0.25">
      <c r="A130" s="626" t="s">
        <v>130</v>
      </c>
      <c r="B130" s="626"/>
      <c r="C130" s="626"/>
      <c r="D130" s="626"/>
      <c r="E130" s="626"/>
      <c r="F130" s="626"/>
    </row>
    <row r="131" spans="1:6" ht="18" customHeight="1" x14ac:dyDescent="0.25">
      <c r="A131" s="627" t="s">
        <v>131</v>
      </c>
      <c r="B131" s="630"/>
      <c r="C131" s="630"/>
      <c r="D131" s="630"/>
      <c r="E131" s="630"/>
      <c r="F131" s="631"/>
    </row>
    <row r="132" spans="1:6" ht="18" customHeight="1" x14ac:dyDescent="0.25">
      <c r="A132" s="627" t="s">
        <v>132</v>
      </c>
      <c r="B132" s="630"/>
      <c r="C132" s="630"/>
      <c r="D132" s="630"/>
      <c r="E132" s="630"/>
      <c r="F132" s="631"/>
    </row>
    <row r="133" spans="1:6" ht="18" customHeight="1" x14ac:dyDescent="0.25">
      <c r="A133" s="627" t="s">
        <v>133</v>
      </c>
      <c r="B133" s="630"/>
      <c r="C133" s="630"/>
      <c r="D133" s="630"/>
      <c r="E133" s="630"/>
      <c r="F133" s="631"/>
    </row>
    <row r="134" spans="1:6" ht="18" customHeight="1" x14ac:dyDescent="0.25">
      <c r="A134" s="627" t="s">
        <v>134</v>
      </c>
      <c r="B134" s="628"/>
      <c r="C134" s="628"/>
      <c r="D134" s="628"/>
      <c r="E134" s="628"/>
      <c r="F134" s="629"/>
    </row>
    <row r="135" spans="1:6" ht="18" customHeight="1" x14ac:dyDescent="0.25">
      <c r="A135" s="627" t="s">
        <v>135</v>
      </c>
      <c r="B135" s="628"/>
      <c r="C135" s="628"/>
      <c r="D135" s="628"/>
      <c r="E135" s="628"/>
      <c r="F135" s="629"/>
    </row>
    <row r="136" spans="1:6" ht="18" customHeight="1" x14ac:dyDescent="0.25">
      <c r="A136" s="627" t="s">
        <v>136</v>
      </c>
      <c r="B136" s="628"/>
      <c r="C136" s="628"/>
      <c r="D136" s="628"/>
      <c r="E136" s="628"/>
      <c r="F136" s="629"/>
    </row>
    <row r="137" spans="1:6" ht="18" customHeight="1" x14ac:dyDescent="0.25">
      <c r="A137" s="627" t="s">
        <v>137</v>
      </c>
      <c r="B137" s="628"/>
      <c r="C137" s="628"/>
      <c r="D137" s="628"/>
      <c r="E137" s="628"/>
      <c r="F137" s="629"/>
    </row>
    <row r="138" spans="1:6" ht="18" customHeight="1" x14ac:dyDescent="0.25">
      <c r="A138" s="627" t="s">
        <v>138</v>
      </c>
      <c r="B138" s="628"/>
      <c r="C138" s="628"/>
      <c r="D138" s="628"/>
      <c r="E138" s="628"/>
      <c r="F138" s="629"/>
    </row>
    <row r="139" spans="1:6" ht="18" customHeight="1" x14ac:dyDescent="0.25">
      <c r="A139" s="627" t="s">
        <v>139</v>
      </c>
      <c r="B139" s="628"/>
      <c r="C139" s="628"/>
      <c r="D139" s="628"/>
      <c r="E139" s="628"/>
      <c r="F139" s="629"/>
    </row>
    <row r="140" spans="1:6" ht="18" customHeight="1" x14ac:dyDescent="0.25">
      <c r="A140" s="627" t="s">
        <v>140</v>
      </c>
      <c r="B140" s="628"/>
      <c r="C140" s="628"/>
      <c r="D140" s="628"/>
      <c r="E140" s="628"/>
      <c r="F140" s="629"/>
    </row>
    <row r="141" spans="1:6" ht="18" customHeight="1" x14ac:dyDescent="0.25">
      <c r="A141" s="627" t="s">
        <v>141</v>
      </c>
      <c r="B141" s="628"/>
      <c r="C141" s="628"/>
      <c r="D141" s="628"/>
      <c r="E141" s="628"/>
      <c r="F141" s="629"/>
    </row>
    <row r="142" spans="1:6" ht="18" customHeight="1" x14ac:dyDescent="0.25">
      <c r="A142" s="627" t="s">
        <v>142</v>
      </c>
      <c r="B142" s="628"/>
      <c r="C142" s="628"/>
      <c r="D142" s="628"/>
      <c r="E142" s="628"/>
      <c r="F142" s="629"/>
    </row>
    <row r="143" spans="1:6" ht="18" customHeight="1" x14ac:dyDescent="0.25">
      <c r="A143" s="627" t="s">
        <v>143</v>
      </c>
      <c r="B143" s="628"/>
      <c r="C143" s="628"/>
      <c r="D143" s="628"/>
      <c r="E143" s="628"/>
      <c r="F143" s="629"/>
    </row>
    <row r="144" spans="1:6" ht="18" customHeight="1" x14ac:dyDescent="0.25">
      <c r="A144" s="627" t="s">
        <v>144</v>
      </c>
      <c r="B144" s="628"/>
      <c r="C144" s="628"/>
      <c r="D144" s="628"/>
      <c r="E144" s="628"/>
      <c r="F144" s="629"/>
    </row>
    <row r="145" spans="1:6" ht="18" customHeight="1" x14ac:dyDescent="0.25">
      <c r="A145" s="626" t="s">
        <v>145</v>
      </c>
      <c r="B145" s="626"/>
      <c r="C145" s="626"/>
      <c r="D145" s="626"/>
      <c r="E145" s="626"/>
      <c r="F145" s="626"/>
    </row>
    <row r="146" spans="1:6" ht="18" customHeight="1" x14ac:dyDescent="0.25">
      <c r="A146" s="627" t="s">
        <v>146</v>
      </c>
      <c r="B146" s="630"/>
      <c r="C146" s="630"/>
      <c r="D146" s="630"/>
      <c r="E146" s="630"/>
      <c r="F146" s="631"/>
    </row>
    <row r="147" spans="1:6" ht="18" customHeight="1" x14ac:dyDescent="0.25">
      <c r="A147" s="626" t="s">
        <v>147</v>
      </c>
      <c r="B147" s="626"/>
      <c r="C147" s="626"/>
      <c r="D147" s="626"/>
      <c r="E147" s="626"/>
      <c r="F147" s="626"/>
    </row>
    <row r="148" spans="1:6" ht="18" customHeight="1" x14ac:dyDescent="0.25">
      <c r="A148" s="627" t="s">
        <v>148</v>
      </c>
      <c r="B148" s="630"/>
      <c r="C148" s="630"/>
      <c r="D148" s="630"/>
      <c r="E148" s="630"/>
      <c r="F148" s="631"/>
    </row>
    <row r="149" spans="1:6" ht="18" customHeight="1" x14ac:dyDescent="0.25">
      <c r="A149" s="627" t="s">
        <v>149</v>
      </c>
      <c r="B149" s="628"/>
      <c r="C149" s="628"/>
      <c r="D149" s="628"/>
      <c r="E149" s="628"/>
      <c r="F149" s="629"/>
    </row>
    <row r="150" spans="1:6" ht="18" customHeight="1" x14ac:dyDescent="0.25">
      <c r="A150" s="626" t="s">
        <v>150</v>
      </c>
      <c r="B150" s="626"/>
      <c r="C150" s="626"/>
      <c r="D150" s="626"/>
      <c r="E150" s="626"/>
      <c r="F150" s="626"/>
    </row>
    <row r="151" spans="1:6" ht="18" customHeight="1" x14ac:dyDescent="0.25">
      <c r="A151" s="632" t="s">
        <v>151</v>
      </c>
      <c r="B151" s="632"/>
      <c r="C151" s="632"/>
      <c r="D151" s="632"/>
      <c r="E151" s="632"/>
      <c r="F151" s="632"/>
    </row>
    <row r="152" spans="1:6" ht="18" customHeight="1" x14ac:dyDescent="0.25">
      <c r="A152" s="632" t="s">
        <v>152</v>
      </c>
      <c r="B152" s="632"/>
      <c r="C152" s="632"/>
      <c r="D152" s="632"/>
      <c r="E152" s="632"/>
      <c r="F152" s="632"/>
    </row>
    <row r="153" spans="1:6" ht="18" customHeight="1" x14ac:dyDescent="0.25">
      <c r="A153" s="632" t="s">
        <v>153</v>
      </c>
      <c r="B153" s="632"/>
      <c r="C153" s="632"/>
      <c r="D153" s="632"/>
      <c r="E153" s="632"/>
      <c r="F153" s="632"/>
    </row>
    <row r="154" spans="1:6" ht="18" customHeight="1" x14ac:dyDescent="0.25">
      <c r="A154" s="632" t="s">
        <v>154</v>
      </c>
      <c r="B154" s="632"/>
      <c r="C154" s="632"/>
      <c r="D154" s="632"/>
      <c r="E154" s="632"/>
      <c r="F154" s="632"/>
    </row>
    <row r="155" spans="1:6" ht="18" customHeight="1" x14ac:dyDescent="0.25">
      <c r="A155" s="627" t="s">
        <v>155</v>
      </c>
      <c r="B155" s="628"/>
      <c r="C155" s="628"/>
      <c r="D155" s="628"/>
      <c r="E155" s="628"/>
      <c r="F155" s="629"/>
    </row>
    <row r="156" spans="1:6" ht="18" customHeight="1" x14ac:dyDescent="0.25">
      <c r="A156" s="627" t="s">
        <v>156</v>
      </c>
      <c r="B156" s="628"/>
      <c r="C156" s="628"/>
      <c r="D156" s="628"/>
      <c r="E156" s="628"/>
      <c r="F156" s="629"/>
    </row>
    <row r="157" spans="1:6" ht="18" customHeight="1" x14ac:dyDescent="0.25">
      <c r="A157" s="626" t="s">
        <v>157</v>
      </c>
      <c r="B157" s="626"/>
      <c r="C157" s="626"/>
      <c r="D157" s="626"/>
      <c r="E157" s="626"/>
      <c r="F157" s="626"/>
    </row>
    <row r="158" spans="1:6" ht="18" customHeight="1" x14ac:dyDescent="0.25">
      <c r="A158" s="627" t="s">
        <v>158</v>
      </c>
      <c r="B158" s="630"/>
      <c r="C158" s="630"/>
      <c r="D158" s="630"/>
      <c r="E158" s="630"/>
      <c r="F158" s="631"/>
    </row>
    <row r="159" spans="1:6" s="350" customFormat="1" ht="18" customHeight="1" x14ac:dyDescent="0.25">
      <c r="A159" s="626" t="s">
        <v>159</v>
      </c>
      <c r="B159" s="626"/>
      <c r="C159" s="626"/>
      <c r="D159" s="626"/>
      <c r="E159" s="626"/>
      <c r="F159" s="626"/>
    </row>
    <row r="160" spans="1:6" ht="18" customHeight="1" x14ac:dyDescent="0.25">
      <c r="A160" s="627" t="s">
        <v>160</v>
      </c>
      <c r="B160" s="630"/>
      <c r="C160" s="630"/>
      <c r="D160" s="630"/>
      <c r="E160" s="630"/>
      <c r="F160" s="631"/>
    </row>
    <row r="161" spans="1:6" ht="18" customHeight="1" x14ac:dyDescent="0.25">
      <c r="A161" s="627" t="s">
        <v>161</v>
      </c>
      <c r="B161" s="628"/>
      <c r="C161" s="628"/>
      <c r="D161" s="628"/>
      <c r="E161" s="628"/>
      <c r="F161" s="629"/>
    </row>
    <row r="162" spans="1:6" ht="18" customHeight="1" x14ac:dyDescent="0.25">
      <c r="A162" s="626" t="s">
        <v>162</v>
      </c>
      <c r="B162" s="626"/>
      <c r="C162" s="626"/>
      <c r="D162" s="626"/>
      <c r="E162" s="626"/>
      <c r="F162" s="626"/>
    </row>
    <row r="163" spans="1:6" ht="18" customHeight="1" x14ac:dyDescent="0.25">
      <c r="A163" s="627" t="s">
        <v>163</v>
      </c>
      <c r="B163" s="630"/>
      <c r="C163" s="630"/>
      <c r="D163" s="630"/>
      <c r="E163" s="630"/>
      <c r="F163" s="631"/>
    </row>
    <row r="164" spans="1:6" ht="18" customHeight="1" x14ac:dyDescent="0.25">
      <c r="A164" s="627" t="s">
        <v>164</v>
      </c>
      <c r="B164" s="628"/>
      <c r="C164" s="628"/>
      <c r="D164" s="628"/>
      <c r="E164" s="628"/>
      <c r="F164" s="629"/>
    </row>
    <row r="165" spans="1:6" ht="18" customHeight="1" x14ac:dyDescent="0.25">
      <c r="A165" s="627" t="s">
        <v>165</v>
      </c>
      <c r="B165" s="628"/>
      <c r="C165" s="628"/>
      <c r="D165" s="628"/>
      <c r="E165" s="628"/>
      <c r="F165" s="629"/>
    </row>
    <row r="166" spans="1:6" s="350" customFormat="1" ht="18" customHeight="1" x14ac:dyDescent="0.25">
      <c r="A166" s="640" t="s">
        <v>166</v>
      </c>
      <c r="B166" s="641"/>
      <c r="C166" s="641"/>
      <c r="D166" s="641"/>
      <c r="E166" s="641"/>
      <c r="F166" s="642"/>
    </row>
    <row r="167" spans="1:6" s="350" customFormat="1" ht="18" customHeight="1" x14ac:dyDescent="0.25">
      <c r="A167" s="644" t="s">
        <v>167</v>
      </c>
      <c r="B167" s="645"/>
      <c r="C167" s="645"/>
      <c r="D167" s="645"/>
      <c r="E167" s="645"/>
      <c r="F167" s="646"/>
    </row>
    <row r="168" spans="1:6" s="350" customFormat="1" ht="18" customHeight="1" x14ac:dyDescent="0.25">
      <c r="A168" s="640" t="s">
        <v>168</v>
      </c>
      <c r="B168" s="641"/>
      <c r="C168" s="641"/>
      <c r="D168" s="641"/>
      <c r="E168" s="641"/>
      <c r="F168" s="642"/>
    </row>
    <row r="169" spans="1:6" s="350" customFormat="1" ht="18" customHeight="1" x14ac:dyDescent="0.25">
      <c r="A169" s="640" t="s">
        <v>169</v>
      </c>
      <c r="B169" s="641"/>
      <c r="C169" s="641"/>
      <c r="D169" s="641"/>
      <c r="E169" s="641"/>
      <c r="F169" s="642"/>
    </row>
    <row r="170" spans="1:6" s="350" customFormat="1" ht="18" customHeight="1" x14ac:dyDescent="0.25">
      <c r="A170" s="640" t="s">
        <v>170</v>
      </c>
      <c r="B170" s="641"/>
      <c r="C170" s="641"/>
      <c r="D170" s="641"/>
      <c r="E170" s="641"/>
      <c r="F170" s="642"/>
    </row>
    <row r="171" spans="1:6" s="350" customFormat="1" ht="18" customHeight="1" x14ac:dyDescent="0.25">
      <c r="A171" s="640" t="s">
        <v>171</v>
      </c>
      <c r="B171" s="641"/>
      <c r="C171" s="641"/>
      <c r="D171" s="641"/>
      <c r="E171" s="641"/>
      <c r="F171" s="642"/>
    </row>
    <row r="172" spans="1:6" s="350" customFormat="1" ht="18" customHeight="1" x14ac:dyDescent="0.25">
      <c r="A172" s="640" t="s">
        <v>172</v>
      </c>
      <c r="B172" s="641"/>
      <c r="C172" s="641"/>
      <c r="D172" s="641"/>
      <c r="E172" s="641"/>
      <c r="F172" s="642"/>
    </row>
    <row r="173" spans="1:6" s="350" customFormat="1" ht="18" customHeight="1" x14ac:dyDescent="0.25">
      <c r="A173" s="640" t="s">
        <v>173</v>
      </c>
      <c r="B173" s="641"/>
      <c r="C173" s="641"/>
      <c r="D173" s="641"/>
      <c r="E173" s="641"/>
      <c r="F173" s="642"/>
    </row>
    <row r="174" spans="1:6" s="350" customFormat="1" ht="18" customHeight="1" x14ac:dyDescent="0.25">
      <c r="A174" s="640" t="s">
        <v>174</v>
      </c>
      <c r="B174" s="641"/>
      <c r="C174" s="641"/>
      <c r="D174" s="641"/>
      <c r="E174" s="641"/>
      <c r="F174" s="642"/>
    </row>
    <row r="175" spans="1:6" s="350" customFormat="1" ht="18" customHeight="1" x14ac:dyDescent="0.25">
      <c r="A175" s="640" t="s">
        <v>175</v>
      </c>
      <c r="B175" s="641"/>
      <c r="C175" s="641"/>
      <c r="D175" s="641"/>
      <c r="E175" s="641"/>
      <c r="F175" s="642"/>
    </row>
    <row r="176" spans="1:6" s="350" customFormat="1" ht="18" customHeight="1" x14ac:dyDescent="0.25">
      <c r="A176" s="639" t="s">
        <v>176</v>
      </c>
      <c r="B176" s="639"/>
      <c r="C176" s="639"/>
      <c r="D176" s="639"/>
      <c r="E176" s="639"/>
      <c r="F176" s="639"/>
    </row>
    <row r="177" spans="1:6" s="350" customFormat="1" ht="18" customHeight="1" x14ac:dyDescent="0.25">
      <c r="A177" s="633" t="s">
        <v>177</v>
      </c>
      <c r="B177" s="634"/>
      <c r="C177" s="634"/>
      <c r="D177" s="634"/>
      <c r="E177" s="634"/>
      <c r="F177" s="635"/>
    </row>
    <row r="178" spans="1:6" s="350" customFormat="1" ht="18" customHeight="1" x14ac:dyDescent="0.25">
      <c r="A178" s="633" t="s">
        <v>178</v>
      </c>
      <c r="B178" s="634"/>
      <c r="C178" s="634"/>
      <c r="D178" s="634"/>
      <c r="E178" s="634"/>
      <c r="F178" s="635"/>
    </row>
    <row r="179" spans="1:6" s="350" customFormat="1" ht="18" customHeight="1" x14ac:dyDescent="0.25">
      <c r="A179" s="633" t="s">
        <v>179</v>
      </c>
      <c r="B179" s="634"/>
      <c r="C179" s="634"/>
      <c r="D179" s="634"/>
      <c r="E179" s="634"/>
      <c r="F179" s="635"/>
    </row>
    <row r="180" spans="1:6" s="350" customFormat="1" ht="18" customHeight="1" x14ac:dyDescent="0.25">
      <c r="A180" s="639" t="s">
        <v>180</v>
      </c>
      <c r="B180" s="639"/>
      <c r="C180" s="639"/>
      <c r="D180" s="639"/>
      <c r="E180" s="639"/>
      <c r="F180" s="639"/>
    </row>
    <row r="181" spans="1:6" ht="18" customHeight="1" x14ac:dyDescent="0.25">
      <c r="A181" s="633" t="s">
        <v>181</v>
      </c>
      <c r="B181" s="634"/>
      <c r="C181" s="634"/>
      <c r="D181" s="634"/>
      <c r="E181" s="634"/>
      <c r="F181" s="635"/>
    </row>
    <row r="182" spans="1:6" ht="18" customHeight="1" x14ac:dyDescent="0.25">
      <c r="A182" s="640" t="s">
        <v>182</v>
      </c>
      <c r="B182" s="641"/>
      <c r="C182" s="641"/>
      <c r="D182" s="641"/>
      <c r="E182" s="641"/>
      <c r="F182" s="642"/>
    </row>
    <row r="183" spans="1:6" ht="18" customHeight="1" x14ac:dyDescent="0.25">
      <c r="A183" s="639" t="s">
        <v>183</v>
      </c>
      <c r="B183" s="639"/>
      <c r="C183" s="639"/>
      <c r="D183" s="639"/>
      <c r="E183" s="639"/>
      <c r="F183" s="639"/>
    </row>
    <row r="184" spans="1:6" ht="18" customHeight="1" x14ac:dyDescent="0.25">
      <c r="A184" s="633" t="s">
        <v>184</v>
      </c>
      <c r="B184" s="634"/>
      <c r="C184" s="634"/>
      <c r="D184" s="634"/>
      <c r="E184" s="634"/>
      <c r="F184" s="635"/>
    </row>
    <row r="185" spans="1:6" ht="18" customHeight="1" x14ac:dyDescent="0.25">
      <c r="A185" s="640" t="s">
        <v>185</v>
      </c>
      <c r="B185" s="641"/>
      <c r="C185" s="641"/>
      <c r="D185" s="641"/>
      <c r="E185" s="641"/>
      <c r="F185" s="642"/>
    </row>
    <row r="186" spans="1:6" ht="18" customHeight="1" x14ac:dyDescent="0.25">
      <c r="A186" s="640" t="s">
        <v>186</v>
      </c>
      <c r="B186" s="641"/>
      <c r="C186" s="641"/>
      <c r="D186" s="641"/>
      <c r="E186" s="641"/>
      <c r="F186" s="642"/>
    </row>
    <row r="187" spans="1:6" ht="18" customHeight="1" x14ac:dyDescent="0.25">
      <c r="A187" s="640" t="s">
        <v>187</v>
      </c>
      <c r="B187" s="641"/>
      <c r="C187" s="641"/>
      <c r="D187" s="641"/>
      <c r="E187" s="641"/>
      <c r="F187" s="642"/>
    </row>
    <row r="188" spans="1:6" ht="18" customHeight="1" x14ac:dyDescent="0.25">
      <c r="A188" s="640" t="s">
        <v>188</v>
      </c>
      <c r="B188" s="641"/>
      <c r="C188" s="641"/>
      <c r="D188" s="641"/>
      <c r="E188" s="641"/>
      <c r="F188" s="642"/>
    </row>
    <row r="189" spans="1:6" ht="18" customHeight="1" x14ac:dyDescent="0.25">
      <c r="A189" s="626" t="s">
        <v>189</v>
      </c>
      <c r="B189" s="626"/>
      <c r="C189" s="626"/>
      <c r="D189" s="626"/>
      <c r="E189" s="626"/>
      <c r="F189" s="626"/>
    </row>
    <row r="190" spans="1:6" ht="18" customHeight="1" x14ac:dyDescent="0.25">
      <c r="A190" s="639" t="s">
        <v>190</v>
      </c>
      <c r="B190" s="639"/>
      <c r="C190" s="639"/>
      <c r="D190" s="639"/>
      <c r="E190" s="639"/>
      <c r="F190" s="639"/>
    </row>
    <row r="191" spans="1:6" ht="18" customHeight="1" x14ac:dyDescent="0.25">
      <c r="A191" s="639" t="s">
        <v>191</v>
      </c>
      <c r="B191" s="639"/>
      <c r="C191" s="639"/>
      <c r="D191" s="639"/>
      <c r="E191" s="639"/>
      <c r="F191" s="639"/>
    </row>
    <row r="192" spans="1:6" ht="18" customHeight="1" x14ac:dyDescent="0.25">
      <c r="A192" s="639" t="s">
        <v>192</v>
      </c>
      <c r="B192" s="639"/>
      <c r="C192" s="639"/>
      <c r="D192" s="639"/>
      <c r="E192" s="639"/>
      <c r="F192" s="639"/>
    </row>
    <row r="193" spans="1:6" ht="18" customHeight="1" x14ac:dyDescent="0.25">
      <c r="A193" s="626" t="s">
        <v>193</v>
      </c>
      <c r="B193" s="626"/>
      <c r="C193" s="626"/>
      <c r="D193" s="626"/>
      <c r="E193" s="626"/>
      <c r="F193" s="626"/>
    </row>
    <row r="194" spans="1:6" ht="18" customHeight="1" x14ac:dyDescent="0.25">
      <c r="A194" s="640" t="s">
        <v>194</v>
      </c>
      <c r="B194" s="641"/>
      <c r="C194" s="641"/>
      <c r="D194" s="641"/>
      <c r="E194" s="641"/>
      <c r="F194" s="642"/>
    </row>
    <row r="195" spans="1:6" ht="18" customHeight="1" x14ac:dyDescent="0.25">
      <c r="A195" s="626" t="s">
        <v>195</v>
      </c>
      <c r="B195" s="626"/>
      <c r="C195" s="626"/>
      <c r="D195" s="626"/>
      <c r="E195" s="626"/>
      <c r="F195" s="626"/>
    </row>
    <row r="196" spans="1:6" ht="18" customHeight="1" x14ac:dyDescent="0.25">
      <c r="A196" s="639" t="s">
        <v>196</v>
      </c>
      <c r="B196" s="639"/>
      <c r="C196" s="639"/>
      <c r="D196" s="639"/>
      <c r="E196" s="639"/>
      <c r="F196" s="639"/>
    </row>
    <row r="197" spans="1:6" ht="18" customHeight="1" x14ac:dyDescent="0.25">
      <c r="A197" s="639" t="s">
        <v>197</v>
      </c>
      <c r="B197" s="639"/>
      <c r="C197" s="639"/>
      <c r="D197" s="639"/>
      <c r="E197" s="639"/>
      <c r="F197" s="639"/>
    </row>
    <row r="198" spans="1:6" ht="18" customHeight="1" x14ac:dyDescent="0.25">
      <c r="A198" s="639" t="s">
        <v>198</v>
      </c>
      <c r="B198" s="639"/>
      <c r="C198" s="639"/>
      <c r="D198" s="639"/>
      <c r="E198" s="639"/>
      <c r="F198" s="639"/>
    </row>
    <row r="199" spans="1:6" ht="18" customHeight="1" x14ac:dyDescent="0.25">
      <c r="A199" s="639" t="s">
        <v>199</v>
      </c>
      <c r="B199" s="639"/>
      <c r="C199" s="639"/>
      <c r="D199" s="639"/>
      <c r="E199" s="639"/>
      <c r="F199" s="639"/>
    </row>
    <row r="200" spans="1:6" ht="18" customHeight="1" x14ac:dyDescent="0.25">
      <c r="A200" s="626" t="s">
        <v>200</v>
      </c>
      <c r="B200" s="626"/>
      <c r="C200" s="626"/>
      <c r="D200" s="626"/>
      <c r="E200" s="626"/>
      <c r="F200" s="626"/>
    </row>
    <row r="201" spans="1:6" ht="18" customHeight="1" x14ac:dyDescent="0.25">
      <c r="A201" s="639" t="s">
        <v>201</v>
      </c>
      <c r="B201" s="639"/>
      <c r="C201" s="639"/>
      <c r="D201" s="639"/>
      <c r="E201" s="639"/>
      <c r="F201" s="639"/>
    </row>
    <row r="202" spans="1:6" ht="18" customHeight="1" x14ac:dyDescent="0.25">
      <c r="A202" s="639" t="s">
        <v>202</v>
      </c>
      <c r="B202" s="639"/>
      <c r="C202" s="639"/>
      <c r="D202" s="639"/>
      <c r="E202" s="639"/>
      <c r="F202" s="639"/>
    </row>
    <row r="203" spans="1:6" ht="18" customHeight="1" x14ac:dyDescent="0.25">
      <c r="A203" s="639" t="s">
        <v>203</v>
      </c>
      <c r="B203" s="639"/>
      <c r="C203" s="639"/>
      <c r="D203" s="639"/>
      <c r="E203" s="639"/>
      <c r="F203" s="639"/>
    </row>
    <row r="204" spans="1:6" ht="18" customHeight="1" x14ac:dyDescent="0.25">
      <c r="A204" s="639" t="s">
        <v>204</v>
      </c>
      <c r="B204" s="639"/>
      <c r="C204" s="639"/>
      <c r="D204" s="639"/>
      <c r="E204" s="639"/>
      <c r="F204" s="639"/>
    </row>
    <row r="205" spans="1:6" ht="18" customHeight="1" x14ac:dyDescent="0.25">
      <c r="A205" s="639" t="s">
        <v>205</v>
      </c>
      <c r="B205" s="639"/>
      <c r="C205" s="639"/>
      <c r="D205" s="639"/>
      <c r="E205" s="639"/>
      <c r="F205" s="639"/>
    </row>
    <row r="206" spans="1:6" ht="18" customHeight="1" x14ac:dyDescent="0.25">
      <c r="A206" s="639" t="s">
        <v>206</v>
      </c>
      <c r="B206" s="639"/>
      <c r="C206" s="639"/>
      <c r="D206" s="639"/>
      <c r="E206" s="639"/>
      <c r="F206" s="639"/>
    </row>
    <row r="207" spans="1:6" ht="18" customHeight="1" x14ac:dyDescent="0.25">
      <c r="A207" s="639" t="s">
        <v>207</v>
      </c>
      <c r="B207" s="639"/>
      <c r="C207" s="639"/>
      <c r="D207" s="639"/>
      <c r="E207" s="639"/>
      <c r="F207" s="639"/>
    </row>
    <row r="208" spans="1:6" ht="18" customHeight="1" x14ac:dyDescent="0.25">
      <c r="A208" s="626" t="s">
        <v>208</v>
      </c>
      <c r="B208" s="626"/>
      <c r="C208" s="626"/>
      <c r="D208" s="626"/>
      <c r="E208" s="626"/>
      <c r="F208" s="626"/>
    </row>
    <row r="209" spans="1:6" ht="18" customHeight="1" x14ac:dyDescent="0.25">
      <c r="A209" s="639" t="s">
        <v>209</v>
      </c>
      <c r="B209" s="639"/>
      <c r="C209" s="639"/>
      <c r="D209" s="639"/>
      <c r="E209" s="639"/>
      <c r="F209" s="639"/>
    </row>
    <row r="210" spans="1:6" ht="18" customHeight="1" x14ac:dyDescent="0.25">
      <c r="A210" s="639" t="s">
        <v>210</v>
      </c>
      <c r="B210" s="639"/>
      <c r="C210" s="639"/>
      <c r="D210" s="639"/>
      <c r="E210" s="639"/>
      <c r="F210" s="639"/>
    </row>
    <row r="211" spans="1:6" ht="18" customHeight="1" x14ac:dyDescent="0.25">
      <c r="A211" s="639" t="s">
        <v>211</v>
      </c>
      <c r="B211" s="639"/>
      <c r="C211" s="639"/>
      <c r="D211" s="639"/>
      <c r="E211" s="639"/>
      <c r="F211" s="639"/>
    </row>
    <row r="212" spans="1:6" ht="18" customHeight="1" x14ac:dyDescent="0.25">
      <c r="A212" s="639" t="s">
        <v>212</v>
      </c>
      <c r="B212" s="639"/>
      <c r="C212" s="639"/>
      <c r="D212" s="639"/>
      <c r="E212" s="639"/>
      <c r="F212" s="639"/>
    </row>
    <row r="213" spans="1:6" ht="18" customHeight="1" x14ac:dyDescent="0.25">
      <c r="A213" s="639" t="s">
        <v>213</v>
      </c>
      <c r="B213" s="639"/>
      <c r="C213" s="639"/>
      <c r="D213" s="639"/>
      <c r="E213" s="639"/>
      <c r="F213" s="639"/>
    </row>
    <row r="214" spans="1:6" ht="18" customHeight="1" x14ac:dyDescent="0.25">
      <c r="A214" s="639" t="s">
        <v>214</v>
      </c>
      <c r="B214" s="639"/>
      <c r="C214" s="639"/>
      <c r="D214" s="639"/>
      <c r="E214" s="639"/>
      <c r="F214" s="639"/>
    </row>
    <row r="215" spans="1:6" ht="18" customHeight="1" x14ac:dyDescent="0.25">
      <c r="A215" s="639" t="s">
        <v>215</v>
      </c>
      <c r="B215" s="639"/>
      <c r="C215" s="639"/>
      <c r="D215" s="639"/>
      <c r="E215" s="639"/>
      <c r="F215" s="639"/>
    </row>
    <row r="216" spans="1:6" ht="18" customHeight="1" x14ac:dyDescent="0.25">
      <c r="A216" s="639" t="s">
        <v>216</v>
      </c>
      <c r="B216" s="639"/>
      <c r="C216" s="639"/>
      <c r="D216" s="639"/>
      <c r="E216" s="639"/>
      <c r="F216" s="639"/>
    </row>
    <row r="217" spans="1:6" ht="18" customHeight="1" x14ac:dyDescent="0.25">
      <c r="A217" s="639" t="s">
        <v>217</v>
      </c>
      <c r="B217" s="639"/>
      <c r="C217" s="639"/>
      <c r="D217" s="639"/>
      <c r="E217" s="639"/>
      <c r="F217" s="639"/>
    </row>
    <row r="218" spans="1:6" ht="18" customHeight="1" x14ac:dyDescent="0.25">
      <c r="A218" s="639" t="s">
        <v>218</v>
      </c>
      <c r="B218" s="639"/>
      <c r="C218" s="639"/>
      <c r="D218" s="639"/>
      <c r="E218" s="639"/>
      <c r="F218" s="639"/>
    </row>
    <row r="219" spans="1:6" ht="18" customHeight="1" x14ac:dyDescent="0.25">
      <c r="A219" s="639" t="s">
        <v>219</v>
      </c>
      <c r="B219" s="639"/>
      <c r="C219" s="639"/>
      <c r="D219" s="639"/>
      <c r="E219" s="639"/>
      <c r="F219" s="639"/>
    </row>
    <row r="220" spans="1:6" ht="18" customHeight="1" x14ac:dyDescent="0.25">
      <c r="A220" s="639" t="s">
        <v>220</v>
      </c>
      <c r="B220" s="639"/>
      <c r="C220" s="639"/>
      <c r="D220" s="639"/>
      <c r="E220" s="639"/>
      <c r="F220" s="639"/>
    </row>
    <row r="221" spans="1:6" ht="18" customHeight="1" x14ac:dyDescent="0.25">
      <c r="A221" s="626" t="s">
        <v>221</v>
      </c>
      <c r="B221" s="626"/>
      <c r="C221" s="626"/>
      <c r="D221" s="626"/>
      <c r="E221" s="626"/>
      <c r="F221" s="626"/>
    </row>
    <row r="222" spans="1:6" ht="18" customHeight="1" x14ac:dyDescent="0.25">
      <c r="A222" s="639" t="s">
        <v>222</v>
      </c>
      <c r="B222" s="639"/>
      <c r="C222" s="639"/>
      <c r="D222" s="639"/>
      <c r="E222" s="639"/>
      <c r="F222" s="639"/>
    </row>
    <row r="223" spans="1:6" ht="18" customHeight="1" x14ac:dyDescent="0.25">
      <c r="A223" s="626" t="s">
        <v>223</v>
      </c>
      <c r="B223" s="626"/>
      <c r="C223" s="626"/>
      <c r="D223" s="626"/>
      <c r="E223" s="626"/>
      <c r="F223" s="626"/>
    </row>
    <row r="224" spans="1:6" ht="18" customHeight="1" x14ac:dyDescent="0.25">
      <c r="A224" s="639" t="s">
        <v>224</v>
      </c>
      <c r="B224" s="639"/>
      <c r="C224" s="639"/>
      <c r="D224" s="639"/>
      <c r="E224" s="639"/>
      <c r="F224" s="639"/>
    </row>
    <row r="225" spans="1:6" ht="18" customHeight="1" x14ac:dyDescent="0.25">
      <c r="A225" s="639" t="s">
        <v>225</v>
      </c>
      <c r="B225" s="639"/>
      <c r="C225" s="639"/>
      <c r="D225" s="639"/>
      <c r="E225" s="639"/>
      <c r="F225" s="639"/>
    </row>
    <row r="226" spans="1:6" ht="18" customHeight="1" x14ac:dyDescent="0.25">
      <c r="A226" s="639" t="s">
        <v>226</v>
      </c>
      <c r="B226" s="639"/>
      <c r="C226" s="639"/>
      <c r="D226" s="639"/>
      <c r="E226" s="639"/>
      <c r="F226" s="639"/>
    </row>
    <row r="227" spans="1:6" ht="18" customHeight="1" x14ac:dyDescent="0.25">
      <c r="A227" s="639" t="s">
        <v>227</v>
      </c>
      <c r="B227" s="639"/>
      <c r="C227" s="639"/>
      <c r="D227" s="639"/>
      <c r="E227" s="639"/>
      <c r="F227" s="639"/>
    </row>
    <row r="228" spans="1:6" ht="18" customHeight="1" x14ac:dyDescent="0.25">
      <c r="A228" s="626" t="s">
        <v>228</v>
      </c>
      <c r="B228" s="626"/>
      <c r="C228" s="626"/>
      <c r="D228" s="626"/>
      <c r="E228" s="626"/>
      <c r="F228" s="626"/>
    </row>
    <row r="229" spans="1:6" ht="18" customHeight="1" x14ac:dyDescent="0.25">
      <c r="A229" s="639" t="s">
        <v>229</v>
      </c>
      <c r="B229" s="639"/>
      <c r="C229" s="639"/>
      <c r="D229" s="639"/>
      <c r="E229" s="639"/>
      <c r="F229" s="639"/>
    </row>
    <row r="230" spans="1:6" ht="18" customHeight="1" x14ac:dyDescent="0.25">
      <c r="A230" s="639" t="s">
        <v>230</v>
      </c>
      <c r="B230" s="639"/>
      <c r="C230" s="639"/>
      <c r="D230" s="639"/>
      <c r="E230" s="639"/>
      <c r="F230" s="639"/>
    </row>
    <row r="231" spans="1:6" ht="18" customHeight="1" x14ac:dyDescent="0.25">
      <c r="A231" s="639" t="s">
        <v>231</v>
      </c>
      <c r="B231" s="639"/>
      <c r="C231" s="639"/>
      <c r="D231" s="639"/>
      <c r="E231" s="639"/>
      <c r="F231" s="639"/>
    </row>
    <row r="232" spans="1:6" ht="18" customHeight="1" x14ac:dyDescent="0.25">
      <c r="A232" s="639" t="s">
        <v>232</v>
      </c>
      <c r="B232" s="639"/>
      <c r="C232" s="639"/>
      <c r="D232" s="639"/>
      <c r="E232" s="639"/>
      <c r="F232" s="639"/>
    </row>
    <row r="233" spans="1:6" ht="18" customHeight="1" x14ac:dyDescent="0.25">
      <c r="A233" s="639" t="s">
        <v>233</v>
      </c>
      <c r="B233" s="639"/>
      <c r="C233" s="639"/>
      <c r="D233" s="639"/>
      <c r="E233" s="639"/>
      <c r="F233" s="639"/>
    </row>
    <row r="234" spans="1:6" ht="18" customHeight="1" x14ac:dyDescent="0.25">
      <c r="A234" s="626" t="s">
        <v>234</v>
      </c>
      <c r="B234" s="626"/>
      <c r="C234" s="626"/>
      <c r="D234" s="626"/>
      <c r="E234" s="626"/>
      <c r="F234" s="626"/>
    </row>
    <row r="235" spans="1:6" ht="18" customHeight="1" x14ac:dyDescent="0.25">
      <c r="A235" s="639" t="s">
        <v>235</v>
      </c>
      <c r="B235" s="639"/>
      <c r="C235" s="639"/>
      <c r="D235" s="639"/>
      <c r="E235" s="639"/>
      <c r="F235" s="639"/>
    </row>
    <row r="236" spans="1:6" ht="18" customHeight="1" x14ac:dyDescent="0.25">
      <c r="A236" s="639" t="s">
        <v>236</v>
      </c>
      <c r="B236" s="639"/>
      <c r="C236" s="639"/>
      <c r="D236" s="639"/>
      <c r="E236" s="639"/>
      <c r="F236" s="639"/>
    </row>
    <row r="237" spans="1:6" ht="18" customHeight="1" x14ac:dyDescent="0.25">
      <c r="A237" s="639" t="s">
        <v>237</v>
      </c>
      <c r="B237" s="639"/>
      <c r="C237" s="639"/>
      <c r="D237" s="639"/>
      <c r="E237" s="639"/>
      <c r="F237" s="639"/>
    </row>
    <row r="238" spans="1:6" ht="18" customHeight="1" x14ac:dyDescent="0.25">
      <c r="A238" s="639" t="s">
        <v>238</v>
      </c>
      <c r="B238" s="639"/>
      <c r="C238" s="639"/>
      <c r="D238" s="639"/>
      <c r="E238" s="639"/>
      <c r="F238" s="639"/>
    </row>
    <row r="239" spans="1:6" ht="18" customHeight="1" x14ac:dyDescent="0.25">
      <c r="A239" s="639" t="s">
        <v>239</v>
      </c>
      <c r="B239" s="639"/>
      <c r="C239" s="639"/>
      <c r="D239" s="639"/>
      <c r="E239" s="639"/>
      <c r="F239" s="639"/>
    </row>
    <row r="240" spans="1:6" ht="18" customHeight="1" x14ac:dyDescent="0.25">
      <c r="A240" s="639" t="s">
        <v>240</v>
      </c>
      <c r="B240" s="639"/>
      <c r="C240" s="639"/>
      <c r="D240" s="639"/>
      <c r="E240" s="639"/>
      <c r="F240" s="639"/>
    </row>
    <row r="241" spans="1:6" ht="18" customHeight="1" x14ac:dyDescent="0.25">
      <c r="A241" s="639" t="s">
        <v>241</v>
      </c>
      <c r="B241" s="639"/>
      <c r="C241" s="639"/>
      <c r="D241" s="639"/>
      <c r="E241" s="639"/>
      <c r="F241" s="639"/>
    </row>
    <row r="242" spans="1:6" ht="18" customHeight="1" x14ac:dyDescent="0.25">
      <c r="A242" s="639" t="s">
        <v>242</v>
      </c>
      <c r="B242" s="639"/>
      <c r="C242" s="639"/>
      <c r="D242" s="639"/>
      <c r="E242" s="639"/>
      <c r="F242" s="639"/>
    </row>
    <row r="243" spans="1:6" ht="18" customHeight="1" x14ac:dyDescent="0.25">
      <c r="A243" s="639" t="s">
        <v>243</v>
      </c>
      <c r="B243" s="639"/>
      <c r="C243" s="639"/>
      <c r="D243" s="639"/>
      <c r="E243" s="639"/>
      <c r="F243" s="639"/>
    </row>
    <row r="244" spans="1:6" ht="18" customHeight="1" x14ac:dyDescent="0.25">
      <c r="A244" s="639" t="s">
        <v>244</v>
      </c>
      <c r="B244" s="639"/>
      <c r="C244" s="639"/>
      <c r="D244" s="639"/>
      <c r="E244" s="639"/>
      <c r="F244" s="639"/>
    </row>
    <row r="245" spans="1:6" ht="18" customHeight="1" x14ac:dyDescent="0.25">
      <c r="A245" s="639" t="s">
        <v>245</v>
      </c>
      <c r="B245" s="639"/>
      <c r="C245" s="639"/>
      <c r="D245" s="639"/>
      <c r="E245" s="639"/>
      <c r="F245" s="639"/>
    </row>
    <row r="246" spans="1:6" ht="18" customHeight="1" x14ac:dyDescent="0.25">
      <c r="A246" s="626" t="s">
        <v>246</v>
      </c>
      <c r="B246" s="626"/>
      <c r="C246" s="626"/>
      <c r="D246" s="626"/>
      <c r="E246" s="626"/>
      <c r="F246" s="626"/>
    </row>
    <row r="247" spans="1:6" ht="18" customHeight="1" x14ac:dyDescent="0.25">
      <c r="A247" s="627" t="s">
        <v>247</v>
      </c>
      <c r="B247" s="628"/>
      <c r="C247" s="628"/>
      <c r="D247" s="628"/>
      <c r="E247" s="628"/>
      <c r="F247" s="629"/>
    </row>
  </sheetData>
  <mergeCells count="209">
    <mergeCell ref="A47:F47"/>
    <mergeCell ref="A48:F48"/>
    <mergeCell ref="A51:F51"/>
    <mergeCell ref="A53:F53"/>
    <mergeCell ref="A55:F55"/>
    <mergeCell ref="A61:F61"/>
    <mergeCell ref="A56:F56"/>
    <mergeCell ref="A57:F57"/>
    <mergeCell ref="A49:F49"/>
    <mergeCell ref="A58:F58"/>
    <mergeCell ref="A50:F50"/>
    <mergeCell ref="A59:F59"/>
    <mergeCell ref="A60:F60"/>
    <mergeCell ref="A52:F52"/>
    <mergeCell ref="A54:F54"/>
    <mergeCell ref="A247:F247"/>
    <mergeCell ref="A63:F63"/>
    <mergeCell ref="A64:F64"/>
    <mergeCell ref="A65:F65"/>
    <mergeCell ref="A66:F66"/>
    <mergeCell ref="A68:F68"/>
    <mergeCell ref="A69:F69"/>
    <mergeCell ref="A75:F75"/>
    <mergeCell ref="A76:F76"/>
    <mergeCell ref="A82:F82"/>
    <mergeCell ref="A80:F80"/>
    <mergeCell ref="A81:F81"/>
    <mergeCell ref="A67:F67"/>
    <mergeCell ref="A71:F71"/>
    <mergeCell ref="A70:F70"/>
    <mergeCell ref="A77:F77"/>
    <mergeCell ref="A78:F78"/>
    <mergeCell ref="A79:F79"/>
    <mergeCell ref="A83:F83"/>
    <mergeCell ref="A87:F87"/>
    <mergeCell ref="A93:F93"/>
    <mergeCell ref="A94:F94"/>
    <mergeCell ref="A115:F115"/>
    <mergeCell ref="A84:F84"/>
    <mergeCell ref="A246:F246"/>
    <mergeCell ref="A116:F116"/>
    <mergeCell ref="A117:F117"/>
    <mergeCell ref="A118:F118"/>
    <mergeCell ref="A95:F95"/>
    <mergeCell ref="A96:F96"/>
    <mergeCell ref="A97:F97"/>
    <mergeCell ref="A99:F99"/>
    <mergeCell ref="A100:F100"/>
    <mergeCell ref="A106:F106"/>
    <mergeCell ref="A109:F109"/>
    <mergeCell ref="A110:F110"/>
    <mergeCell ref="A111:F111"/>
    <mergeCell ref="A98:F98"/>
    <mergeCell ref="A114:F114"/>
    <mergeCell ref="A113:F113"/>
    <mergeCell ref="A112:F112"/>
    <mergeCell ref="A138:F138"/>
    <mergeCell ref="A140:F140"/>
    <mergeCell ref="A142:F142"/>
    <mergeCell ref="A143:F143"/>
    <mergeCell ref="A139:F139"/>
    <mergeCell ref="A141:F141"/>
    <mergeCell ref="A136:F136"/>
    <mergeCell ref="A137:F137"/>
    <mergeCell ref="A85:F85"/>
    <mergeCell ref="A86:F86"/>
    <mergeCell ref="A88:F88"/>
    <mergeCell ref="A90:F90"/>
    <mergeCell ref="A89:F89"/>
    <mergeCell ref="A91:F91"/>
    <mergeCell ref="A92:F92"/>
    <mergeCell ref="A191:F191"/>
    <mergeCell ref="A185:F185"/>
    <mergeCell ref="A179:F179"/>
    <mergeCell ref="A187:F187"/>
    <mergeCell ref="A189:F189"/>
    <mergeCell ref="A155:F155"/>
    <mergeCell ref="A156:F156"/>
    <mergeCell ref="A158:F158"/>
    <mergeCell ref="A170:F170"/>
    <mergeCell ref="A181:F181"/>
    <mergeCell ref="A160:F160"/>
    <mergeCell ref="A161:F161"/>
    <mergeCell ref="A177:F177"/>
    <mergeCell ref="A167:F167"/>
    <mergeCell ref="A178:F178"/>
    <mergeCell ref="A180:F180"/>
    <mergeCell ref="A168:F168"/>
    <mergeCell ref="A159:F159"/>
    <mergeCell ref="A157:F157"/>
    <mergeCell ref="A173:F173"/>
    <mergeCell ref="A182:F182"/>
    <mergeCell ref="A186:F186"/>
    <mergeCell ref="A233:F233"/>
    <mergeCell ref="A232:F232"/>
    <mergeCell ref="A231:F231"/>
    <mergeCell ref="A224:F224"/>
    <mergeCell ref="A225:F225"/>
    <mergeCell ref="A220:F220"/>
    <mergeCell ref="A227:F227"/>
    <mergeCell ref="A221:F221"/>
    <mergeCell ref="A226:F226"/>
    <mergeCell ref="A245:F245"/>
    <mergeCell ref="A238:F238"/>
    <mergeCell ref="A239:F239"/>
    <mergeCell ref="A240:F240"/>
    <mergeCell ref="A241:F241"/>
    <mergeCell ref="A242:F242"/>
    <mergeCell ref="A243:F243"/>
    <mergeCell ref="A244:F244"/>
    <mergeCell ref="A235:F235"/>
    <mergeCell ref="A236:F236"/>
    <mergeCell ref="A237:F237"/>
    <mergeCell ref="A234:F234"/>
    <mergeCell ref="A223:F223"/>
    <mergeCell ref="A222:F222"/>
    <mergeCell ref="A228:F228"/>
    <mergeCell ref="A229:F229"/>
    <mergeCell ref="A208:F208"/>
    <mergeCell ref="A209:F209"/>
    <mergeCell ref="A210:F210"/>
    <mergeCell ref="A200:F200"/>
    <mergeCell ref="A202:F202"/>
    <mergeCell ref="A203:F203"/>
    <mergeCell ref="A204:F204"/>
    <mergeCell ref="A216:F216"/>
    <mergeCell ref="A211:F211"/>
    <mergeCell ref="A212:F212"/>
    <mergeCell ref="A213:F213"/>
    <mergeCell ref="A214:F214"/>
    <mergeCell ref="A217:F217"/>
    <mergeCell ref="A215:F215"/>
    <mergeCell ref="A206:F206"/>
    <mergeCell ref="A207:F207"/>
    <mergeCell ref="A218:F218"/>
    <mergeCell ref="A219:F219"/>
    <mergeCell ref="A230:F230"/>
    <mergeCell ref="A1:F1"/>
    <mergeCell ref="A205:F205"/>
    <mergeCell ref="A163:F163"/>
    <mergeCell ref="A199:F199"/>
    <mergeCell ref="A107:F107"/>
    <mergeCell ref="A201:F201"/>
    <mergeCell ref="A119:F119"/>
    <mergeCell ref="A120:F120"/>
    <mergeCell ref="A101:F101"/>
    <mergeCell ref="A102:F102"/>
    <mergeCell ref="A103:F103"/>
    <mergeCell ref="A104:F104"/>
    <mergeCell ref="A121:F121"/>
    <mergeCell ref="A122:F122"/>
    <mergeCell ref="A105:F105"/>
    <mergeCell ref="A108:F108"/>
    <mergeCell ref="A151:F151"/>
    <mergeCell ref="A152:F152"/>
    <mergeCell ref="A149:F149"/>
    <mergeCell ref="A44:F44"/>
    <mergeCell ref="A193:F193"/>
    <mergeCell ref="A190:F190"/>
    <mergeCell ref="A192:F192"/>
    <mergeCell ref="A198:F198"/>
    <mergeCell ref="A72:F72"/>
    <mergeCell ref="A73:F73"/>
    <mergeCell ref="A74:F74"/>
    <mergeCell ref="A197:F197"/>
    <mergeCell ref="A123:F123"/>
    <mergeCell ref="A124:F124"/>
    <mergeCell ref="A125:F125"/>
    <mergeCell ref="A164:F164"/>
    <mergeCell ref="A165:F165"/>
    <mergeCell ref="A196:F196"/>
    <mergeCell ref="A162:F162"/>
    <mergeCell ref="A166:F166"/>
    <mergeCell ref="A169:F169"/>
    <mergeCell ref="A153:F153"/>
    <mergeCell ref="A171:F171"/>
    <mergeCell ref="A172:F172"/>
    <mergeCell ref="A174:F174"/>
    <mergeCell ref="A194:F194"/>
    <mergeCell ref="A188:F188"/>
    <mergeCell ref="A183:F183"/>
    <mergeCell ref="A150:F150"/>
    <mergeCell ref="A195:F195"/>
    <mergeCell ref="A176:F176"/>
    <mergeCell ref="A175:F175"/>
    <mergeCell ref="A40:F40"/>
    <mergeCell ref="A41:F41"/>
    <mergeCell ref="A42:F42"/>
    <mergeCell ref="A43:F43"/>
    <mergeCell ref="A147:F147"/>
    <mergeCell ref="A148:F148"/>
    <mergeCell ref="A154:F154"/>
    <mergeCell ref="A184:F184"/>
    <mergeCell ref="A62:F62"/>
    <mergeCell ref="A45:F45"/>
    <mergeCell ref="A46:F46"/>
    <mergeCell ref="A145:F145"/>
    <mergeCell ref="A146:F146"/>
    <mergeCell ref="A129:F129"/>
    <mergeCell ref="A128:F128"/>
    <mergeCell ref="A126:F126"/>
    <mergeCell ref="A127:F127"/>
    <mergeCell ref="A144:F144"/>
    <mergeCell ref="A130:F130"/>
    <mergeCell ref="A131:F131"/>
    <mergeCell ref="A132:F132"/>
    <mergeCell ref="A134:F134"/>
    <mergeCell ref="A135:F135"/>
    <mergeCell ref="A133:F133"/>
  </mergeCells>
  <phoneticPr fontId="2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50BC3A-20CC-4477-943C-427CFC9A5A21}">
  <sheetPr codeName="Sheet21">
    <pageSetUpPr fitToPage="1"/>
  </sheetPr>
  <dimension ref="A1:W45"/>
  <sheetViews>
    <sheetView zoomScaleNormal="100" workbookViewId="0">
      <selection activeCell="E18" sqref="E18"/>
    </sheetView>
  </sheetViews>
  <sheetFormatPr defaultColWidth="0" defaultRowHeight="12.5" zeroHeight="1" x14ac:dyDescent="0.25"/>
  <cols>
    <col min="1" max="2" width="9.26953125" style="337" customWidth="1"/>
    <col min="3" max="3" width="40.54296875" style="337" customWidth="1"/>
    <col min="4" max="4" width="9.26953125" style="337" customWidth="1"/>
    <col min="5" max="5" width="8.54296875" style="337" customWidth="1"/>
    <col min="6" max="23" width="9.26953125" style="337" customWidth="1"/>
    <col min="24" max="25" width="9.26953125" style="337" hidden="1" customWidth="1"/>
    <col min="26" max="16384" width="9.26953125" style="337" hidden="1"/>
  </cols>
  <sheetData>
    <row r="1" spans="1:1" x14ac:dyDescent="0.25">
      <c r="A1" s="608"/>
    </row>
    <row r="2" spans="1:1" x14ac:dyDescent="0.25"/>
    <row r="3" spans="1:1" x14ac:dyDescent="0.25"/>
    <row r="4" spans="1:1" x14ac:dyDescent="0.25"/>
    <row r="5" spans="1:1" x14ac:dyDescent="0.25"/>
    <row r="6" spans="1:1" x14ac:dyDescent="0.25"/>
    <row r="7" spans="1:1" x14ac:dyDescent="0.25"/>
    <row r="8" spans="1:1" x14ac:dyDescent="0.25"/>
    <row r="9" spans="1:1" x14ac:dyDescent="0.25"/>
    <row r="10" spans="1:1" x14ac:dyDescent="0.25"/>
    <row r="11" spans="1:1" x14ac:dyDescent="0.25"/>
    <row r="12" spans="1:1" x14ac:dyDescent="0.25"/>
    <row r="13" spans="1:1" x14ac:dyDescent="0.25"/>
    <row r="14" spans="1:1" x14ac:dyDescent="0.25"/>
    <row r="15" spans="1:1" x14ac:dyDescent="0.25"/>
    <row r="16" spans="1:1" x14ac:dyDescent="0.25"/>
    <row r="17" spans="3:5" ht="13.5" thickBot="1" x14ac:dyDescent="0.3">
      <c r="C17" s="513" t="s">
        <v>248</v>
      </c>
      <c r="E17" s="513" t="s">
        <v>249</v>
      </c>
    </row>
    <row r="18" spans="3:5" ht="25.15" customHeight="1" thickBot="1" x14ac:dyDescent="0.3">
      <c r="C18" s="514">
        <v>3004</v>
      </c>
      <c r="E18" s="514">
        <v>0</v>
      </c>
    </row>
    <row r="19" spans="3:5" x14ac:dyDescent="0.25"/>
    <row r="20" spans="3:5" x14ac:dyDescent="0.25"/>
    <row r="21" spans="3:5" x14ac:dyDescent="0.25"/>
    <row r="22" spans="3:5" x14ac:dyDescent="0.25"/>
    <row r="23" spans="3:5" x14ac:dyDescent="0.25"/>
    <row r="24" spans="3:5" x14ac:dyDescent="0.25"/>
    <row r="25" spans="3:5" x14ac:dyDescent="0.25"/>
    <row r="26" spans="3:5" x14ac:dyDescent="0.25"/>
    <row r="27" spans="3:5" x14ac:dyDescent="0.25"/>
    <row r="28" spans="3:5" x14ac:dyDescent="0.25"/>
    <row r="29" spans="3:5" x14ac:dyDescent="0.25"/>
    <row r="30" spans="3:5" x14ac:dyDescent="0.25"/>
    <row r="31" spans="3:5" x14ac:dyDescent="0.25"/>
    <row r="32" spans="3:5" x14ac:dyDescent="0.25"/>
    <row r="33" x14ac:dyDescent="0.25"/>
    <row r="34" x14ac:dyDescent="0.25"/>
    <row r="35" x14ac:dyDescent="0.25"/>
    <row r="36" x14ac:dyDescent="0.25"/>
    <row r="37" x14ac:dyDescent="0.25"/>
    <row r="38" x14ac:dyDescent="0.25"/>
    <row r="39" x14ac:dyDescent="0.25"/>
    <row r="40" x14ac:dyDescent="0.25"/>
    <row r="41" x14ac:dyDescent="0.25"/>
    <row r="42" x14ac:dyDescent="0.25"/>
    <row r="43" x14ac:dyDescent="0.25"/>
    <row r="44" x14ac:dyDescent="0.25"/>
    <row r="45" x14ac:dyDescent="0.25"/>
  </sheetData>
  <dataValidations count="2">
    <dataValidation type="whole" operator="greaterThan" allowBlank="1" showInputMessage="1" showErrorMessage="1" errorTitle="Variável incorreta" error="Insira apenas o número da RT." promptTitle="Campo numérico - Número da RT" sqref="C18" xr:uid="{D4E52506-7309-488E-9E77-165202E5CD8C}">
      <formula1>0</formula1>
    </dataValidation>
    <dataValidation type="whole" showInputMessage="1" showErrorMessage="1" sqref="E18" xr:uid="{5F2F1B61-49C6-4A09-9FA8-FFDC75C47932}">
      <formula1>0</formula1>
      <formula2>100</formula2>
    </dataValidation>
  </dataValidations>
  <pageMargins left="0.70866141732283472" right="0.70866141732283472" top="0.74803149606299213" bottom="0.74803149606299213" header="0.31496062992125984" footer="0.31496062992125984"/>
  <pageSetup paperSize="9" scale="46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69C26B-DA25-4BE6-8A8C-E05E6D6DD7B9}">
  <sheetPr codeName="Sheet8">
    <tabColor theme="6" tint="0.39997558519241921"/>
  </sheetPr>
  <dimension ref="A1:P54"/>
  <sheetViews>
    <sheetView zoomScale="80" zoomScaleNormal="80" workbookViewId="0"/>
  </sheetViews>
  <sheetFormatPr defaultColWidth="0" defaultRowHeight="30" customHeight="1" zeroHeight="1" x14ac:dyDescent="0.25"/>
  <cols>
    <col min="1" max="9" width="20.7265625" style="11" customWidth="1"/>
    <col min="10" max="15" width="15.7265625" style="11" customWidth="1"/>
    <col min="16" max="16" width="9.26953125" style="11" customWidth="1"/>
    <col min="17" max="16384" width="9.26953125" style="11" hidden="1"/>
  </cols>
  <sheetData>
    <row r="1" spans="1:15" ht="30" customHeight="1" x14ac:dyDescent="0.25">
      <c r="A1" s="12"/>
    </row>
    <row r="2" spans="1:15" ht="30" customHeight="1" thickBot="1" x14ac:dyDescent="0.3"/>
    <row r="3" spans="1:15" ht="30" customHeight="1" x14ac:dyDescent="0.25">
      <c r="A3" s="12"/>
      <c r="I3" s="468"/>
      <c r="J3" s="656" t="s">
        <v>250</v>
      </c>
      <c r="K3" s="657"/>
      <c r="L3" s="656" t="s">
        <v>251</v>
      </c>
      <c r="M3" s="657"/>
      <c r="N3" s="656" t="s">
        <v>252</v>
      </c>
      <c r="O3" s="657"/>
    </row>
    <row r="4" spans="1:15" ht="30" customHeight="1" thickBot="1" x14ac:dyDescent="0.3">
      <c r="I4" s="467" t="s">
        <v>253</v>
      </c>
      <c r="J4" s="444" t="s">
        <v>254</v>
      </c>
      <c r="K4" s="445" t="s">
        <v>255</v>
      </c>
      <c r="L4" s="446" t="s">
        <v>254</v>
      </c>
      <c r="M4" s="447" t="s">
        <v>255</v>
      </c>
      <c r="N4" s="444" t="s">
        <v>254</v>
      </c>
      <c r="O4" s="445" t="s">
        <v>255</v>
      </c>
    </row>
    <row r="5" spans="1:15" ht="30" customHeight="1" thickTop="1" x14ac:dyDescent="0.25">
      <c r="I5" s="450" t="s">
        <v>256</v>
      </c>
      <c r="J5" s="463" t="s">
        <v>257</v>
      </c>
      <c r="K5" s="464" t="s">
        <v>258</v>
      </c>
      <c r="L5" s="465" t="s">
        <v>259</v>
      </c>
      <c r="M5" s="466" t="s">
        <v>260</v>
      </c>
      <c r="N5" s="474" t="s">
        <v>261</v>
      </c>
      <c r="O5" s="475" t="s">
        <v>262</v>
      </c>
    </row>
    <row r="6" spans="1:15" ht="30" customHeight="1" x14ac:dyDescent="0.25">
      <c r="I6" s="451" t="s">
        <v>263</v>
      </c>
      <c r="J6" s="454" t="s">
        <v>264</v>
      </c>
      <c r="K6" s="455" t="s">
        <v>265</v>
      </c>
      <c r="L6" s="456" t="s">
        <v>266</v>
      </c>
      <c r="M6" s="457" t="s">
        <v>267</v>
      </c>
      <c r="N6" s="454" t="s">
        <v>268</v>
      </c>
      <c r="O6" s="455" t="s">
        <v>269</v>
      </c>
    </row>
    <row r="7" spans="1:15" ht="30" customHeight="1" thickBot="1" x14ac:dyDescent="0.3">
      <c r="I7" s="452" t="s">
        <v>270</v>
      </c>
      <c r="J7" s="458" t="s">
        <v>266</v>
      </c>
      <c r="K7" s="459" t="s">
        <v>271</v>
      </c>
      <c r="L7" s="460" t="s">
        <v>265</v>
      </c>
      <c r="M7" s="461" t="s">
        <v>272</v>
      </c>
      <c r="N7" s="458" t="s">
        <v>273</v>
      </c>
      <c r="O7" s="459" t="s">
        <v>274</v>
      </c>
    </row>
    <row r="8" spans="1:15" ht="30" customHeight="1" thickBot="1" x14ac:dyDescent="0.3">
      <c r="J8" s="462"/>
      <c r="K8" s="462"/>
      <c r="L8" s="81"/>
      <c r="M8" s="81"/>
      <c r="N8" s="81"/>
      <c r="O8" s="81"/>
    </row>
    <row r="9" spans="1:15" ht="30" customHeight="1" thickBot="1" x14ac:dyDescent="0.3">
      <c r="I9" s="87" t="s">
        <v>6</v>
      </c>
      <c r="J9" s="660" t="s">
        <v>250</v>
      </c>
      <c r="K9" s="661"/>
      <c r="L9" s="662" t="s">
        <v>251</v>
      </c>
      <c r="M9" s="661"/>
      <c r="N9" s="662" t="s">
        <v>252</v>
      </c>
      <c r="O9" s="663"/>
    </row>
    <row r="10" spans="1:15" ht="30" customHeight="1" thickTop="1" x14ac:dyDescent="0.25">
      <c r="I10" s="453" t="s">
        <v>275</v>
      </c>
      <c r="J10" s="658" t="s">
        <v>276</v>
      </c>
      <c r="K10" s="659"/>
      <c r="L10" s="664" t="s">
        <v>276</v>
      </c>
      <c r="M10" s="659"/>
      <c r="N10" s="664" t="s">
        <v>276</v>
      </c>
      <c r="O10" s="665"/>
    </row>
    <row r="11" spans="1:15" ht="30" customHeight="1" x14ac:dyDescent="0.25">
      <c r="I11" s="448" t="s">
        <v>277</v>
      </c>
      <c r="J11" s="652" t="s">
        <v>276</v>
      </c>
      <c r="K11" s="653"/>
      <c r="L11" s="650" t="s">
        <v>278</v>
      </c>
      <c r="M11" s="651"/>
      <c r="N11" s="654" t="s">
        <v>279</v>
      </c>
      <c r="O11" s="655"/>
    </row>
    <row r="12" spans="1:15" ht="30" customHeight="1" thickBot="1" x14ac:dyDescent="0.3">
      <c r="I12" s="449" t="s">
        <v>280</v>
      </c>
      <c r="J12" s="647" t="s">
        <v>276</v>
      </c>
      <c r="K12" s="648"/>
      <c r="L12" s="648" t="s">
        <v>276</v>
      </c>
      <c r="M12" s="648"/>
      <c r="N12" s="648" t="s">
        <v>276</v>
      </c>
      <c r="O12" s="649"/>
    </row>
    <row r="13" spans="1:15" ht="30" customHeight="1" x14ac:dyDescent="0.25"/>
    <row r="14" spans="1:15" ht="30" customHeight="1" x14ac:dyDescent="0.25"/>
    <row r="15" spans="1:15" ht="30" customHeight="1" x14ac:dyDescent="0.25"/>
    <row r="16" spans="1:15" ht="30" customHeight="1" x14ac:dyDescent="0.25"/>
    <row r="17" ht="30" customHeight="1" x14ac:dyDescent="0.25"/>
    <row r="18" ht="30" customHeight="1" x14ac:dyDescent="0.25"/>
    <row r="19" ht="30" customHeight="1" x14ac:dyDescent="0.25"/>
    <row r="20" ht="30" customHeight="1" x14ac:dyDescent="0.25"/>
    <row r="21" ht="30" customHeight="1" x14ac:dyDescent="0.25"/>
    <row r="22" ht="30" customHeight="1" x14ac:dyDescent="0.25"/>
    <row r="23" ht="30" customHeight="1" x14ac:dyDescent="0.25"/>
    <row r="24" ht="30" customHeight="1" x14ac:dyDescent="0.25"/>
    <row r="25" ht="30" customHeight="1" x14ac:dyDescent="0.25"/>
    <row r="26" ht="30" customHeight="1" x14ac:dyDescent="0.25"/>
    <row r="27" ht="30" customHeight="1" x14ac:dyDescent="0.25"/>
    <row r="28" ht="30" customHeight="1" x14ac:dyDescent="0.25"/>
    <row r="29" ht="30" customHeight="1" x14ac:dyDescent="0.25"/>
    <row r="30" ht="30" customHeight="1" x14ac:dyDescent="0.25"/>
    <row r="31" ht="30" customHeight="1" x14ac:dyDescent="0.25"/>
    <row r="32" ht="30" customHeight="1" x14ac:dyDescent="0.25"/>
    <row r="33" ht="30" customHeight="1" x14ac:dyDescent="0.25"/>
    <row r="34" ht="30" customHeight="1" x14ac:dyDescent="0.25"/>
    <row r="35" ht="30" customHeight="1" x14ac:dyDescent="0.25"/>
    <row r="36" ht="30" customHeight="1" x14ac:dyDescent="0.25"/>
    <row r="37" ht="30" customHeight="1" x14ac:dyDescent="0.25"/>
    <row r="38" ht="30" customHeight="1" x14ac:dyDescent="0.25"/>
    <row r="39" ht="30" customHeight="1" x14ac:dyDescent="0.25"/>
    <row r="40" ht="30" customHeight="1" x14ac:dyDescent="0.25"/>
    <row r="41" ht="30" customHeight="1" x14ac:dyDescent="0.25"/>
    <row r="42" ht="30" customHeight="1" x14ac:dyDescent="0.25"/>
    <row r="43" ht="30" customHeight="1" x14ac:dyDescent="0.25"/>
    <row r="44" ht="30" customHeight="1" x14ac:dyDescent="0.25"/>
    <row r="45" ht="30" customHeight="1" x14ac:dyDescent="0.25"/>
    <row r="46" ht="30" customHeight="1" x14ac:dyDescent="0.25"/>
    <row r="47" ht="30" customHeight="1" x14ac:dyDescent="0.25"/>
    <row r="48" ht="30" customHeight="1" x14ac:dyDescent="0.25"/>
    <row r="49" ht="30" customHeight="1" x14ac:dyDescent="0.25"/>
    <row r="50" ht="30" customHeight="1" x14ac:dyDescent="0.25"/>
    <row r="51" ht="30" customHeight="1" x14ac:dyDescent="0.25"/>
    <row r="52" ht="30" customHeight="1" x14ac:dyDescent="0.25"/>
    <row r="53" ht="30" customHeight="1" x14ac:dyDescent="0.25"/>
    <row r="54" ht="30" customHeight="1" x14ac:dyDescent="0.25"/>
  </sheetData>
  <mergeCells count="15">
    <mergeCell ref="J3:K3"/>
    <mergeCell ref="L3:M3"/>
    <mergeCell ref="N3:O3"/>
    <mergeCell ref="J10:K10"/>
    <mergeCell ref="J9:K9"/>
    <mergeCell ref="L9:M9"/>
    <mergeCell ref="N9:O9"/>
    <mergeCell ref="L10:M10"/>
    <mergeCell ref="N10:O10"/>
    <mergeCell ref="J12:K12"/>
    <mergeCell ref="L12:M12"/>
    <mergeCell ref="N12:O12"/>
    <mergeCell ref="L11:M11"/>
    <mergeCell ref="J11:K11"/>
    <mergeCell ref="N11:O11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937FFD-3568-415A-AD57-63DC7722D9D8}">
  <sheetPr codeName="Sheet19"/>
  <dimension ref="A1:AE92"/>
  <sheetViews>
    <sheetView zoomScale="80" zoomScaleNormal="80" workbookViewId="0">
      <selection activeCell="B33" sqref="B33"/>
    </sheetView>
  </sheetViews>
  <sheetFormatPr defaultColWidth="0" defaultRowHeight="15.5" zeroHeight="1" x14ac:dyDescent="0.25"/>
  <cols>
    <col min="1" max="1" width="40.54296875" style="42" customWidth="1"/>
    <col min="2" max="2" width="35.26953125" style="42" bestFit="1" customWidth="1"/>
    <col min="3" max="3" width="19.54296875" style="42" customWidth="1"/>
    <col min="4" max="4" width="75.54296875" style="42" customWidth="1"/>
    <col min="5" max="7" width="15.54296875" style="42" customWidth="1"/>
    <col min="8" max="8" width="5.54296875" style="141" customWidth="1"/>
    <col min="9" max="9" width="10.54296875" style="141" customWidth="1"/>
    <col min="10" max="10" width="25.54296875" style="141" customWidth="1"/>
    <col min="11" max="11" width="5.54296875" style="141" customWidth="1"/>
    <col min="12" max="31" width="0" style="141" hidden="1" customWidth="1"/>
    <col min="32" max="16384" width="10.7265625" style="141" hidden="1"/>
  </cols>
  <sheetData>
    <row r="1" spans="1:11" ht="20.149999999999999" customHeight="1" thickBot="1" x14ac:dyDescent="0.3">
      <c r="A1" s="42" t="str">
        <f>_xlfn.CONCAT("Ultima atualização: ", _last_update)</f>
        <v>Ultima atualização: segunda-feira, 17 de agosto de 2026</v>
      </c>
    </row>
    <row r="2" spans="1:11" ht="30" customHeight="1" x14ac:dyDescent="0.25">
      <c r="A2" s="668" t="s">
        <v>281</v>
      </c>
      <c r="B2" s="669"/>
      <c r="C2" s="669"/>
      <c r="D2" s="670"/>
      <c r="E2" s="668" t="s">
        <v>282</v>
      </c>
      <c r="F2" s="670"/>
      <c r="G2" s="671"/>
      <c r="K2" s="71"/>
    </row>
    <row r="3" spans="1:11" ht="20.149999999999999" customHeight="1" thickBot="1" x14ac:dyDescent="0.3">
      <c r="A3" s="602"/>
      <c r="B3" s="601"/>
      <c r="C3" s="601"/>
      <c r="D3" s="469" t="s">
        <v>283</v>
      </c>
      <c r="E3" s="584" t="s">
        <v>284</v>
      </c>
      <c r="F3" s="504" t="s">
        <v>285</v>
      </c>
      <c r="G3" s="469" t="s">
        <v>286</v>
      </c>
      <c r="I3" s="666" t="s">
        <v>287</v>
      </c>
      <c r="J3" s="666"/>
    </row>
    <row r="4" spans="1:11" ht="20.149999999999999" customHeight="1" thickTop="1" x14ac:dyDescent="0.25">
      <c r="A4" s="598" t="s">
        <v>288</v>
      </c>
      <c r="B4" s="599" t="s">
        <v>289</v>
      </c>
      <c r="C4" s="546">
        <v>735</v>
      </c>
      <c r="D4" s="600" t="s">
        <v>290</v>
      </c>
      <c r="E4" s="588"/>
      <c r="F4" s="511"/>
      <c r="G4" s="69"/>
      <c r="I4" s="505" t="s">
        <v>291</v>
      </c>
      <c r="J4" s="72" t="s">
        <v>292</v>
      </c>
    </row>
    <row r="5" spans="1:11" ht="20.149999999999999" customHeight="1" x14ac:dyDescent="0.25">
      <c r="A5" s="603"/>
      <c r="B5" s="63" t="s">
        <v>293</v>
      </c>
      <c r="C5" s="524" t="s">
        <v>992</v>
      </c>
      <c r="D5" s="570" t="s">
        <v>1231</v>
      </c>
      <c r="E5" s="585"/>
      <c r="F5" s="509"/>
      <c r="G5" s="67"/>
      <c r="I5" s="506" t="s">
        <v>294</v>
      </c>
      <c r="J5" s="72" t="s">
        <v>295</v>
      </c>
    </row>
    <row r="6" spans="1:11" ht="20.149999999999999" customHeight="1" x14ac:dyDescent="0.25">
      <c r="A6" s="603"/>
      <c r="B6" s="545" t="s">
        <v>296</v>
      </c>
      <c r="C6" s="546">
        <v>0</v>
      </c>
      <c r="D6" s="575" t="s">
        <v>297</v>
      </c>
      <c r="E6" s="586"/>
      <c r="F6" s="508"/>
      <c r="G6" s="66"/>
      <c r="I6" s="507" t="s">
        <v>298</v>
      </c>
      <c r="J6" s="72" t="s">
        <v>299</v>
      </c>
    </row>
    <row r="7" spans="1:11" ht="20.149999999999999" customHeight="1" x14ac:dyDescent="0.25">
      <c r="A7" s="603"/>
      <c r="B7" s="545" t="s">
        <v>300</v>
      </c>
      <c r="C7" s="593">
        <v>1.0249999999999999</v>
      </c>
      <c r="D7" s="575" t="s">
        <v>301</v>
      </c>
      <c r="E7" s="586"/>
      <c r="F7" s="508"/>
      <c r="G7" s="66"/>
      <c r="I7" s="667" t="s">
        <v>302</v>
      </c>
      <c r="J7" s="667"/>
    </row>
    <row r="8" spans="1:11" ht="20.149999999999999" customHeight="1" x14ac:dyDescent="0.25">
      <c r="A8" s="569"/>
      <c r="B8" s="63" t="s">
        <v>303</v>
      </c>
      <c r="C8" s="275">
        <v>0</v>
      </c>
      <c r="D8" s="570" t="s">
        <v>304</v>
      </c>
      <c r="E8" s="586"/>
      <c r="F8" s="508"/>
      <c r="G8" s="66"/>
    </row>
    <row r="9" spans="1:11" ht="20.149999999999999" customHeight="1" thickBot="1" x14ac:dyDescent="0.3">
      <c r="A9" s="604"/>
      <c r="B9" s="596" t="s">
        <v>305</v>
      </c>
      <c r="C9" s="592">
        <v>0</v>
      </c>
      <c r="D9" s="597" t="s">
        <v>304</v>
      </c>
      <c r="E9" s="589"/>
      <c r="F9" s="512"/>
      <c r="G9" s="70"/>
    </row>
    <row r="10" spans="1:11" ht="20.149999999999999" customHeight="1" x14ac:dyDescent="0.25">
      <c r="A10" s="295" t="s">
        <v>306</v>
      </c>
      <c r="B10" s="364" t="s">
        <v>307</v>
      </c>
      <c r="C10" s="288">
        <v>45.97</v>
      </c>
      <c r="D10" s="594" t="s">
        <v>308</v>
      </c>
      <c r="E10" s="588"/>
      <c r="F10" s="511"/>
      <c r="G10" s="69"/>
    </row>
    <row r="11" spans="1:11" ht="20.149999999999999" customHeight="1" x14ac:dyDescent="0.25">
      <c r="A11" s="291" t="s">
        <v>309</v>
      </c>
      <c r="B11" s="63" t="s">
        <v>310</v>
      </c>
      <c r="C11" s="275">
        <v>55.3</v>
      </c>
      <c r="D11" s="595" t="s">
        <v>308</v>
      </c>
      <c r="E11" s="585"/>
      <c r="F11" s="509"/>
      <c r="G11" s="67"/>
    </row>
    <row r="12" spans="1:11" ht="20.149999999999999" customHeight="1" x14ac:dyDescent="0.25">
      <c r="A12" s="292" t="s">
        <v>1238</v>
      </c>
      <c r="B12" s="63" t="s">
        <v>311</v>
      </c>
      <c r="C12" s="275">
        <v>23.9</v>
      </c>
      <c r="D12" s="595" t="s">
        <v>308</v>
      </c>
      <c r="E12" s="585"/>
      <c r="F12" s="509"/>
      <c r="G12" s="67"/>
    </row>
    <row r="13" spans="1:11" ht="20.149999999999999" customHeight="1" x14ac:dyDescent="0.25">
      <c r="A13" s="291" t="s">
        <v>312</v>
      </c>
      <c r="B13" s="63" t="s">
        <v>313</v>
      </c>
      <c r="C13" s="275">
        <v>33.200000000000003</v>
      </c>
      <c r="D13" s="595" t="s">
        <v>308</v>
      </c>
      <c r="E13" s="585"/>
      <c r="F13" s="509"/>
      <c r="G13" s="67"/>
      <c r="I13" s="71"/>
    </row>
    <row r="14" spans="1:11" ht="20.149999999999999" customHeight="1" x14ac:dyDescent="0.25">
      <c r="A14" s="292" t="s">
        <v>1239</v>
      </c>
      <c r="B14" s="63" t="s">
        <v>314</v>
      </c>
      <c r="C14" s="363">
        <f>SQRT((4/(PI()*1.025))*((C10/1000)-(C12/1000)))</f>
        <v>0.16557482061521617</v>
      </c>
      <c r="D14" s="571" t="s">
        <v>315</v>
      </c>
      <c r="E14" s="585"/>
      <c r="F14" s="509"/>
      <c r="G14" s="67"/>
    </row>
    <row r="15" spans="1:11" ht="20.149999999999999" customHeight="1" x14ac:dyDescent="0.25">
      <c r="A15" s="293"/>
      <c r="B15" s="63" t="s">
        <v>316</v>
      </c>
      <c r="C15" s="276">
        <f>SQRT((4/(PI()*1.025))*((C13/1000)-(C12/1000)))</f>
        <v>0.10748171831406228</v>
      </c>
      <c r="D15" s="571" t="s">
        <v>317</v>
      </c>
      <c r="E15" s="585"/>
      <c r="F15" s="509"/>
      <c r="G15" s="67"/>
    </row>
    <row r="16" spans="1:11" ht="20.149999999999999" customHeight="1" x14ac:dyDescent="0.25">
      <c r="A16" s="293"/>
      <c r="B16" s="63" t="s">
        <v>318</v>
      </c>
      <c r="C16" s="275">
        <v>165.64</v>
      </c>
      <c r="D16" s="595" t="s">
        <v>308</v>
      </c>
      <c r="E16" s="585"/>
      <c r="F16" s="509"/>
      <c r="G16" s="67"/>
    </row>
    <row r="17" spans="1:11" ht="20.149999999999999" customHeight="1" x14ac:dyDescent="0.25">
      <c r="A17" s="293"/>
      <c r="B17" s="63" t="s">
        <v>319</v>
      </c>
      <c r="C17" s="275">
        <v>4</v>
      </c>
      <c r="D17" s="595" t="s">
        <v>308</v>
      </c>
      <c r="E17" s="585"/>
      <c r="F17" s="509"/>
      <c r="G17" s="67"/>
      <c r="I17" s="71"/>
    </row>
    <row r="18" spans="1:11" ht="20.149999999999999" customHeight="1" x14ac:dyDescent="0.25">
      <c r="A18" s="293"/>
      <c r="B18" s="63" t="s">
        <v>320</v>
      </c>
      <c r="C18" s="275">
        <v>1.1499999999999999</v>
      </c>
      <c r="D18" s="571" t="s">
        <v>321</v>
      </c>
      <c r="E18" s="585"/>
      <c r="F18" s="509"/>
      <c r="G18" s="67"/>
    </row>
    <row r="19" spans="1:11" ht="20.149999999999999" customHeight="1" x14ac:dyDescent="0.25">
      <c r="A19" s="293"/>
      <c r="B19" s="63" t="s">
        <v>322</v>
      </c>
      <c r="C19" s="275">
        <v>2.4300000000000002</v>
      </c>
      <c r="D19" s="572" t="s">
        <v>323</v>
      </c>
      <c r="E19" s="585"/>
      <c r="F19" s="509"/>
      <c r="G19" s="67"/>
    </row>
    <row r="20" spans="1:11" ht="20.149999999999999" customHeight="1" x14ac:dyDescent="0.25">
      <c r="A20" s="293"/>
      <c r="B20" s="63" t="s">
        <v>324</v>
      </c>
      <c r="C20" s="367">
        <v>16.420000000000002</v>
      </c>
      <c r="D20" s="573" t="s">
        <v>325</v>
      </c>
      <c r="E20" s="585"/>
      <c r="F20" s="509"/>
      <c r="G20" s="67"/>
    </row>
    <row r="21" spans="1:11" ht="20.149999999999999" customHeight="1" x14ac:dyDescent="0.25">
      <c r="A21" s="293"/>
      <c r="B21" s="63" t="s">
        <v>326</v>
      </c>
      <c r="C21" s="277">
        <v>396.48679423052965</v>
      </c>
      <c r="D21" s="571" t="s">
        <v>327</v>
      </c>
      <c r="E21" s="585"/>
      <c r="F21" s="509"/>
      <c r="G21" s="67"/>
    </row>
    <row r="22" spans="1:11" ht="20.149999999999999" customHeight="1" x14ac:dyDescent="0.25">
      <c r="A22" s="293"/>
      <c r="B22" s="64" t="s">
        <v>328</v>
      </c>
      <c r="C22" s="368"/>
      <c r="D22" s="571" t="s">
        <v>329</v>
      </c>
      <c r="E22" s="585"/>
      <c r="F22" s="509"/>
      <c r="G22" s="67"/>
    </row>
    <row r="23" spans="1:11" ht="20.149999999999999" customHeight="1" thickBot="1" x14ac:dyDescent="0.3">
      <c r="A23" s="294"/>
      <c r="B23" s="65" t="s">
        <v>330</v>
      </c>
      <c r="C23" s="591">
        <v>331736.2</v>
      </c>
      <c r="D23" s="574" t="s">
        <v>331</v>
      </c>
      <c r="E23" s="587"/>
      <c r="F23" s="510"/>
      <c r="G23" s="68"/>
      <c r="I23" s="71"/>
    </row>
    <row r="24" spans="1:11" ht="20.149999999999999" customHeight="1" x14ac:dyDescent="0.25">
      <c r="A24" s="598" t="s">
        <v>332</v>
      </c>
      <c r="B24" s="545" t="s">
        <v>333</v>
      </c>
      <c r="C24" s="546">
        <v>4191.8</v>
      </c>
      <c r="D24" s="575" t="s">
        <v>334</v>
      </c>
      <c r="E24" s="586"/>
      <c r="F24" s="508"/>
      <c r="G24" s="66"/>
      <c r="I24" s="71"/>
    </row>
    <row r="25" spans="1:11" ht="20.149999999999999" customHeight="1" x14ac:dyDescent="0.25">
      <c r="A25" s="605" t="s">
        <v>335</v>
      </c>
      <c r="B25" s="545" t="s">
        <v>336</v>
      </c>
      <c r="C25" s="546">
        <v>10</v>
      </c>
      <c r="D25" s="575" t="s">
        <v>337</v>
      </c>
      <c r="E25" s="586"/>
      <c r="F25" s="508"/>
      <c r="G25" s="66"/>
      <c r="I25" s="71"/>
    </row>
    <row r="26" spans="1:11" ht="20.149999999999999" customHeight="1" x14ac:dyDescent="0.25">
      <c r="A26" s="292" t="s">
        <v>1240</v>
      </c>
      <c r="B26" s="63" t="s">
        <v>338</v>
      </c>
      <c r="C26" s="274">
        <v>485.35</v>
      </c>
      <c r="D26" s="576" t="s">
        <v>339</v>
      </c>
      <c r="E26" s="585"/>
      <c r="F26" s="509"/>
      <c r="G26" s="67"/>
    </row>
    <row r="27" spans="1:11" ht="20.149999999999999" customHeight="1" x14ac:dyDescent="0.25">
      <c r="A27" s="291" t="s">
        <v>340</v>
      </c>
      <c r="B27" s="63" t="s">
        <v>341</v>
      </c>
      <c r="C27" s="274">
        <v>72</v>
      </c>
      <c r="D27" s="571" t="s">
        <v>342</v>
      </c>
      <c r="E27" s="585"/>
      <c r="F27" s="509"/>
      <c r="G27" s="67"/>
    </row>
    <row r="28" spans="1:11" ht="20.149999999999999" customHeight="1" x14ac:dyDescent="0.25">
      <c r="A28" s="292" t="s">
        <v>1241</v>
      </c>
      <c r="B28" s="63" t="s">
        <v>343</v>
      </c>
      <c r="C28" s="278">
        <f>(($C$26/1000)/($C$24/1000))</f>
        <v>0.11578558137315713</v>
      </c>
      <c r="D28" s="571" t="s">
        <v>344</v>
      </c>
      <c r="E28" s="585"/>
      <c r="F28" s="509"/>
      <c r="G28" s="67"/>
      <c r="K28" s="96"/>
    </row>
    <row r="29" spans="1:11" ht="20.149999999999999" customHeight="1" x14ac:dyDescent="0.25">
      <c r="A29" s="296" t="s">
        <v>345</v>
      </c>
      <c r="B29" s="63" t="s">
        <v>346</v>
      </c>
      <c r="C29" s="278">
        <f>(($C$27/1000)/($C$24/1000))</f>
        <v>1.7176392003435278E-2</v>
      </c>
      <c r="D29" s="571" t="s">
        <v>342</v>
      </c>
      <c r="E29" s="585"/>
      <c r="F29" s="509"/>
      <c r="G29" s="67"/>
    </row>
    <row r="30" spans="1:11" ht="20.149999999999999" customHeight="1" x14ac:dyDescent="0.25">
      <c r="A30" s="470" t="s">
        <v>347</v>
      </c>
      <c r="B30" s="63" t="s">
        <v>314</v>
      </c>
      <c r="C30" s="276">
        <f>SQRT(((4/PI()/1.025)*(C28-C29))+(C32/1000)^2)</f>
        <v>0.39919274564478563</v>
      </c>
      <c r="D30" s="571" t="s">
        <v>348</v>
      </c>
      <c r="E30" s="585"/>
      <c r="F30" s="509"/>
      <c r="G30" s="67"/>
    </row>
    <row r="31" spans="1:11" ht="20.149999999999999" customHeight="1" x14ac:dyDescent="0.25">
      <c r="A31" s="293"/>
      <c r="B31" s="63" t="s">
        <v>349</v>
      </c>
      <c r="C31" s="277">
        <v>302</v>
      </c>
      <c r="D31" s="577" t="s">
        <v>350</v>
      </c>
      <c r="E31" s="585"/>
      <c r="F31" s="509"/>
      <c r="G31" s="67"/>
    </row>
    <row r="32" spans="1:11" ht="20.149999999999999" customHeight="1" x14ac:dyDescent="0.25">
      <c r="A32" s="293"/>
      <c r="B32" s="63" t="s">
        <v>351</v>
      </c>
      <c r="C32" s="277">
        <v>192</v>
      </c>
      <c r="D32" s="577" t="s">
        <v>352</v>
      </c>
      <c r="E32" s="585"/>
      <c r="F32" s="509"/>
      <c r="G32" s="67"/>
    </row>
    <row r="33" spans="1:11" ht="20.149999999999999" customHeight="1" x14ac:dyDescent="0.25">
      <c r="A33" s="296"/>
      <c r="B33" s="63" t="s">
        <v>318</v>
      </c>
      <c r="C33" s="274">
        <v>490</v>
      </c>
      <c r="D33" s="571" t="s">
        <v>353</v>
      </c>
      <c r="E33" s="585"/>
      <c r="F33" s="509"/>
      <c r="G33" s="67"/>
    </row>
    <row r="34" spans="1:11" ht="20.149999999999999" customHeight="1" x14ac:dyDescent="0.25">
      <c r="A34" s="296"/>
      <c r="B34" s="63" t="s">
        <v>354</v>
      </c>
      <c r="C34" s="369">
        <v>2.69</v>
      </c>
      <c r="D34" s="571" t="s">
        <v>355</v>
      </c>
      <c r="E34" s="585"/>
      <c r="F34" s="509"/>
      <c r="G34" s="67"/>
    </row>
    <row r="35" spans="1:11" ht="20.149999999999999" customHeight="1" x14ac:dyDescent="0.25">
      <c r="A35" s="293"/>
      <c r="B35" s="63" t="s">
        <v>356</v>
      </c>
      <c r="C35" s="274">
        <v>30</v>
      </c>
      <c r="D35" s="576" t="s">
        <v>339</v>
      </c>
      <c r="E35" s="585"/>
      <c r="F35" s="509"/>
      <c r="G35" s="67"/>
    </row>
    <row r="36" spans="1:11" ht="20.149999999999999" customHeight="1" x14ac:dyDescent="0.25">
      <c r="A36" s="293"/>
      <c r="B36" s="63" t="s">
        <v>357</v>
      </c>
      <c r="C36" s="274">
        <v>30</v>
      </c>
      <c r="D36" s="576" t="s">
        <v>339</v>
      </c>
      <c r="E36" s="585"/>
      <c r="F36" s="509"/>
      <c r="G36" s="67"/>
    </row>
    <row r="37" spans="1:11" ht="20.149999999999999" customHeight="1" x14ac:dyDescent="0.25">
      <c r="A37" s="293"/>
      <c r="B37" s="63" t="s">
        <v>358</v>
      </c>
      <c r="C37" s="279">
        <f>IF(A30="Aço",207*10^6,IF(A30="PU",2*10^6,"Selecionar Material"))</f>
        <v>2000000</v>
      </c>
      <c r="D37" s="578" t="s">
        <v>327</v>
      </c>
      <c r="E37" s="585"/>
      <c r="F37" s="509"/>
      <c r="G37" s="61"/>
      <c r="I37" s="71"/>
    </row>
    <row r="38" spans="1:11" ht="20.149999999999999" customHeight="1" x14ac:dyDescent="0.25">
      <c r="A38" s="293"/>
      <c r="B38" s="63" t="s">
        <v>324</v>
      </c>
      <c r="C38" s="280">
        <f>(C37*PI()*(((C31/1000)^4)-((C32/1000)^4))/64)</f>
        <v>683.21934674196893</v>
      </c>
      <c r="D38" s="571" t="s">
        <v>359</v>
      </c>
      <c r="E38" s="585"/>
      <c r="F38" s="509"/>
      <c r="G38" s="67"/>
    </row>
    <row r="39" spans="1:11" ht="20.149999999999999" customHeight="1" x14ac:dyDescent="0.25">
      <c r="A39" s="293"/>
      <c r="B39" s="63" t="s">
        <v>330</v>
      </c>
      <c r="C39" s="281">
        <v>10</v>
      </c>
      <c r="D39" s="571" t="s">
        <v>360</v>
      </c>
      <c r="E39" s="585"/>
      <c r="F39" s="509"/>
      <c r="G39" s="67"/>
      <c r="K39" s="97"/>
    </row>
    <row r="40" spans="1:11" ht="20.149999999999999" customHeight="1" x14ac:dyDescent="0.25">
      <c r="A40" s="293"/>
      <c r="B40" s="63" t="s">
        <v>326</v>
      </c>
      <c r="C40" s="281">
        <v>10</v>
      </c>
      <c r="D40" s="571" t="s">
        <v>361</v>
      </c>
      <c r="E40" s="585"/>
      <c r="F40" s="509"/>
      <c r="G40" s="67"/>
    </row>
    <row r="41" spans="1:11" ht="20.149999999999999" customHeight="1" x14ac:dyDescent="0.25">
      <c r="A41" s="293"/>
      <c r="B41" s="63" t="s">
        <v>362</v>
      </c>
      <c r="C41" s="278">
        <f>(1/C34)</f>
        <v>0.37174721189591081</v>
      </c>
      <c r="D41" s="577" t="s">
        <v>363</v>
      </c>
      <c r="E41" s="585"/>
      <c r="F41" s="509"/>
      <c r="G41" s="67"/>
    </row>
    <row r="42" spans="1:11" ht="20.149999999999999" customHeight="1" x14ac:dyDescent="0.25">
      <c r="A42" s="293"/>
      <c r="B42" s="365" t="s">
        <v>364</v>
      </c>
      <c r="C42" s="282">
        <v>0.01</v>
      </c>
      <c r="D42" s="577" t="s">
        <v>363</v>
      </c>
      <c r="E42" s="585"/>
      <c r="F42" s="509"/>
      <c r="G42" s="67"/>
    </row>
    <row r="43" spans="1:11" ht="20.149999999999999" customHeight="1" x14ac:dyDescent="0.25">
      <c r="A43" s="293"/>
      <c r="B43" s="63" t="s">
        <v>365</v>
      </c>
      <c r="C43" s="278">
        <f>1+C41</f>
        <v>1.3717472118959109</v>
      </c>
      <c r="D43" s="577" t="s">
        <v>363</v>
      </c>
      <c r="E43" s="585"/>
      <c r="F43" s="509"/>
      <c r="G43" s="67"/>
    </row>
    <row r="44" spans="1:11" ht="20.149999999999999" customHeight="1" thickBot="1" x14ac:dyDescent="0.3">
      <c r="A44" s="294"/>
      <c r="B44" s="65" t="s">
        <v>366</v>
      </c>
      <c r="C44" s="287">
        <f>C38+0.01</f>
        <v>683.22934674196893</v>
      </c>
      <c r="D44" s="579" t="s">
        <v>363</v>
      </c>
      <c r="E44" s="587"/>
      <c r="F44" s="510"/>
      <c r="G44" s="68"/>
    </row>
    <row r="45" spans="1:11" ht="20.149999999999999" customHeight="1" x14ac:dyDescent="0.25">
      <c r="A45" s="295" t="s">
        <v>367</v>
      </c>
      <c r="B45" s="364" t="s">
        <v>368</v>
      </c>
      <c r="C45" s="288">
        <v>1193</v>
      </c>
      <c r="D45" s="580" t="s">
        <v>339</v>
      </c>
      <c r="E45" s="588"/>
      <c r="F45" s="511"/>
      <c r="G45" s="69"/>
    </row>
    <row r="46" spans="1:11" ht="20.149999999999999" customHeight="1" x14ac:dyDescent="0.25">
      <c r="A46" s="291" t="s">
        <v>369</v>
      </c>
      <c r="B46" s="63" t="s">
        <v>338</v>
      </c>
      <c r="C46" s="275">
        <v>920</v>
      </c>
      <c r="D46" s="581" t="s">
        <v>339</v>
      </c>
      <c r="E46" s="585"/>
      <c r="F46" s="509"/>
      <c r="G46" s="67"/>
    </row>
    <row r="47" spans="1:11" ht="20.149999999999999" customHeight="1" x14ac:dyDescent="0.25">
      <c r="A47" s="292" t="s">
        <v>1242</v>
      </c>
      <c r="B47" s="63" t="s">
        <v>341</v>
      </c>
      <c r="C47" s="275">
        <v>800</v>
      </c>
      <c r="D47" s="571" t="s">
        <v>370</v>
      </c>
      <c r="E47" s="585"/>
      <c r="F47" s="509"/>
      <c r="G47" s="67"/>
    </row>
    <row r="48" spans="1:11" ht="20.149999999999999" customHeight="1" x14ac:dyDescent="0.25">
      <c r="A48" s="291" t="s">
        <v>340</v>
      </c>
      <c r="B48" s="63" t="s">
        <v>343</v>
      </c>
      <c r="C48" s="278">
        <f>(C46/1000)/(C45/1000)</f>
        <v>0.77116512992455988</v>
      </c>
      <c r="D48" s="571" t="s">
        <v>344</v>
      </c>
      <c r="E48" s="585"/>
      <c r="F48" s="509"/>
      <c r="G48" s="67"/>
    </row>
    <row r="49" spans="1:7" ht="20.149999999999999" customHeight="1" x14ac:dyDescent="0.25">
      <c r="A49" s="292" t="s">
        <v>1243</v>
      </c>
      <c r="B49" s="63" t="s">
        <v>346</v>
      </c>
      <c r="C49" s="278">
        <f>(C47/1000)/(C45/1000)</f>
        <v>0.67057837384744345</v>
      </c>
      <c r="D49" s="582" t="s">
        <v>344</v>
      </c>
      <c r="E49" s="585"/>
      <c r="F49" s="509"/>
      <c r="G49" s="67"/>
    </row>
    <row r="50" spans="1:7" ht="20.149999999999999" customHeight="1" x14ac:dyDescent="0.25">
      <c r="A50" s="296"/>
      <c r="B50" s="471" t="s">
        <v>314</v>
      </c>
      <c r="C50" s="276">
        <f>SQRT(((4/PI()/1.025)*(C48-C49))+(C52/1000)^2)</f>
        <v>0.37767228084807847</v>
      </c>
      <c r="D50" s="571" t="s">
        <v>348</v>
      </c>
      <c r="E50" s="585"/>
      <c r="F50" s="509"/>
      <c r="G50" s="67"/>
    </row>
    <row r="51" spans="1:7" ht="20.149999999999999" customHeight="1" x14ac:dyDescent="0.25">
      <c r="A51" s="293"/>
      <c r="B51" s="63" t="s">
        <v>349</v>
      </c>
      <c r="C51" s="277">
        <v>450</v>
      </c>
      <c r="D51" s="583" t="s">
        <v>371</v>
      </c>
      <c r="E51" s="585"/>
      <c r="F51" s="509"/>
      <c r="G51" s="67"/>
    </row>
    <row r="52" spans="1:7" ht="20.149999999999999" customHeight="1" x14ac:dyDescent="0.25">
      <c r="A52" s="293"/>
      <c r="B52" s="63" t="s">
        <v>351</v>
      </c>
      <c r="C52" s="274">
        <v>133</v>
      </c>
      <c r="D52" s="571" t="s">
        <v>372</v>
      </c>
      <c r="E52" s="585"/>
      <c r="F52" s="509"/>
      <c r="G52" s="67"/>
    </row>
    <row r="53" spans="1:7" ht="20.149999999999999" customHeight="1" x14ac:dyDescent="0.25">
      <c r="A53" s="293"/>
      <c r="B53" s="63" t="s">
        <v>318</v>
      </c>
      <c r="C53" s="274">
        <v>450</v>
      </c>
      <c r="D53" s="571" t="s">
        <v>373</v>
      </c>
      <c r="E53" s="585"/>
      <c r="F53" s="509"/>
      <c r="G53" s="67"/>
    </row>
    <row r="54" spans="1:7" ht="20.149999999999999" customHeight="1" x14ac:dyDescent="0.25">
      <c r="A54" s="293"/>
      <c r="B54" s="63" t="s">
        <v>358</v>
      </c>
      <c r="C54" s="279">
        <f>207*10^6</f>
        <v>207000000</v>
      </c>
      <c r="D54" s="571" t="s">
        <v>374</v>
      </c>
      <c r="E54" s="585"/>
      <c r="F54" s="509"/>
      <c r="G54" s="61"/>
    </row>
    <row r="55" spans="1:7" ht="20.149999999999999" customHeight="1" x14ac:dyDescent="0.25">
      <c r="A55" s="293"/>
      <c r="B55" s="63" t="s">
        <v>324</v>
      </c>
      <c r="C55" s="283">
        <f>C54*PI()*(((C51/1000)^4)-((C52/1000)^4))/64</f>
        <v>413488.73310918862</v>
      </c>
      <c r="D55" s="578" t="s">
        <v>375</v>
      </c>
      <c r="E55" s="585"/>
      <c r="F55" s="509"/>
      <c r="G55" s="67"/>
    </row>
    <row r="56" spans="1:7" ht="20.149999999999999" customHeight="1" x14ac:dyDescent="0.25">
      <c r="A56" s="293"/>
      <c r="B56" s="63" t="s">
        <v>330</v>
      </c>
      <c r="C56" s="281">
        <f>C54*PI()*(((C51/1000)^2)-((C52/1000)^2))/4</f>
        <v>30046095.534958683</v>
      </c>
      <c r="D56" s="578" t="s">
        <v>376</v>
      </c>
      <c r="E56" s="585"/>
      <c r="F56" s="509"/>
      <c r="G56" s="67"/>
    </row>
    <row r="57" spans="1:7" ht="20.149999999999999" customHeight="1" thickBot="1" x14ac:dyDescent="0.3">
      <c r="A57" s="294"/>
      <c r="B57" s="65" t="s">
        <v>326</v>
      </c>
      <c r="C57" s="289">
        <f>(C54*PI())/(2*(1+0.3))*(((C51/1000)^4)-((C52/1000)^4))/32</f>
        <v>318068.25623783743</v>
      </c>
      <c r="D57" s="578" t="s">
        <v>377</v>
      </c>
      <c r="E57" s="587"/>
      <c r="F57" s="510"/>
      <c r="G57" s="68"/>
    </row>
    <row r="58" spans="1:7" ht="20.149999999999999" customHeight="1" x14ac:dyDescent="0.25">
      <c r="A58" s="297" t="s">
        <v>378</v>
      </c>
      <c r="B58" s="364" t="s">
        <v>368</v>
      </c>
      <c r="C58" s="288">
        <v>482</v>
      </c>
      <c r="D58" s="580" t="s">
        <v>339</v>
      </c>
      <c r="E58" s="588"/>
      <c r="F58" s="511"/>
      <c r="G58" s="69"/>
    </row>
    <row r="59" spans="1:7" ht="20.149999999999999" customHeight="1" x14ac:dyDescent="0.25">
      <c r="A59" s="291" t="s">
        <v>379</v>
      </c>
      <c r="B59" s="63" t="s">
        <v>338</v>
      </c>
      <c r="C59" s="275">
        <v>107</v>
      </c>
      <c r="D59" s="581" t="s">
        <v>339</v>
      </c>
      <c r="E59" s="585"/>
      <c r="F59" s="509"/>
      <c r="G59" s="67"/>
    </row>
    <row r="60" spans="1:7" ht="20.149999999999999" customHeight="1" x14ac:dyDescent="0.25">
      <c r="A60" s="292" t="s">
        <v>1244</v>
      </c>
      <c r="B60" s="63" t="s">
        <v>341</v>
      </c>
      <c r="C60" s="275">
        <v>93.09</v>
      </c>
      <c r="D60" s="571" t="s">
        <v>370</v>
      </c>
      <c r="E60" s="585"/>
      <c r="F60" s="509"/>
      <c r="G60" s="67"/>
    </row>
    <row r="61" spans="1:7" ht="20.149999999999999" customHeight="1" x14ac:dyDescent="0.25">
      <c r="A61" s="291" t="s">
        <v>340</v>
      </c>
      <c r="B61" s="63" t="s">
        <v>343</v>
      </c>
      <c r="C61" s="284">
        <f>(C59/1000)/(C58/1000)</f>
        <v>0.22199170124481329</v>
      </c>
      <c r="D61" s="571" t="s">
        <v>344</v>
      </c>
      <c r="E61" s="585"/>
      <c r="F61" s="509"/>
      <c r="G61" s="67"/>
    </row>
    <row r="62" spans="1:7" ht="20.149999999999999" customHeight="1" x14ac:dyDescent="0.25">
      <c r="A62" s="292" t="s">
        <v>1243</v>
      </c>
      <c r="B62" s="63" t="s">
        <v>346</v>
      </c>
      <c r="C62" s="284">
        <f>(C60/1000)/(C58/1000)</f>
        <v>0.19313278008298757</v>
      </c>
      <c r="D62" s="582" t="s">
        <v>344</v>
      </c>
      <c r="E62" s="585"/>
      <c r="F62" s="509"/>
      <c r="G62" s="67"/>
    </row>
    <row r="63" spans="1:7" ht="20.149999999999999" customHeight="1" x14ac:dyDescent="0.25">
      <c r="A63" s="296"/>
      <c r="B63" s="472" t="s">
        <v>314</v>
      </c>
      <c r="C63" s="284">
        <f>SQRT(((4/PI()/1.025)*(C61-C62))+(C65/1000)^2)</f>
        <v>0.21487362966065052</v>
      </c>
      <c r="D63" s="571" t="s">
        <v>348</v>
      </c>
      <c r="E63" s="585"/>
      <c r="F63" s="509"/>
      <c r="G63" s="67"/>
    </row>
    <row r="64" spans="1:7" ht="20.149999999999999" customHeight="1" x14ac:dyDescent="0.25">
      <c r="A64" s="293"/>
      <c r="B64" s="63" t="s">
        <v>349</v>
      </c>
      <c r="C64" s="277">
        <v>131</v>
      </c>
      <c r="D64" s="583" t="s">
        <v>371</v>
      </c>
      <c r="E64" s="585"/>
      <c r="F64" s="509"/>
      <c r="G64" s="67"/>
    </row>
    <row r="65" spans="1:7" ht="20.149999999999999" customHeight="1" x14ac:dyDescent="0.25">
      <c r="A65" s="293"/>
      <c r="B65" s="63" t="s">
        <v>351</v>
      </c>
      <c r="C65" s="274">
        <v>101.6</v>
      </c>
      <c r="D65" s="571" t="s">
        <v>372</v>
      </c>
      <c r="E65" s="585"/>
      <c r="F65" s="509"/>
      <c r="G65" s="67"/>
    </row>
    <row r="66" spans="1:7" ht="20.149999999999999" customHeight="1" x14ac:dyDescent="0.25">
      <c r="A66" s="293"/>
      <c r="B66" s="63" t="s">
        <v>318</v>
      </c>
      <c r="C66" s="274">
        <v>395</v>
      </c>
      <c r="D66" s="571" t="s">
        <v>373</v>
      </c>
      <c r="E66" s="585"/>
      <c r="F66" s="509"/>
      <c r="G66" s="67"/>
    </row>
    <row r="67" spans="1:7" ht="20.149999999999999" customHeight="1" x14ac:dyDescent="0.25">
      <c r="A67" s="293"/>
      <c r="B67" s="63" t="s">
        <v>358</v>
      </c>
      <c r="C67" s="279">
        <f>207*10^6</f>
        <v>207000000</v>
      </c>
      <c r="D67" s="571" t="s">
        <v>374</v>
      </c>
      <c r="E67" s="585"/>
      <c r="F67" s="509"/>
      <c r="G67" s="61"/>
    </row>
    <row r="68" spans="1:7" ht="20.149999999999999" customHeight="1" x14ac:dyDescent="0.25">
      <c r="A68" s="293"/>
      <c r="B68" s="63" t="s">
        <v>324</v>
      </c>
      <c r="C68" s="285">
        <f>(C67*PI()*(((C64/1000)^4)-((C65/1000)^4))/64)</f>
        <v>1909.7225313215254</v>
      </c>
      <c r="D68" s="578" t="s">
        <v>375</v>
      </c>
      <c r="E68" s="585"/>
      <c r="F68" s="509"/>
      <c r="G68" s="67"/>
    </row>
    <row r="69" spans="1:7" ht="20.149999999999999" customHeight="1" x14ac:dyDescent="0.25">
      <c r="A69" s="293"/>
      <c r="B69" s="63" t="s">
        <v>330</v>
      </c>
      <c r="C69" s="286">
        <f>(C67*PI()*(((C64/1000)^2)-((C65/1000)^2))/4)</f>
        <v>1111775.930816255</v>
      </c>
      <c r="D69" s="578" t="s">
        <v>376</v>
      </c>
      <c r="E69" s="585"/>
      <c r="F69" s="509"/>
      <c r="G69" s="67"/>
    </row>
    <row r="70" spans="1:7" ht="20.149999999999999" customHeight="1" thickBot="1" x14ac:dyDescent="0.3">
      <c r="A70" s="294"/>
      <c r="B70" s="366" t="s">
        <v>326</v>
      </c>
      <c r="C70" s="290">
        <f>((C67*PI()/(2*(1+0.3)))*((((C64/1000)^4)-((C65/1000)^4))/32))</f>
        <v>1469.0173317857887</v>
      </c>
      <c r="D70" s="578" t="s">
        <v>377</v>
      </c>
      <c r="E70" s="589"/>
      <c r="F70" s="512"/>
      <c r="G70" s="70"/>
    </row>
    <row r="71" spans="1:7" ht="20.149999999999999" customHeight="1" x14ac:dyDescent="0.25">
      <c r="A71" s="298" t="s">
        <v>380</v>
      </c>
      <c r="B71" s="364" t="s">
        <v>368</v>
      </c>
      <c r="C71" s="288">
        <v>480</v>
      </c>
      <c r="D71" s="580" t="s">
        <v>381</v>
      </c>
      <c r="E71" s="588"/>
      <c r="F71" s="511"/>
      <c r="G71" s="62"/>
    </row>
    <row r="72" spans="1:7" ht="20.149999999999999" customHeight="1" x14ac:dyDescent="0.25">
      <c r="A72" s="291" t="s">
        <v>382</v>
      </c>
      <c r="B72" s="63" t="s">
        <v>338</v>
      </c>
      <c r="C72" s="275">
        <v>96.65</v>
      </c>
      <c r="D72" s="581" t="s">
        <v>339</v>
      </c>
      <c r="E72" s="585"/>
      <c r="F72" s="509"/>
      <c r="G72" s="61"/>
    </row>
    <row r="73" spans="1:7" ht="20.149999999999999" customHeight="1" x14ac:dyDescent="0.25">
      <c r="A73" s="429" t="str">
        <f>IF(UPPER(A30)="PU", CONCATENATE("ZR_", A26), "")</f>
        <v>ZR_15762-DWG-BR-102</v>
      </c>
      <c r="B73" s="63" t="s">
        <v>341</v>
      </c>
      <c r="C73" s="275">
        <v>84</v>
      </c>
      <c r="D73" s="571" t="s">
        <v>370</v>
      </c>
      <c r="E73" s="585"/>
      <c r="F73" s="509"/>
      <c r="G73" s="61"/>
    </row>
    <row r="74" spans="1:7" ht="20.149999999999999" customHeight="1" x14ac:dyDescent="0.25">
      <c r="A74" s="291" t="s">
        <v>340</v>
      </c>
      <c r="B74" s="63" t="s">
        <v>343</v>
      </c>
      <c r="C74" s="278">
        <f>(C72/1000)/(C71/1000)</f>
        <v>0.20135416666666667</v>
      </c>
      <c r="D74" s="571" t="s">
        <v>344</v>
      </c>
      <c r="E74" s="585"/>
      <c r="F74" s="509"/>
      <c r="G74" s="61"/>
    </row>
    <row r="75" spans="1:7" ht="20.149999999999999" customHeight="1" x14ac:dyDescent="0.25">
      <c r="A75" s="430" t="str">
        <f>$A$28</f>
        <v>4</v>
      </c>
      <c r="B75" s="63" t="s">
        <v>346</v>
      </c>
      <c r="C75" s="278">
        <f>(C73/1000)/(C71/1000)</f>
        <v>0.17500000000000002</v>
      </c>
      <c r="D75" s="582" t="s">
        <v>344</v>
      </c>
      <c r="E75" s="585"/>
      <c r="F75" s="509"/>
      <c r="G75" s="61"/>
    </row>
    <row r="76" spans="1:7" ht="20.149999999999999" customHeight="1" x14ac:dyDescent="0.25">
      <c r="A76" s="293"/>
      <c r="B76" s="472" t="s">
        <v>314</v>
      </c>
      <c r="C76" s="276">
        <f>SQRT(((4/PI()/1.025)*(C74-C75))+(C78/1000)^2)</f>
        <v>0.32668141737343037</v>
      </c>
      <c r="D76" s="571" t="s">
        <v>348</v>
      </c>
      <c r="E76" s="585"/>
      <c r="F76" s="509"/>
      <c r="G76" s="61"/>
    </row>
    <row r="77" spans="1:7" ht="20.149999999999999" customHeight="1" x14ac:dyDescent="0.25">
      <c r="A77" s="293"/>
      <c r="B77" s="63" t="s">
        <v>349</v>
      </c>
      <c r="C77" s="277">
        <v>302</v>
      </c>
      <c r="D77" s="571" t="s">
        <v>383</v>
      </c>
      <c r="E77" s="585"/>
      <c r="F77" s="509"/>
      <c r="G77" s="61"/>
    </row>
    <row r="78" spans="1:7" ht="20.149999999999999" customHeight="1" x14ac:dyDescent="0.25">
      <c r="A78" s="293"/>
      <c r="B78" s="63" t="s">
        <v>351</v>
      </c>
      <c r="C78" s="274">
        <v>272</v>
      </c>
      <c r="D78" s="571" t="s">
        <v>384</v>
      </c>
      <c r="E78" s="585"/>
      <c r="F78" s="509"/>
      <c r="G78" s="61"/>
    </row>
    <row r="79" spans="1:7" ht="20.149999999999999" customHeight="1" x14ac:dyDescent="0.25">
      <c r="A79" s="293"/>
      <c r="B79" s="63" t="s">
        <v>318</v>
      </c>
      <c r="C79" s="274">
        <v>396</v>
      </c>
      <c r="D79" s="571" t="s">
        <v>373</v>
      </c>
      <c r="E79" s="585"/>
      <c r="F79" s="509"/>
      <c r="G79" s="61"/>
    </row>
    <row r="80" spans="1:7" ht="20.149999999999999" customHeight="1" x14ac:dyDescent="0.25">
      <c r="A80" s="293"/>
      <c r="B80" s="63" t="s">
        <v>358</v>
      </c>
      <c r="C80" s="279">
        <f>207*10^6</f>
        <v>207000000</v>
      </c>
      <c r="D80" s="571" t="s">
        <v>374</v>
      </c>
      <c r="E80" s="585"/>
      <c r="F80" s="509"/>
      <c r="G80" s="61"/>
    </row>
    <row r="81" spans="1:7" ht="20.149999999999999" customHeight="1" x14ac:dyDescent="0.25">
      <c r="A81" s="293"/>
      <c r="B81" s="63" t="s">
        <v>324</v>
      </c>
      <c r="C81" s="285">
        <f>(C80*PI()*(((C77/1000)^4)-((C78/1000)^4))/64)</f>
        <v>28903.596536231304</v>
      </c>
      <c r="D81" s="578" t="s">
        <v>375</v>
      </c>
      <c r="E81" s="585"/>
      <c r="F81" s="509"/>
      <c r="G81" s="61"/>
    </row>
    <row r="82" spans="1:7" ht="20.149999999999999" customHeight="1" x14ac:dyDescent="0.25">
      <c r="A82" s="293"/>
      <c r="B82" s="63" t="s">
        <v>330</v>
      </c>
      <c r="C82" s="286">
        <f>(C80*PI()*(((C77/1000)^2)-((C78/1000)^2))/4)</f>
        <v>2799583.1693567378</v>
      </c>
      <c r="D82" s="578" t="s">
        <v>376</v>
      </c>
      <c r="E82" s="585"/>
      <c r="F82" s="509"/>
      <c r="G82" s="61"/>
    </row>
    <row r="83" spans="1:7" ht="20.149999999999999" customHeight="1" thickBot="1" x14ac:dyDescent="0.3">
      <c r="A83" s="294"/>
      <c r="B83" s="65" t="s">
        <v>385</v>
      </c>
      <c r="C83" s="289">
        <f>((C80*PI()/(2*(1+0.3)))*((((C77/1000)^4)-((C78/1000)^4))/32))</f>
        <v>22233.535797101002</v>
      </c>
      <c r="D83" s="606" t="s">
        <v>377</v>
      </c>
      <c r="E83" s="587"/>
      <c r="F83" s="510"/>
      <c r="G83" s="590"/>
    </row>
    <row r="84" spans="1:7" x14ac:dyDescent="0.25"/>
    <row r="85" spans="1:7" x14ac:dyDescent="0.25"/>
    <row r="86" spans="1:7" x14ac:dyDescent="0.25"/>
    <row r="87" spans="1:7" x14ac:dyDescent="0.25"/>
    <row r="88" spans="1:7" x14ac:dyDescent="0.25"/>
    <row r="89" spans="1:7" x14ac:dyDescent="0.25"/>
    <row r="90" spans="1:7" x14ac:dyDescent="0.25"/>
    <row r="91" spans="1:7" x14ac:dyDescent="0.25"/>
    <row r="92" spans="1:7" x14ac:dyDescent="0.25"/>
  </sheetData>
  <mergeCells count="4">
    <mergeCell ref="I3:J3"/>
    <mergeCell ref="I7:J7"/>
    <mergeCell ref="A2:D2"/>
    <mergeCell ref="E2:G2"/>
  </mergeCells>
  <phoneticPr fontId="23" type="noConversion"/>
  <conditionalFormatting sqref="E4:F83 I6:I7">
    <cfRule type="cellIs" dxfId="47" priority="6" operator="equal">
      <formula>"not ok"</formula>
    </cfRule>
    <cfRule type="cellIs" dxfId="46" priority="7" operator="equal">
      <formula>"ok"</formula>
    </cfRule>
  </conditionalFormatting>
  <conditionalFormatting sqref="A71:G83">
    <cfRule type="expression" dxfId="45" priority="37">
      <formula>UPPER($A$30)&lt;&gt;"PU"</formula>
    </cfRule>
  </conditionalFormatting>
  <dataValidations count="11">
    <dataValidation type="decimal" errorStyle="warning" operator="greaterThanOrEqual" allowBlank="1" showInputMessage="1" showErrorMessage="1" errorTitle="Atenção" error="O valor inserido é menor que 100 mm, verifique a unidade de medida!" sqref="C58 C71 C45 C24" xr:uid="{BFEF068C-F810-459C-982E-B8892F293A3A}">
      <formula1>100</formula1>
    </dataValidation>
    <dataValidation type="decimal" errorStyle="warning" operator="lessThanOrEqual" allowBlank="1" showInputMessage="1" showErrorMessage="1" errorTitle="Atenção" error="O valor inserido para o Diâmetro nominal [''] é maior que 10 polegadas. Verifique a unidade de medida! " sqref="C17" xr:uid="{133DF9DD-BC96-4377-96A3-0AC5D0BB6B7C}">
      <formula1>10</formula1>
    </dataValidation>
    <dataValidation type="decimal" operator="lessThan" allowBlank="1" showInputMessage="1" showErrorMessage="1" errorTitle="Atenção!" error="O valor inserido para o MBR Instalação [m] é inválido. Verifique a unidade de medida! " sqref="C19" xr:uid="{40A53FD1-B544-4B50-B2D0-A100BE5E87B4}">
      <formula1>20</formula1>
    </dataValidation>
    <dataValidation type="list" allowBlank="1" showInputMessage="1" showErrorMessage="1" sqref="A30" xr:uid="{A130E7E8-1B83-4A2F-B5CE-A5AD922C5582}">
      <formula1>"Aço,PU"</formula1>
    </dataValidation>
    <dataValidation errorStyle="information" operator="greaterThanOrEqual" allowBlank="1" showInputMessage="1" showErrorMessage="1" error="ATENÇÃO: MBR de travamento da vértebra é menor que o MBR de instalação da linha!_x000a_" sqref="C35:C36" xr:uid="{BB4C2CAD-1ABD-4CE0-9E79-F0F22D88D631}"/>
    <dataValidation type="decimal" errorStyle="information" operator="greaterThanOrEqual" allowBlank="1" showInputMessage="1" showErrorMessage="1" error="ATENÇÃO: MBR de travamento da vértebra é menor que o MBR de instalação da linha!_x000a_" sqref="C34" xr:uid="{5941195F-5BB8-4870-A1CE-989119592CB9}">
      <formula1>C19</formula1>
    </dataValidation>
    <dataValidation type="decimal" operator="lessThan" allowBlank="1" showInputMessage="1" showErrorMessage="1" sqref="C18" xr:uid="{07959CD6-BF08-4C55-8181-89F665D07088}">
      <formula1>20</formula1>
    </dataValidation>
    <dataValidation type="list" allowBlank="1" showInputMessage="1" showErrorMessage="1" sqref="C5" xr:uid="{1145FF29-97FC-4AEB-8B08-C092D11BF7E6}">
      <formula1>droplist_line_type</formula1>
    </dataValidation>
    <dataValidation type="decimal" errorStyle="warning" operator="greaterThanOrEqual" allowBlank="1" showInputMessage="1" showErrorMessage="1" errorTitle="Atenção" error="O valor inserido é menor que 100 mm, verifique a unidade de medida!" sqref="C6:C7" xr:uid="{A6AB11D0-7649-48ED-8AAF-130903760BE4}">
      <formula1>0</formula1>
    </dataValidation>
    <dataValidation type="list" allowBlank="1" showInputMessage="1" showErrorMessage="1" sqref="E4:F83" xr:uid="{96F4B733-ABD5-4AF7-A0D9-BD90FA397C12}">
      <formula1>"ok, not ok"</formula1>
    </dataValidation>
    <dataValidation type="whole" errorStyle="warning" operator="greaterThanOrEqual" allowBlank="1" showInputMessage="1" showErrorMessage="1" errorTitle="Atenção" error="O valor inserido é menor que 100 mm, verifique a unidade de medida!" sqref="C25" xr:uid="{C7D8C512-B8A4-4233-A5F8-1C5C38070EA0}">
      <formula1>0</formula1>
    </dataValidation>
  </dataValidations>
  <pageMargins left="0.7" right="0.7" top="0.75" bottom="0.75" header="0.3" footer="0.3"/>
  <pageSetup paperSize="9" orientation="portrait" r:id="rId1"/>
  <ignoredErrors>
    <ignoredError sqref="C28:C30 C48:C49 C61:C62 C74:C76" evalError="1"/>
  </ignoredErrors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520E09-507D-4C00-802B-368DC8D3F2A8}">
  <sheetPr codeName="Sheet20"/>
  <dimension ref="A1:O35"/>
  <sheetViews>
    <sheetView zoomScale="90" zoomScaleNormal="90" workbookViewId="0">
      <selection activeCell="K12" sqref="K12"/>
    </sheetView>
  </sheetViews>
  <sheetFormatPr defaultColWidth="0" defaultRowHeight="12.5" zeroHeight="1" x14ac:dyDescent="0.25"/>
  <cols>
    <col min="1" max="1" width="15.7265625" style="74" customWidth="1"/>
    <col min="2" max="2" width="40.7265625" style="74" customWidth="1"/>
    <col min="3" max="5" width="15.7265625" style="74" customWidth="1"/>
    <col min="6" max="6" width="22.26953125" style="74" customWidth="1"/>
    <col min="7" max="10" width="15.7265625" style="74" customWidth="1"/>
    <col min="11" max="11" width="18.7265625" style="74" customWidth="1"/>
    <col min="12" max="12" width="16.453125" style="74" customWidth="1"/>
    <col min="13" max="14" width="15.7265625" style="74" customWidth="1"/>
    <col min="15" max="15" width="1.7265625" style="74" customWidth="1"/>
    <col min="16" max="16384" width="9.26953125" style="74" hidden="1"/>
  </cols>
  <sheetData>
    <row r="1" spans="1:14" ht="20.149999999999999" customHeight="1" x14ac:dyDescent="0.25">
      <c r="A1" s="44"/>
      <c r="B1" s="44"/>
      <c r="C1" s="44"/>
      <c r="D1" s="44"/>
      <c r="E1" s="44"/>
      <c r="F1" s="44"/>
      <c r="G1" s="44"/>
      <c r="H1" s="44"/>
      <c r="I1" s="44"/>
      <c r="J1" s="44"/>
      <c r="K1" s="44"/>
      <c r="L1" s="44"/>
      <c r="M1" s="44"/>
      <c r="N1" s="44"/>
    </row>
    <row r="2" spans="1:14" ht="20.149999999999999" customHeight="1" thickBot="1" x14ac:dyDescent="0.3">
      <c r="A2" s="615" t="s">
        <v>386</v>
      </c>
      <c r="B2" s="674"/>
      <c r="C2" s="244" t="s">
        <v>285</v>
      </c>
      <c r="D2" s="244" t="s">
        <v>286</v>
      </c>
      <c r="E2" s="44"/>
      <c r="F2" s="44"/>
      <c r="G2" s="44"/>
      <c r="H2" s="44"/>
      <c r="J2" s="615" t="s">
        <v>387</v>
      </c>
      <c r="K2" s="674"/>
      <c r="L2" s="616"/>
    </row>
    <row r="3" spans="1:14" ht="20.149999999999999" customHeight="1" thickTop="1" x14ac:dyDescent="0.25">
      <c r="A3" s="54" t="s">
        <v>388</v>
      </c>
      <c r="B3" s="48" t="s">
        <v>1245</v>
      </c>
      <c r="C3" s="391"/>
      <c r="D3" s="53"/>
      <c r="E3" s="44"/>
      <c r="F3" s="44"/>
      <c r="G3" s="44"/>
      <c r="H3" s="44"/>
      <c r="J3" s="54">
        <v>0.25</v>
      </c>
      <c r="K3" s="54">
        <v>0.25</v>
      </c>
      <c r="L3" s="54">
        <v>1.2</v>
      </c>
    </row>
    <row r="4" spans="1:14" ht="20.149999999999999" customHeight="1" x14ac:dyDescent="0.25">
      <c r="A4" s="56" t="s">
        <v>249</v>
      </c>
      <c r="B4" s="250" t="s">
        <v>1246</v>
      </c>
      <c r="C4" s="392"/>
      <c r="D4" s="248"/>
      <c r="E4" s="44"/>
      <c r="F4" s="44"/>
      <c r="G4" s="44"/>
      <c r="H4" s="44"/>
      <c r="J4" s="56">
        <v>-0.25</v>
      </c>
      <c r="K4" s="56">
        <v>0.25</v>
      </c>
      <c r="L4" s="56">
        <v>1.2</v>
      </c>
    </row>
    <row r="5" spans="1:14" ht="20.149999999999999" customHeight="1" x14ac:dyDescent="0.25">
      <c r="A5" s="56" t="s">
        <v>389</v>
      </c>
      <c r="B5" s="48" t="s">
        <v>1247</v>
      </c>
      <c r="C5" s="391"/>
      <c r="D5" s="53"/>
      <c r="E5" s="44"/>
      <c r="F5" s="44"/>
      <c r="G5" s="44"/>
      <c r="H5" s="44"/>
      <c r="J5" s="56">
        <v>-0.25</v>
      </c>
      <c r="K5" s="56">
        <v>-0.25</v>
      </c>
      <c r="L5" s="56">
        <v>1.2</v>
      </c>
    </row>
    <row r="6" spans="1:14" ht="20.149999999999999" customHeight="1" x14ac:dyDescent="0.25">
      <c r="A6" s="56" t="s">
        <v>339</v>
      </c>
      <c r="B6" s="48" t="s">
        <v>1248</v>
      </c>
      <c r="C6" s="391"/>
      <c r="D6" s="53"/>
      <c r="E6" s="44"/>
      <c r="F6" s="44"/>
      <c r="G6" s="44"/>
      <c r="H6" s="44"/>
      <c r="J6" s="56">
        <v>0.25</v>
      </c>
      <c r="K6" s="56">
        <v>-0.25</v>
      </c>
      <c r="L6" s="56">
        <v>1.2</v>
      </c>
    </row>
    <row r="7" spans="1:14" ht="20.149999999999999" customHeight="1" x14ac:dyDescent="0.25">
      <c r="A7" s="56" t="s">
        <v>390</v>
      </c>
      <c r="B7" s="251" t="s">
        <v>1249</v>
      </c>
      <c r="C7" s="391"/>
      <c r="D7" s="53"/>
      <c r="E7" s="44"/>
      <c r="F7" s="44"/>
      <c r="G7" s="44"/>
      <c r="H7" s="44"/>
      <c r="J7" s="56">
        <v>0.5</v>
      </c>
      <c r="K7" s="56">
        <v>0.5</v>
      </c>
      <c r="L7" s="56">
        <v>0</v>
      </c>
    </row>
    <row r="8" spans="1:14" ht="20.149999999999999" customHeight="1" x14ac:dyDescent="0.25">
      <c r="A8" s="56" t="s">
        <v>391</v>
      </c>
      <c r="B8" s="250">
        <v>4598</v>
      </c>
      <c r="C8" s="392"/>
      <c r="D8" s="249"/>
      <c r="E8" s="44"/>
      <c r="F8" s="44"/>
      <c r="G8" s="44"/>
      <c r="H8" s="44"/>
      <c r="J8" s="56">
        <v>-0.5</v>
      </c>
      <c r="K8" s="56">
        <v>0.5</v>
      </c>
      <c r="L8" s="56">
        <v>0</v>
      </c>
    </row>
    <row r="9" spans="1:14" ht="20.149999999999999" customHeight="1" x14ac:dyDescent="0.25">
      <c r="A9" s="56" t="s">
        <v>392</v>
      </c>
      <c r="B9" s="250">
        <v>862</v>
      </c>
      <c r="C9" s="392"/>
      <c r="D9" s="249"/>
      <c r="E9" s="44"/>
      <c r="F9" s="44"/>
      <c r="G9" s="44"/>
      <c r="H9" s="44"/>
      <c r="J9" s="56">
        <v>-0.5</v>
      </c>
      <c r="K9" s="56">
        <v>-0.5</v>
      </c>
      <c r="L9" s="56">
        <v>0</v>
      </c>
    </row>
    <row r="10" spans="1:14" ht="20.149999999999999" customHeight="1" x14ac:dyDescent="0.25">
      <c r="A10" s="56" t="s">
        <v>393</v>
      </c>
      <c r="B10" s="250">
        <v>1510</v>
      </c>
      <c r="C10" s="392"/>
      <c r="D10" s="249"/>
      <c r="E10" s="44"/>
      <c r="F10" s="44"/>
      <c r="G10" s="44"/>
      <c r="H10" s="44"/>
      <c r="J10" s="56">
        <v>0.5</v>
      </c>
      <c r="K10" s="56">
        <v>-0.5</v>
      </c>
      <c r="L10" s="56">
        <v>0</v>
      </c>
    </row>
    <row r="11" spans="1:14" ht="20.149999999999999" customHeight="1" x14ac:dyDescent="0.25">
      <c r="A11" s="56" t="s">
        <v>394</v>
      </c>
      <c r="B11" s="250">
        <v>211</v>
      </c>
      <c r="C11" s="392"/>
      <c r="D11" s="249"/>
      <c r="E11" s="44"/>
      <c r="F11" s="44"/>
      <c r="G11" s="44"/>
      <c r="H11" s="44"/>
      <c r="I11" s="44"/>
      <c r="J11" s="44"/>
      <c r="K11" s="44"/>
      <c r="L11" s="44"/>
    </row>
    <row r="12" spans="1:14" ht="20.149999999999999" customHeight="1" x14ac:dyDescent="0.25">
      <c r="A12" s="56" t="s">
        <v>395</v>
      </c>
      <c r="B12" s="250">
        <v>1556</v>
      </c>
      <c r="C12" s="392"/>
      <c r="D12" s="249"/>
      <c r="E12" s="44"/>
      <c r="F12" s="44"/>
      <c r="G12" s="44"/>
      <c r="H12" s="44"/>
      <c r="I12" s="44"/>
      <c r="J12" s="44"/>
      <c r="K12" s="44"/>
      <c r="L12" s="44"/>
    </row>
    <row r="13" spans="1:14" ht="20.149999999999999" customHeight="1" x14ac:dyDescent="0.25">
      <c r="A13" s="56" t="s">
        <v>396</v>
      </c>
      <c r="B13" s="250">
        <v>1122</v>
      </c>
      <c r="C13" s="392"/>
      <c r="D13" s="249"/>
      <c r="E13" s="44"/>
      <c r="F13" s="44"/>
      <c r="G13" s="44"/>
      <c r="H13" s="44"/>
      <c r="I13" s="44"/>
      <c r="J13" s="44"/>
      <c r="K13" s="44"/>
      <c r="L13" s="44"/>
    </row>
    <row r="14" spans="1:14" ht="20.149999999999999" customHeight="1" x14ac:dyDescent="0.25">
      <c r="A14" s="56" t="s">
        <v>397</v>
      </c>
      <c r="B14" s="250">
        <v>1814</v>
      </c>
      <c r="C14" s="392"/>
      <c r="D14" s="249"/>
      <c r="E14" s="44"/>
      <c r="F14" s="44"/>
      <c r="G14" s="44"/>
      <c r="H14" s="44"/>
      <c r="I14" s="44"/>
      <c r="J14" s="44"/>
      <c r="K14" s="44"/>
      <c r="L14" s="44"/>
    </row>
    <row r="15" spans="1:14" ht="20.149999999999999" hidden="1" customHeight="1" x14ac:dyDescent="0.25">
      <c r="A15" s="609" t="s">
        <v>398</v>
      </c>
      <c r="B15" s="610">
        <v>0</v>
      </c>
      <c r="C15" s="609"/>
      <c r="D15" s="611"/>
      <c r="E15" s="44"/>
      <c r="F15" s="44"/>
      <c r="G15" s="44"/>
      <c r="H15" s="44"/>
      <c r="I15" s="44"/>
      <c r="J15" s="44"/>
      <c r="K15" s="44"/>
      <c r="L15" s="44"/>
    </row>
    <row r="16" spans="1:14" ht="20.149999999999999" customHeight="1" x14ac:dyDescent="0.25">
      <c r="A16" s="427"/>
      <c r="B16" s="44"/>
      <c r="C16" s="44"/>
      <c r="D16" s="44"/>
      <c r="E16" s="44"/>
      <c r="F16" s="44"/>
      <c r="G16" s="44"/>
      <c r="H16" s="44"/>
      <c r="I16" s="44"/>
      <c r="J16" s="44"/>
      <c r="K16" s="44"/>
      <c r="L16" s="44"/>
    </row>
    <row r="17" spans="1:14" ht="20.149999999999999" customHeight="1" thickBot="1" x14ac:dyDescent="0.3">
      <c r="A17" s="615" t="s">
        <v>399</v>
      </c>
      <c r="B17" s="674"/>
      <c r="C17" s="674"/>
      <c r="D17" s="244" t="s">
        <v>285</v>
      </c>
      <c r="E17" s="244" t="s">
        <v>286</v>
      </c>
      <c r="F17" s="44"/>
      <c r="J17" s="615" t="s">
        <v>400</v>
      </c>
      <c r="K17" s="616"/>
      <c r="L17" s="43"/>
    </row>
    <row r="18" spans="1:14" ht="20.149999999999999" customHeight="1" thickTop="1" x14ac:dyDescent="0.25">
      <c r="A18" s="675" t="s">
        <v>401</v>
      </c>
      <c r="B18" s="53" t="s">
        <v>402</v>
      </c>
      <c r="C18" s="57">
        <f>C19</f>
        <v>3590</v>
      </c>
      <c r="D18" s="391"/>
      <c r="E18" s="252"/>
      <c r="F18" s="44"/>
      <c r="J18" s="262" t="s">
        <v>289</v>
      </c>
      <c r="K18" s="264">
        <f>Values!C4</f>
        <v>735</v>
      </c>
      <c r="L18" s="49"/>
    </row>
    <row r="19" spans="1:14" ht="20.149999999999999" customHeight="1" x14ac:dyDescent="0.25">
      <c r="A19" s="675"/>
      <c r="B19" s="51" t="s">
        <v>403</v>
      </c>
      <c r="C19" s="58">
        <v>3590</v>
      </c>
      <c r="D19" s="392"/>
      <c r="E19" s="253"/>
      <c r="F19" s="44"/>
      <c r="J19" s="263" t="s">
        <v>404</v>
      </c>
      <c r="K19" s="265">
        <f>+K18-(B8/1000)-(B9/1000)</f>
        <v>729.54000000000008</v>
      </c>
      <c r="L19" s="44"/>
    </row>
    <row r="20" spans="1:14" ht="20.149999999999999" customHeight="1" x14ac:dyDescent="0.25">
      <c r="A20" s="675"/>
      <c r="B20" s="52" t="s">
        <v>405</v>
      </c>
      <c r="C20" s="59">
        <v>9.9999999999999995E-7</v>
      </c>
      <c r="D20" s="392"/>
      <c r="E20" s="253"/>
      <c r="F20" s="44"/>
      <c r="J20" s="44"/>
      <c r="K20" s="44"/>
      <c r="L20" s="44"/>
    </row>
    <row r="21" spans="1:14" ht="20.149999999999999" customHeight="1" x14ac:dyDescent="0.25">
      <c r="A21" s="672" t="s">
        <v>406</v>
      </c>
      <c r="B21" s="51" t="s">
        <v>407</v>
      </c>
      <c r="C21" s="60">
        <f>+(B13/1000)-(B11/1000)</f>
        <v>0.91100000000000014</v>
      </c>
      <c r="D21" s="392"/>
      <c r="E21" s="253"/>
      <c r="F21" s="44"/>
      <c r="J21" s="677" t="s">
        <v>408</v>
      </c>
      <c r="K21" s="677"/>
      <c r="L21" s="677"/>
      <c r="M21" s="677"/>
      <c r="N21" s="677"/>
    </row>
    <row r="22" spans="1:14" ht="20.149999999999999" customHeight="1" thickBot="1" x14ac:dyDescent="0.3">
      <c r="A22" s="676"/>
      <c r="B22" s="248" t="s">
        <v>409</v>
      </c>
      <c r="C22" s="60">
        <f>IF(ISBLANK(B15), 0, B15/1000)</f>
        <v>0</v>
      </c>
      <c r="D22" s="392"/>
      <c r="E22" s="253"/>
      <c r="F22" s="44"/>
      <c r="J22" s="107" t="s">
        <v>410</v>
      </c>
      <c r="K22" s="99" t="s">
        <v>411</v>
      </c>
      <c r="L22" s="99" t="s">
        <v>412</v>
      </c>
      <c r="M22" s="436" t="s">
        <v>285</v>
      </c>
      <c r="N22" s="244" t="s">
        <v>286</v>
      </c>
    </row>
    <row r="23" spans="1:14" ht="20.149999999999999" customHeight="1" thickTop="1" x14ac:dyDescent="0.25">
      <c r="A23" s="673"/>
      <c r="B23" s="51" t="s">
        <v>413</v>
      </c>
      <c r="C23" s="60">
        <f>+(B14/1000)-(B12/1000)</f>
        <v>0.25800000000000001</v>
      </c>
      <c r="D23" s="392"/>
      <c r="E23" s="253"/>
      <c r="F23" s="44"/>
      <c r="J23" s="260">
        <v>0</v>
      </c>
      <c r="K23" s="55">
        <f>B8</f>
        <v>4598</v>
      </c>
      <c r="L23" s="257">
        <f>K18</f>
        <v>735</v>
      </c>
      <c r="M23" s="438"/>
      <c r="N23" s="260"/>
    </row>
    <row r="24" spans="1:14" ht="20.149999999999999" customHeight="1" x14ac:dyDescent="0.25">
      <c r="A24" s="672" t="s">
        <v>414</v>
      </c>
      <c r="B24" s="51" t="s">
        <v>415</v>
      </c>
      <c r="C24" s="60">
        <f>+(B13/1000)+(B9/1000)</f>
        <v>1.984</v>
      </c>
      <c r="D24" s="392"/>
      <c r="E24" s="253"/>
      <c r="F24" s="44"/>
      <c r="J24" s="437">
        <v>4</v>
      </c>
      <c r="K24" s="50">
        <v>4678</v>
      </c>
      <c r="L24" s="258">
        <f>IF(OR(K24=0,K24=""),$L23,$L$23+((K24/1000)-($K$23/1000)))</f>
        <v>735.08</v>
      </c>
      <c r="M24" s="439"/>
      <c r="N24" s="261"/>
    </row>
    <row r="25" spans="1:14" ht="20.149999999999999" customHeight="1" x14ac:dyDescent="0.25">
      <c r="A25" s="673"/>
      <c r="B25" s="51" t="s">
        <v>416</v>
      </c>
      <c r="C25" s="60">
        <f>+(B14/1000)-(B10/1000)</f>
        <v>0.30400000000000005</v>
      </c>
      <c r="D25" s="392"/>
      <c r="E25" s="253"/>
      <c r="F25" s="44"/>
      <c r="J25" s="437">
        <v>8</v>
      </c>
      <c r="K25" s="50">
        <v>4588</v>
      </c>
      <c r="L25" s="258">
        <f>IF(OR(K25=0,K25=""),$L24,$L$23+((K25/1000)-($K$23/1000)))</f>
        <v>734.99</v>
      </c>
      <c r="M25" s="439"/>
      <c r="N25" s="261"/>
    </row>
    <row r="26" spans="1:14" ht="20.149999999999999" customHeight="1" x14ac:dyDescent="0.25">
      <c r="A26" s="672" t="s">
        <v>417</v>
      </c>
      <c r="B26" s="51" t="s">
        <v>418</v>
      </c>
      <c r="C26" s="60">
        <f>+(B13/1000)</f>
        <v>1.1220000000000001</v>
      </c>
      <c r="D26" s="392"/>
      <c r="E26" s="253"/>
      <c r="F26" s="44"/>
      <c r="G26" s="44"/>
      <c r="H26" s="44"/>
      <c r="I26" s="44"/>
      <c r="J26" s="440">
        <v>12</v>
      </c>
      <c r="K26" s="50">
        <v>4598</v>
      </c>
      <c r="L26" s="441">
        <f>IF(OR(K26=0,K26=""),$L25,$L$23+((K26/1000)-($K$23/1000)))</f>
        <v>735</v>
      </c>
      <c r="M26" s="439"/>
      <c r="N26" s="261"/>
    </row>
    <row r="27" spans="1:14" ht="20.149999999999999" customHeight="1" x14ac:dyDescent="0.25">
      <c r="A27" s="673"/>
      <c r="B27" s="51" t="s">
        <v>419</v>
      </c>
      <c r="C27" s="60">
        <f>+(B14/1000)</f>
        <v>1.8140000000000001</v>
      </c>
      <c r="D27" s="392"/>
      <c r="E27" s="253"/>
      <c r="F27" s="44"/>
      <c r="G27" s="44"/>
      <c r="H27" s="44"/>
      <c r="I27" s="44"/>
      <c r="J27" s="44"/>
      <c r="K27" s="44"/>
      <c r="L27" s="44"/>
      <c r="M27" s="44"/>
      <c r="N27" s="44"/>
    </row>
    <row r="28" spans="1:14" ht="20.149999999999999" customHeight="1" x14ac:dyDescent="0.25">
      <c r="A28" s="254" t="s">
        <v>420</v>
      </c>
      <c r="B28" s="51" t="s">
        <v>421</v>
      </c>
      <c r="C28" s="60">
        <f>K18-((B8/1000)-(B13/1000))</f>
        <v>731.524</v>
      </c>
      <c r="D28" s="392"/>
      <c r="E28" s="51"/>
      <c r="F28" s="44"/>
      <c r="G28" s="44"/>
      <c r="H28" s="44"/>
      <c r="I28" s="44"/>
      <c r="K28" s="44"/>
      <c r="L28" s="44"/>
      <c r="M28" s="44"/>
      <c r="N28" s="44"/>
    </row>
    <row r="29" spans="1:14" ht="20.149999999999999" customHeight="1" x14ac:dyDescent="0.25">
      <c r="A29" s="255" t="s">
        <v>422</v>
      </c>
      <c r="B29" s="51" t="s">
        <v>423</v>
      </c>
      <c r="C29" s="256">
        <v>60</v>
      </c>
      <c r="D29" s="392"/>
      <c r="E29" s="51"/>
      <c r="F29" s="44"/>
      <c r="G29" s="44"/>
      <c r="H29" s="44"/>
      <c r="I29" s="44"/>
      <c r="J29" s="44"/>
      <c r="K29" s="44"/>
      <c r="L29" s="44"/>
      <c r="M29" s="44"/>
      <c r="N29" s="44"/>
    </row>
    <row r="30" spans="1:14" ht="20.149999999999999" customHeight="1" x14ac:dyDescent="0.25">
      <c r="A30" s="44"/>
      <c r="B30" s="44" t="s">
        <v>424</v>
      </c>
      <c r="C30" s="44"/>
      <c r="D30" s="44"/>
      <c r="E30" s="44"/>
      <c r="F30" s="44"/>
      <c r="G30" s="44"/>
      <c r="H30" s="44"/>
      <c r="I30" s="44"/>
      <c r="J30" s="44"/>
      <c r="K30" s="44"/>
      <c r="L30" s="44"/>
      <c r="M30" s="44"/>
      <c r="N30" s="44"/>
    </row>
    <row r="31" spans="1:14" x14ac:dyDescent="0.25"/>
    <row r="32" spans="1:14" ht="14" x14ac:dyDescent="0.25">
      <c r="B32" s="442"/>
    </row>
    <row r="33" x14ac:dyDescent="0.25"/>
    <row r="34" x14ac:dyDescent="0.25"/>
    <row r="35" x14ac:dyDescent="0.25"/>
  </sheetData>
  <mergeCells count="9">
    <mergeCell ref="A24:A25"/>
    <mergeCell ref="A26:A27"/>
    <mergeCell ref="J2:L2"/>
    <mergeCell ref="J17:K17"/>
    <mergeCell ref="A2:B2"/>
    <mergeCell ref="A17:C17"/>
    <mergeCell ref="A18:A20"/>
    <mergeCell ref="A21:A23"/>
    <mergeCell ref="J21:N21"/>
  </mergeCells>
  <conditionalFormatting sqref="M23:M26 C3:C15 D18:D29">
    <cfRule type="cellIs" dxfId="44" priority="3" operator="equal">
      <formula>"not ok"</formula>
    </cfRule>
    <cfRule type="cellIs" dxfId="43" priority="4" operator="equal">
      <formula>"ok"</formula>
    </cfRule>
  </conditionalFormatting>
  <dataValidations count="3">
    <dataValidation allowBlank="1" showErrorMessage="1" prompt="O conteúdo desta célula não deve ser alterado." sqref="C18 K19 K23 L23:L26 C20:C28" xr:uid="{18A015DD-B6DA-49F2-9B81-74096A98648B}"/>
    <dataValidation type="list" allowBlank="1" showInputMessage="1" showErrorMessage="1" sqref="C3:C15 D18:D29" xr:uid="{9003EF24-CE02-4D30-A956-A5B84497566C}">
      <formula1>"ok, not ok"</formula1>
    </dataValidation>
    <dataValidation type="list" allowBlank="1" showErrorMessage="1" prompt="O conteúdo desta célula não deve ser alterado." sqref="M23:M26" xr:uid="{ECCCA089-1304-4B51-9C5E-3DB378532251}">
      <formula1>"ok, not ok"</formula1>
    </dataValidation>
  </dataValidations>
  <pageMargins left="0.7" right="0.7" top="0.75" bottom="0.75" header="0.3" footer="0.3"/>
  <drawing r:id="rId1"/>
  <legacy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5"/>
  <dimension ref="A1:AN1267"/>
  <sheetViews>
    <sheetView zoomScale="80" zoomScaleNormal="80" workbookViewId="0">
      <selection activeCell="E18" sqref="E18"/>
    </sheetView>
  </sheetViews>
  <sheetFormatPr defaultColWidth="0" defaultRowHeight="15" customHeight="1" x14ac:dyDescent="0.25"/>
  <cols>
    <col min="1" max="1" width="1.7265625" style="100" customWidth="1"/>
    <col min="2" max="4" width="12.7265625" style="12" customWidth="1"/>
    <col min="5" max="5" width="5.7265625" style="44" customWidth="1"/>
    <col min="6" max="7" width="20.7265625" style="44" customWidth="1"/>
    <col min="8" max="8" width="2.7265625" style="100" customWidth="1"/>
    <col min="9" max="11" width="12.7265625" style="12" customWidth="1"/>
    <col min="12" max="12" width="5.7265625" style="44" customWidth="1"/>
    <col min="13" max="14" width="20.7265625" style="44" customWidth="1"/>
    <col min="15" max="15" width="2.7265625" style="100" customWidth="1"/>
    <col min="16" max="18" width="12.7265625" style="12" customWidth="1"/>
    <col min="19" max="19" width="5.7265625" style="44" customWidth="1"/>
    <col min="20" max="21" width="20.7265625" style="44" customWidth="1"/>
    <col min="22" max="22" width="2.7265625" style="100" customWidth="1"/>
    <col min="23" max="24" width="20.7265625" style="44" customWidth="1"/>
    <col min="25" max="25" width="2.7265625" style="100" customWidth="1"/>
    <col min="26" max="32" width="9.26953125" style="100" customWidth="1"/>
    <col min="33" max="40" width="0" style="100" hidden="1" customWidth="1"/>
    <col min="41" max="16384" width="9.26953125" style="100" hidden="1"/>
  </cols>
  <sheetData>
    <row r="1" spans="2:24" ht="30" customHeight="1" x14ac:dyDescent="0.25">
      <c r="B1" s="614" t="s">
        <v>425</v>
      </c>
      <c r="C1" s="614"/>
      <c r="D1" s="614"/>
      <c r="E1" s="614"/>
      <c r="F1" s="614"/>
      <c r="G1" s="614"/>
      <c r="I1" s="614" t="s">
        <v>426</v>
      </c>
      <c r="J1" s="614"/>
      <c r="K1" s="614"/>
      <c r="L1" s="614"/>
      <c r="M1" s="614"/>
      <c r="N1" s="614"/>
      <c r="P1" s="614" t="s">
        <v>427</v>
      </c>
      <c r="Q1" s="614"/>
      <c r="R1" s="614"/>
      <c r="S1" s="614"/>
      <c r="T1" s="614"/>
      <c r="U1" s="614"/>
      <c r="W1" s="614" t="s">
        <v>428</v>
      </c>
      <c r="X1" s="614"/>
    </row>
    <row r="2" spans="2:24" ht="12.5" x14ac:dyDescent="0.25">
      <c r="B2" s="44"/>
      <c r="C2" s="44"/>
      <c r="D2" s="44"/>
      <c r="I2" s="44"/>
      <c r="J2" s="44"/>
      <c r="K2" s="44"/>
      <c r="P2" s="44"/>
      <c r="Q2" s="44"/>
      <c r="R2" s="44"/>
    </row>
    <row r="3" spans="2:24" ht="13" thickBot="1" x14ac:dyDescent="0.3">
      <c r="B3" s="619" t="s">
        <v>429</v>
      </c>
      <c r="C3" s="620"/>
      <c r="D3" s="621"/>
      <c r="I3" s="619" t="s">
        <v>430</v>
      </c>
      <c r="J3" s="620"/>
      <c r="K3" s="621"/>
      <c r="P3" s="619" t="s">
        <v>431</v>
      </c>
      <c r="Q3" s="620"/>
      <c r="R3" s="621"/>
    </row>
    <row r="4" spans="2:24" ht="13.5" thickTop="1" x14ac:dyDescent="0.25">
      <c r="B4" s="617" t="s">
        <v>432</v>
      </c>
      <c r="C4" s="617"/>
      <c r="D4" s="266">
        <v>40</v>
      </c>
      <c r="I4" s="617" t="s">
        <v>432</v>
      </c>
      <c r="J4" s="617"/>
      <c r="K4" s="266">
        <v>40</v>
      </c>
      <c r="O4" s="104"/>
      <c r="P4" s="617" t="s">
        <v>432</v>
      </c>
      <c r="Q4" s="617"/>
      <c r="R4" s="266">
        <v>40</v>
      </c>
    </row>
    <row r="5" spans="2:24" ht="13" x14ac:dyDescent="0.25">
      <c r="B5" s="618" t="s">
        <v>433</v>
      </c>
      <c r="C5" s="618"/>
      <c r="D5" s="391" t="s">
        <v>434</v>
      </c>
      <c r="H5" s="103"/>
      <c r="I5" s="618" t="s">
        <v>433</v>
      </c>
      <c r="J5" s="618"/>
      <c r="K5" s="391" t="s">
        <v>434</v>
      </c>
      <c r="O5" s="104"/>
      <c r="P5" s="618" t="s">
        <v>433</v>
      </c>
      <c r="Q5" s="618"/>
      <c r="R5" s="391" t="s">
        <v>434</v>
      </c>
    </row>
    <row r="6" spans="2:24" ht="13" x14ac:dyDescent="0.25">
      <c r="B6" s="618" t="s">
        <v>435</v>
      </c>
      <c r="C6" s="618"/>
      <c r="D6" s="267"/>
      <c r="H6" s="103"/>
      <c r="I6" s="618" t="s">
        <v>435</v>
      </c>
      <c r="J6" s="618"/>
      <c r="K6" s="267"/>
      <c r="O6" s="104"/>
      <c r="P6" s="618" t="s">
        <v>435</v>
      </c>
      <c r="Q6" s="618"/>
      <c r="R6" s="267"/>
    </row>
    <row r="7" spans="2:24" ht="13" x14ac:dyDescent="0.25">
      <c r="B7" s="622" t="s">
        <v>436</v>
      </c>
      <c r="C7" s="623"/>
      <c r="D7" s="391"/>
      <c r="H7" s="103"/>
      <c r="I7" s="622" t="s">
        <v>436</v>
      </c>
      <c r="J7" s="623"/>
      <c r="K7" s="391"/>
      <c r="O7" s="104"/>
      <c r="P7" s="622" t="s">
        <v>436</v>
      </c>
      <c r="Q7" s="623"/>
      <c r="R7" s="391"/>
    </row>
    <row r="8" spans="2:24" ht="13" x14ac:dyDescent="0.25">
      <c r="B8" s="622" t="s">
        <v>437</v>
      </c>
      <c r="C8" s="623"/>
      <c r="D8" s="267"/>
      <c r="H8" s="103"/>
      <c r="I8" s="622" t="s">
        <v>437</v>
      </c>
      <c r="J8" s="623"/>
      <c r="K8" s="267"/>
      <c r="O8" s="104"/>
      <c r="P8" s="622" t="s">
        <v>437</v>
      </c>
      <c r="Q8" s="623"/>
      <c r="R8" s="267"/>
    </row>
    <row r="9" spans="2:24" ht="13" x14ac:dyDescent="0.25">
      <c r="B9" s="101"/>
      <c r="C9" s="101"/>
      <c r="D9" s="101"/>
      <c r="E9" s="12"/>
      <c r="F9" s="12"/>
      <c r="G9" s="12"/>
      <c r="H9" s="103"/>
      <c r="I9" s="101"/>
      <c r="J9" s="101"/>
      <c r="K9" s="101"/>
      <c r="L9" s="12"/>
      <c r="M9" s="12"/>
      <c r="N9" s="12"/>
      <c r="O9" s="104"/>
      <c r="P9" s="101"/>
      <c r="Q9" s="101"/>
      <c r="R9" s="101"/>
      <c r="S9" s="12"/>
      <c r="T9" s="12"/>
      <c r="U9" s="12"/>
    </row>
    <row r="10" spans="2:24" ht="13" x14ac:dyDescent="0.25">
      <c r="B10" s="101"/>
      <c r="C10" s="101"/>
      <c r="D10" s="101"/>
      <c r="E10" s="12"/>
      <c r="F10" s="12"/>
      <c r="G10" s="12"/>
      <c r="H10" s="103"/>
      <c r="I10" s="101"/>
      <c r="J10" s="101"/>
      <c r="K10" s="101"/>
      <c r="L10" s="12"/>
      <c r="M10" s="12"/>
      <c r="N10" s="12"/>
      <c r="O10" s="104"/>
      <c r="P10" s="101"/>
      <c r="Q10" s="101"/>
      <c r="R10" s="101"/>
      <c r="S10" s="12"/>
      <c r="T10" s="12"/>
      <c r="U10" s="12"/>
    </row>
    <row r="11" spans="2:24" ht="13" x14ac:dyDescent="0.25">
      <c r="E11" s="12"/>
      <c r="F11" s="12"/>
      <c r="G11" s="12"/>
      <c r="H11" s="103"/>
      <c r="I11" s="101"/>
      <c r="J11" s="101"/>
      <c r="K11" s="101"/>
      <c r="L11" s="12"/>
      <c r="M11" s="12"/>
      <c r="N11" s="12"/>
      <c r="O11" s="104"/>
      <c r="P11" s="101"/>
      <c r="Q11" s="101"/>
      <c r="R11" s="101"/>
      <c r="S11" s="12"/>
      <c r="T11" s="12"/>
      <c r="U11" s="12"/>
    </row>
    <row r="12" spans="2:24" ht="13" x14ac:dyDescent="0.25">
      <c r="E12" s="12"/>
      <c r="F12" s="12"/>
      <c r="G12" s="12"/>
      <c r="H12" s="103"/>
      <c r="I12" s="101"/>
      <c r="J12" s="101"/>
      <c r="K12" s="101"/>
      <c r="L12" s="12"/>
      <c r="M12" s="12"/>
      <c r="N12" s="12"/>
      <c r="O12" s="104"/>
      <c r="P12" s="101"/>
      <c r="Q12" s="101"/>
      <c r="R12" s="101"/>
      <c r="S12" s="12"/>
      <c r="T12" s="12"/>
      <c r="U12" s="12"/>
    </row>
    <row r="13" spans="2:24" ht="13.5" thickBot="1" x14ac:dyDescent="0.3">
      <c r="B13" s="259" t="s">
        <v>285</v>
      </c>
      <c r="C13" s="615" t="s">
        <v>286</v>
      </c>
      <c r="D13" s="616"/>
      <c r="E13" s="12"/>
      <c r="F13" s="12"/>
      <c r="G13" s="12"/>
      <c r="H13" s="103"/>
      <c r="I13" s="259" t="s">
        <v>285</v>
      </c>
      <c r="J13" s="615" t="s">
        <v>286</v>
      </c>
      <c r="K13" s="616"/>
      <c r="L13" s="12"/>
      <c r="M13" s="12"/>
      <c r="N13" s="12"/>
      <c r="O13" s="104"/>
      <c r="P13" s="259" t="s">
        <v>285</v>
      </c>
      <c r="Q13" s="615" t="s">
        <v>286</v>
      </c>
      <c r="R13" s="616"/>
      <c r="S13" s="12"/>
      <c r="T13" s="12"/>
      <c r="U13" s="12"/>
      <c r="W13" s="259" t="s">
        <v>285</v>
      </c>
      <c r="X13" s="244" t="s">
        <v>286</v>
      </c>
    </row>
    <row r="14" spans="2:24" ht="13.5" thickTop="1" x14ac:dyDescent="0.25">
      <c r="B14" s="54"/>
      <c r="C14" s="624"/>
      <c r="D14" s="625"/>
      <c r="E14" s="12"/>
      <c r="F14" s="12"/>
      <c r="G14" s="12"/>
      <c r="H14" s="103"/>
      <c r="I14" s="54"/>
      <c r="J14" s="624"/>
      <c r="K14" s="625"/>
      <c r="L14" s="12"/>
      <c r="M14" s="12"/>
      <c r="N14" s="12"/>
      <c r="O14" s="104"/>
      <c r="P14" s="54"/>
      <c r="Q14" s="624"/>
      <c r="R14" s="625"/>
      <c r="S14" s="12"/>
      <c r="T14" s="12"/>
      <c r="U14" s="12"/>
      <c r="W14" s="54"/>
      <c r="X14" s="268"/>
    </row>
    <row r="15" spans="2:24" ht="13" x14ac:dyDescent="0.25">
      <c r="B15" s="101"/>
      <c r="C15" s="101"/>
      <c r="D15" s="101"/>
      <c r="E15" s="12"/>
      <c r="F15" s="12"/>
      <c r="G15" s="12"/>
      <c r="H15" s="103"/>
      <c r="L15" s="12"/>
      <c r="M15" s="12"/>
      <c r="N15" s="12"/>
      <c r="O15" s="104"/>
      <c r="S15" s="12"/>
      <c r="T15" s="12"/>
      <c r="U15" s="12"/>
    </row>
    <row r="16" spans="2:24" ht="15" customHeight="1" x14ac:dyDescent="0.25">
      <c r="B16" s="613" t="s">
        <v>438</v>
      </c>
      <c r="C16" s="613"/>
      <c r="D16" s="613"/>
      <c r="F16" s="613" t="s">
        <v>439</v>
      </c>
      <c r="G16" s="613"/>
      <c r="H16" s="103"/>
      <c r="I16" s="613" t="s">
        <v>440</v>
      </c>
      <c r="J16" s="613"/>
      <c r="K16" s="613"/>
      <c r="M16" s="613" t="s">
        <v>441</v>
      </c>
      <c r="N16" s="613"/>
      <c r="P16" s="613" t="s">
        <v>442</v>
      </c>
      <c r="Q16" s="613"/>
      <c r="R16" s="613"/>
      <c r="T16" s="613" t="s">
        <v>443</v>
      </c>
      <c r="U16" s="613"/>
      <c r="W16" s="613" t="s">
        <v>444</v>
      </c>
      <c r="X16" s="613"/>
    </row>
    <row r="17" spans="2:24" ht="31.5" customHeight="1" thickBot="1" x14ac:dyDescent="0.3">
      <c r="B17" s="361" t="s">
        <v>445</v>
      </c>
      <c r="C17" s="362" t="s">
        <v>446</v>
      </c>
      <c r="D17" s="270" t="s">
        <v>447</v>
      </c>
      <c r="F17" s="107" t="s">
        <v>448</v>
      </c>
      <c r="G17" s="99" t="s">
        <v>449</v>
      </c>
      <c r="H17" s="103"/>
      <c r="I17" s="361" t="s">
        <v>445</v>
      </c>
      <c r="J17" s="370" t="s">
        <v>446</v>
      </c>
      <c r="K17" s="273" t="s">
        <v>447</v>
      </c>
      <c r="M17" s="107" t="s">
        <v>448</v>
      </c>
      <c r="N17" s="99" t="s">
        <v>449</v>
      </c>
      <c r="P17" s="361" t="s">
        <v>445</v>
      </c>
      <c r="Q17" s="362" t="s">
        <v>446</v>
      </c>
      <c r="R17" s="273" t="s">
        <v>447</v>
      </c>
      <c r="T17" s="107" t="s">
        <v>448</v>
      </c>
      <c r="U17" s="99" t="s">
        <v>449</v>
      </c>
      <c r="W17" s="107" t="s">
        <v>448</v>
      </c>
      <c r="X17" s="99" t="s">
        <v>449</v>
      </c>
    </row>
    <row r="18" spans="2:24" ht="15" customHeight="1" thickTop="1" x14ac:dyDescent="0.25">
      <c r="B18" s="359">
        <v>0</v>
      </c>
      <c r="C18" s="360">
        <v>0</v>
      </c>
      <c r="D18" s="271">
        <f t="shared" ref="D18:D81" si="0">C18/1000</f>
        <v>0</v>
      </c>
      <c r="F18" s="115">
        <v>0</v>
      </c>
      <c r="G18" s="105">
        <v>0</v>
      </c>
      <c r="H18" s="103"/>
      <c r="I18" s="359">
        <v>0</v>
      </c>
      <c r="J18" s="360">
        <v>0</v>
      </c>
      <c r="K18" s="271">
        <f t="shared" ref="K18:K81" si="1">J18/1000</f>
        <v>0</v>
      </c>
      <c r="M18" s="115">
        <v>0</v>
      </c>
      <c r="N18" s="105">
        <v>0</v>
      </c>
      <c r="P18" s="359">
        <v>0</v>
      </c>
      <c r="Q18" s="360">
        <v>0</v>
      </c>
      <c r="R18" s="271">
        <f t="shared" ref="R18:R81" si="2">Q18/1000</f>
        <v>0</v>
      </c>
      <c r="T18" s="115">
        <v>0</v>
      </c>
      <c r="U18" s="105">
        <v>0</v>
      </c>
      <c r="W18" s="109">
        <v>0</v>
      </c>
      <c r="X18" s="111">
        <v>0</v>
      </c>
    </row>
    <row r="19" spans="2:24" ht="15" customHeight="1" x14ac:dyDescent="0.25">
      <c r="B19" s="114">
        <v>8.6705850000000004E-4</v>
      </c>
      <c r="C19" s="269">
        <v>2.1357029999999999E-2</v>
      </c>
      <c r="D19" s="272">
        <f t="shared" si="0"/>
        <v>2.1357029999999998E-5</v>
      </c>
      <c r="F19" s="116">
        <v>2.1676460000000002E-2</v>
      </c>
      <c r="G19" s="106">
        <v>5.3392589999999996E-4</v>
      </c>
      <c r="H19" s="103"/>
      <c r="I19" s="114">
        <v>1.175291E-5</v>
      </c>
      <c r="J19" s="269">
        <v>2.061932E-2</v>
      </c>
      <c r="K19" s="272">
        <f t="shared" si="1"/>
        <v>2.0619319999999999E-5</v>
      </c>
      <c r="M19" s="116">
        <v>2.9382280000000001E-4</v>
      </c>
      <c r="N19" s="106">
        <v>4.6397019999999998E-4</v>
      </c>
      <c r="P19" s="114">
        <v>1.2928199999999999E-5</v>
      </c>
      <c r="Q19" s="269">
        <v>2.268125E-2</v>
      </c>
      <c r="R19" s="272">
        <f t="shared" si="2"/>
        <v>2.2681249999999999E-5</v>
      </c>
      <c r="T19" s="116">
        <v>3.2320500000000002E-4</v>
      </c>
      <c r="U19" s="106">
        <v>5.1036720000000003E-4</v>
      </c>
      <c r="W19" s="110">
        <f>Values!C41</f>
        <v>0.37174721189591081</v>
      </c>
      <c r="X19" s="106">
        <v>0.01</v>
      </c>
    </row>
    <row r="20" spans="2:24" ht="15" customHeight="1" x14ac:dyDescent="0.25">
      <c r="B20" s="114">
        <v>1.7341170000000001E-3</v>
      </c>
      <c r="C20" s="269">
        <v>4.271407E-2</v>
      </c>
      <c r="D20" s="272">
        <f t="shared" si="0"/>
        <v>4.2714070000000003E-5</v>
      </c>
      <c r="F20" s="116">
        <v>4.3352920000000003E-2</v>
      </c>
      <c r="G20" s="106">
        <v>1.067852E-3</v>
      </c>
      <c r="H20" s="103"/>
      <c r="I20" s="114">
        <v>2.3505819999999999E-5</v>
      </c>
      <c r="J20" s="269">
        <v>4.123864E-2</v>
      </c>
      <c r="K20" s="272">
        <f t="shared" si="1"/>
        <v>4.1238639999999998E-5</v>
      </c>
      <c r="M20" s="116">
        <v>5.8764549999999998E-4</v>
      </c>
      <c r="N20" s="106">
        <v>7.3087199999999992E-4</v>
      </c>
      <c r="P20" s="114">
        <v>2.5856399999999999E-5</v>
      </c>
      <c r="Q20" s="269">
        <v>4.53625E-2</v>
      </c>
      <c r="R20" s="272">
        <f t="shared" si="2"/>
        <v>4.5362499999999998E-5</v>
      </c>
      <c r="T20" s="116">
        <v>6.4641009999999997E-4</v>
      </c>
      <c r="U20" s="106">
        <v>8.0395919999999999E-4</v>
      </c>
      <c r="W20" s="112">
        <f>W19+1</f>
        <v>1.3717472118959109</v>
      </c>
      <c r="X20" s="113">
        <f>Values!C44</f>
        <v>683.22934674196893</v>
      </c>
    </row>
    <row r="21" spans="2:24" ht="15" customHeight="1" x14ac:dyDescent="0.25">
      <c r="B21" s="114">
        <v>2.6011749999999998E-3</v>
      </c>
      <c r="C21" s="269">
        <v>6.4071100000000006E-2</v>
      </c>
      <c r="D21" s="272">
        <f t="shared" si="0"/>
        <v>6.4071100000000011E-5</v>
      </c>
      <c r="F21" s="116">
        <v>6.5029390000000006E-2</v>
      </c>
      <c r="G21" s="106">
        <v>1.6017779999999999E-3</v>
      </c>
      <c r="H21" s="103"/>
      <c r="I21" s="114">
        <v>3.5258729999999997E-5</v>
      </c>
      <c r="J21" s="269">
        <v>6.1857959999999997E-2</v>
      </c>
      <c r="K21" s="272">
        <f t="shared" si="1"/>
        <v>6.185796E-5</v>
      </c>
      <c r="M21" s="116">
        <v>8.8146830000000005E-4</v>
      </c>
      <c r="N21" s="106">
        <v>9.9777390000000007E-4</v>
      </c>
      <c r="P21" s="114">
        <v>3.8784600000000001E-5</v>
      </c>
      <c r="Q21" s="269">
        <v>6.804375E-2</v>
      </c>
      <c r="R21" s="272">
        <f t="shared" si="2"/>
        <v>6.8043749999999997E-5</v>
      </c>
      <c r="T21" s="116">
        <v>9.6961509999999999E-4</v>
      </c>
      <c r="U21" s="106">
        <v>1.097551E-3</v>
      </c>
      <c r="W21" s="613" t="s">
        <v>450</v>
      </c>
      <c r="X21" s="613"/>
    </row>
    <row r="22" spans="2:24" ht="15" customHeight="1" x14ac:dyDescent="0.25">
      <c r="B22" s="114">
        <v>3.4682340000000002E-3</v>
      </c>
      <c r="C22" s="269">
        <v>8.542814E-2</v>
      </c>
      <c r="D22" s="272">
        <f t="shared" si="0"/>
        <v>8.5428140000000006E-5</v>
      </c>
      <c r="F22" s="116">
        <v>8.6705850000000001E-2</v>
      </c>
      <c r="G22" s="106">
        <v>2.1357030000000001E-3</v>
      </c>
      <c r="H22" s="103"/>
      <c r="I22" s="114">
        <v>4.7011639999999998E-5</v>
      </c>
      <c r="J22" s="269">
        <v>8.247728E-2</v>
      </c>
      <c r="K22" s="272">
        <f t="shared" si="1"/>
        <v>8.2477279999999996E-5</v>
      </c>
      <c r="M22" s="116">
        <v>1.175291E-3</v>
      </c>
      <c r="N22" s="106">
        <v>1.2374249999999999E-3</v>
      </c>
      <c r="P22" s="114">
        <v>5.1712799999999997E-5</v>
      </c>
      <c r="Q22" s="269">
        <v>9.0725E-2</v>
      </c>
      <c r="R22" s="272">
        <f t="shared" si="2"/>
        <v>9.0724999999999996E-5</v>
      </c>
      <c r="T22" s="116">
        <v>1.2928200000000001E-3</v>
      </c>
      <c r="U22" s="106">
        <v>1.3611669999999999E-3</v>
      </c>
    </row>
    <row r="23" spans="2:24" ht="15" customHeight="1" x14ac:dyDescent="0.25">
      <c r="B23" s="114">
        <v>4.3352920000000001E-3</v>
      </c>
      <c r="C23" s="269">
        <v>0.1067852</v>
      </c>
      <c r="D23" s="272">
        <f t="shared" si="0"/>
        <v>1.067852E-4</v>
      </c>
      <c r="F23" s="116">
        <v>0.1083823</v>
      </c>
      <c r="G23" s="106">
        <v>2.6696290000000002E-3</v>
      </c>
      <c r="H23" s="103"/>
      <c r="I23" s="114">
        <v>5.876455E-5</v>
      </c>
      <c r="J23" s="269">
        <v>0.1030966</v>
      </c>
      <c r="K23" s="272">
        <f t="shared" si="1"/>
        <v>1.0309659999999999E-4</v>
      </c>
      <c r="M23" s="116">
        <v>1.4691140000000001E-3</v>
      </c>
      <c r="N23" s="106">
        <v>1.4033709999999998E-3</v>
      </c>
      <c r="P23" s="114">
        <v>6.4641009999999994E-5</v>
      </c>
      <c r="Q23" s="269">
        <v>0.1134063</v>
      </c>
      <c r="R23" s="272">
        <f t="shared" si="2"/>
        <v>1.134063E-4</v>
      </c>
      <c r="T23" s="116">
        <v>1.6160250000000001E-3</v>
      </c>
      <c r="U23" s="106">
        <v>1.543708E-3</v>
      </c>
    </row>
    <row r="24" spans="2:24" ht="15" customHeight="1" x14ac:dyDescent="0.25">
      <c r="B24" s="114">
        <v>5.202351E-3</v>
      </c>
      <c r="C24" s="269">
        <v>0.12814220000000001</v>
      </c>
      <c r="D24" s="272">
        <f t="shared" si="0"/>
        <v>1.2814220000000002E-4</v>
      </c>
      <c r="F24" s="116">
        <v>0.1300588</v>
      </c>
      <c r="G24" s="106">
        <v>3.2035550000000003E-3</v>
      </c>
      <c r="H24" s="103"/>
      <c r="I24" s="114">
        <v>7.0517459999999994E-5</v>
      </c>
      <c r="J24" s="269">
        <v>0.1237159</v>
      </c>
      <c r="K24" s="272">
        <f t="shared" si="1"/>
        <v>1.237159E-4</v>
      </c>
      <c r="M24" s="116">
        <v>1.762937E-3</v>
      </c>
      <c r="N24" s="106">
        <v>1.5496520000000001E-3</v>
      </c>
      <c r="P24" s="114">
        <v>7.7569210000000003E-5</v>
      </c>
      <c r="Q24" s="269">
        <v>0.1360875</v>
      </c>
      <c r="R24" s="272">
        <f t="shared" si="2"/>
        <v>1.3608749999999999E-4</v>
      </c>
      <c r="T24" s="116">
        <v>1.9392299999999999E-3</v>
      </c>
      <c r="U24" s="106">
        <v>1.704618E-3</v>
      </c>
    </row>
    <row r="25" spans="2:24" ht="15" customHeight="1" x14ac:dyDescent="0.25">
      <c r="B25" s="114">
        <v>6.0694089999999996E-3</v>
      </c>
      <c r="C25" s="269">
        <v>0.1494992</v>
      </c>
      <c r="D25" s="272">
        <f t="shared" si="0"/>
        <v>1.494992E-4</v>
      </c>
      <c r="F25" s="116">
        <v>0.15173519999999999</v>
      </c>
      <c r="G25" s="106">
        <v>3.737481E-3</v>
      </c>
      <c r="H25" s="103"/>
      <c r="I25" s="114">
        <v>8.2270369999999995E-5</v>
      </c>
      <c r="J25" s="269">
        <v>0.1443352</v>
      </c>
      <c r="K25" s="272">
        <f t="shared" si="1"/>
        <v>1.4433520000000001E-4</v>
      </c>
      <c r="M25" s="116">
        <v>2.056759E-3</v>
      </c>
      <c r="N25" s="106">
        <v>1.688101E-3</v>
      </c>
      <c r="P25" s="114">
        <v>9.0497409999999999E-5</v>
      </c>
      <c r="Q25" s="269">
        <v>0.15876879999999999</v>
      </c>
      <c r="R25" s="272">
        <f t="shared" si="2"/>
        <v>1.587688E-4</v>
      </c>
      <c r="T25" s="116">
        <v>2.2624350000000001E-3</v>
      </c>
      <c r="U25" s="106">
        <v>1.8569119999999998E-3</v>
      </c>
    </row>
    <row r="26" spans="2:24" ht="15" customHeight="1" x14ac:dyDescent="0.25">
      <c r="B26" s="114">
        <v>6.9364680000000003E-3</v>
      </c>
      <c r="C26" s="269">
        <v>0.17085629999999999</v>
      </c>
      <c r="D26" s="272">
        <f t="shared" si="0"/>
        <v>1.7085629999999999E-4</v>
      </c>
      <c r="F26" s="116">
        <v>0.1734117</v>
      </c>
      <c r="G26" s="106">
        <v>4.2714069999999996E-3</v>
      </c>
      <c r="H26" s="103"/>
      <c r="I26" s="114">
        <v>9.4023279999999997E-5</v>
      </c>
      <c r="J26" s="269">
        <v>0.16495460000000001</v>
      </c>
      <c r="K26" s="272">
        <f t="shared" si="1"/>
        <v>1.6495459999999999E-4</v>
      </c>
      <c r="M26" s="116">
        <v>2.3505819999999999E-3</v>
      </c>
      <c r="N26" s="106">
        <v>1.8226749999999999E-3</v>
      </c>
      <c r="P26" s="114">
        <v>1.0342559999999999E-4</v>
      </c>
      <c r="Q26" s="269">
        <v>0.18145</v>
      </c>
      <c r="R26" s="272">
        <f t="shared" si="2"/>
        <v>1.8144999999999999E-4</v>
      </c>
      <c r="T26" s="116">
        <v>2.5856400000000002E-3</v>
      </c>
      <c r="U26" s="106">
        <v>2.0049429999999999E-3</v>
      </c>
    </row>
    <row r="27" spans="2:24" ht="15" customHeight="1" x14ac:dyDescent="0.25">
      <c r="B27" s="114">
        <v>7.8035259999999999E-3</v>
      </c>
      <c r="C27" s="269">
        <v>0.1922133</v>
      </c>
      <c r="D27" s="272">
        <f t="shared" si="0"/>
        <v>1.9221329999999999E-4</v>
      </c>
      <c r="F27" s="116">
        <v>0.19508819999999999</v>
      </c>
      <c r="G27" s="106">
        <v>4.8053330000000002E-3</v>
      </c>
      <c r="H27" s="103"/>
      <c r="I27" s="114">
        <v>1.057762E-4</v>
      </c>
      <c r="J27" s="269">
        <v>0.18557390000000001</v>
      </c>
      <c r="K27" s="272">
        <f t="shared" si="1"/>
        <v>1.855739E-4</v>
      </c>
      <c r="M27" s="116">
        <v>2.6444049999999998E-3</v>
      </c>
      <c r="N27" s="106">
        <v>1.9550879999999998E-3</v>
      </c>
      <c r="P27" s="114">
        <v>1.163538E-4</v>
      </c>
      <c r="Q27" s="269">
        <v>0.20413129999999999</v>
      </c>
      <c r="R27" s="272">
        <f t="shared" si="2"/>
        <v>2.0413129999999999E-4</v>
      </c>
      <c r="T27" s="116">
        <v>2.9088450000000002E-3</v>
      </c>
      <c r="U27" s="106">
        <v>2.1505969999999998E-3</v>
      </c>
    </row>
    <row r="28" spans="2:24" ht="15" customHeight="1" x14ac:dyDescent="0.25">
      <c r="B28" s="114">
        <v>8.6705849999999998E-3</v>
      </c>
      <c r="C28" s="269">
        <v>0.21357029999999999</v>
      </c>
      <c r="D28" s="272">
        <f t="shared" si="0"/>
        <v>2.135703E-4</v>
      </c>
      <c r="F28" s="116">
        <v>0.2167646</v>
      </c>
      <c r="G28" s="106">
        <v>5.3392589999999998E-3</v>
      </c>
      <c r="H28" s="103"/>
      <c r="I28" s="114">
        <v>1.175291E-4</v>
      </c>
      <c r="J28" s="269">
        <v>0.20619319999999999</v>
      </c>
      <c r="K28" s="272">
        <f t="shared" si="1"/>
        <v>2.0619319999999998E-4</v>
      </c>
      <c r="M28" s="116">
        <v>2.9382280000000002E-3</v>
      </c>
      <c r="N28" s="106">
        <v>2.086194E-3</v>
      </c>
      <c r="P28" s="114">
        <v>1.2928200000000001E-4</v>
      </c>
      <c r="Q28" s="269">
        <v>0.2268125</v>
      </c>
      <c r="R28" s="272">
        <f t="shared" si="2"/>
        <v>2.2681249999999999E-4</v>
      </c>
      <c r="T28" s="116">
        <v>3.2320500000000002E-3</v>
      </c>
      <c r="U28" s="106">
        <v>2.2948130000000001E-3</v>
      </c>
    </row>
    <row r="29" spans="2:24" ht="15" customHeight="1" x14ac:dyDescent="0.25">
      <c r="B29" s="114">
        <v>9.5376430000000002E-3</v>
      </c>
      <c r="C29" s="269">
        <v>0.23492740000000001</v>
      </c>
      <c r="D29" s="272">
        <f t="shared" si="0"/>
        <v>2.3492740000000001E-4</v>
      </c>
      <c r="F29" s="116">
        <v>0.23844109999999999</v>
      </c>
      <c r="G29" s="106">
        <v>5.873184E-3</v>
      </c>
      <c r="H29" s="103"/>
      <c r="I29" s="114">
        <v>1.2928200000000001E-4</v>
      </c>
      <c r="J29" s="269">
        <v>0.2268125</v>
      </c>
      <c r="K29" s="272">
        <f t="shared" si="1"/>
        <v>2.2681249999999999E-4</v>
      </c>
      <c r="M29" s="116">
        <v>3.2320500000000002E-3</v>
      </c>
      <c r="N29" s="106">
        <v>2.1733680000000002E-3</v>
      </c>
      <c r="P29" s="114">
        <v>1.422102E-4</v>
      </c>
      <c r="Q29" s="269">
        <v>0.24949379999999999</v>
      </c>
      <c r="R29" s="272">
        <f t="shared" si="2"/>
        <v>2.4949379999999999E-4</v>
      </c>
      <c r="T29" s="116">
        <v>3.5552549999999998E-3</v>
      </c>
      <c r="U29" s="106">
        <v>2.3907049999999999E-3</v>
      </c>
    </row>
    <row r="30" spans="2:24" ht="15" customHeight="1" x14ac:dyDescent="0.25">
      <c r="B30" s="114">
        <v>1.0404699999999999E-2</v>
      </c>
      <c r="C30" s="269">
        <v>0.25628440000000002</v>
      </c>
      <c r="D30" s="272">
        <f t="shared" si="0"/>
        <v>2.5628440000000004E-4</v>
      </c>
      <c r="F30" s="116">
        <v>0.2601175</v>
      </c>
      <c r="G30" s="106">
        <v>6.4071100000000006E-3</v>
      </c>
      <c r="H30" s="103"/>
      <c r="I30" s="114">
        <v>1.4103489999999999E-4</v>
      </c>
      <c r="J30" s="269">
        <v>0.24743180000000001</v>
      </c>
      <c r="K30" s="272">
        <f t="shared" si="1"/>
        <v>2.474318E-4</v>
      </c>
      <c r="M30" s="116">
        <v>3.5258730000000001E-3</v>
      </c>
      <c r="N30" s="106">
        <v>2.2308460000000003E-3</v>
      </c>
      <c r="P30" s="114">
        <v>1.5513840000000001E-4</v>
      </c>
      <c r="Q30" s="269">
        <v>0.272175</v>
      </c>
      <c r="R30" s="272">
        <f t="shared" si="2"/>
        <v>2.7217499999999999E-4</v>
      </c>
      <c r="T30" s="116">
        <v>3.8784599999999998E-3</v>
      </c>
      <c r="U30" s="106">
        <v>2.45393E-3</v>
      </c>
    </row>
    <row r="31" spans="2:24" ht="15" customHeight="1" x14ac:dyDescent="0.25">
      <c r="B31" s="114">
        <v>1.127176E-2</v>
      </c>
      <c r="C31" s="269">
        <v>0.27764139999999998</v>
      </c>
      <c r="D31" s="272">
        <f t="shared" si="0"/>
        <v>2.7764139999999999E-4</v>
      </c>
      <c r="F31" s="116">
        <v>0.28179399999999999</v>
      </c>
      <c r="G31" s="106">
        <v>6.9410360000000003E-3</v>
      </c>
      <c r="H31" s="103"/>
      <c r="I31" s="114">
        <v>1.5278779999999999E-4</v>
      </c>
      <c r="J31" s="269">
        <v>0.26805109999999999</v>
      </c>
      <c r="K31" s="272">
        <f t="shared" si="1"/>
        <v>2.6805109999999998E-4</v>
      </c>
      <c r="M31" s="116">
        <v>3.819696E-3</v>
      </c>
      <c r="N31" s="106">
        <v>2.2740160000000002E-3</v>
      </c>
      <c r="P31" s="114">
        <v>1.6806659999999999E-4</v>
      </c>
      <c r="Q31" s="269">
        <v>0.29485630000000002</v>
      </c>
      <c r="R31" s="272">
        <f t="shared" si="2"/>
        <v>2.9485630000000002E-4</v>
      </c>
      <c r="T31" s="116">
        <v>4.2016650000000003E-3</v>
      </c>
      <c r="U31" s="106">
        <v>2.5014170000000001E-3</v>
      </c>
    </row>
    <row r="32" spans="2:24" ht="15" customHeight="1" x14ac:dyDescent="0.25">
      <c r="B32" s="114">
        <v>1.213882E-2</v>
      </c>
      <c r="C32" s="269">
        <v>0.2989985</v>
      </c>
      <c r="D32" s="272">
        <f t="shared" si="0"/>
        <v>2.9899849999999998E-4</v>
      </c>
      <c r="F32" s="116">
        <v>0.30347049999999998</v>
      </c>
      <c r="G32" s="106">
        <v>7.4749619999999999E-3</v>
      </c>
      <c r="H32" s="103"/>
      <c r="I32" s="114">
        <v>1.6454069999999999E-4</v>
      </c>
      <c r="J32" s="269">
        <v>0.2886705</v>
      </c>
      <c r="K32" s="272">
        <f t="shared" si="1"/>
        <v>2.8867049999999999E-4</v>
      </c>
      <c r="M32" s="116">
        <v>4.1135190000000004E-3</v>
      </c>
      <c r="N32" s="106">
        <v>2.3082989999999998E-3</v>
      </c>
      <c r="P32" s="114">
        <v>1.809948E-4</v>
      </c>
      <c r="Q32" s="269">
        <v>0.31753749999999997</v>
      </c>
      <c r="R32" s="272">
        <f t="shared" si="2"/>
        <v>3.1753749999999996E-4</v>
      </c>
      <c r="T32" s="116">
        <v>4.5248700000000003E-3</v>
      </c>
      <c r="U32" s="106">
        <v>2.5391289999999998E-3</v>
      </c>
    </row>
    <row r="33" spans="2:21" ht="15" customHeight="1" x14ac:dyDescent="0.25">
      <c r="B33" s="114">
        <v>1.3005879999999999E-2</v>
      </c>
      <c r="C33" s="269">
        <v>0.32035550000000002</v>
      </c>
      <c r="D33" s="272">
        <f t="shared" si="0"/>
        <v>3.2035550000000004E-4</v>
      </c>
      <c r="F33" s="116">
        <v>0.32514690000000002</v>
      </c>
      <c r="G33" s="106">
        <v>8.0088880000000005E-3</v>
      </c>
      <c r="H33" s="103"/>
      <c r="I33" s="114">
        <v>1.762937E-4</v>
      </c>
      <c r="J33" s="269">
        <v>0.30879640000000003</v>
      </c>
      <c r="K33" s="272">
        <f t="shared" si="1"/>
        <v>3.0879640000000004E-4</v>
      </c>
      <c r="M33" s="116">
        <v>4.4073410000000004E-3</v>
      </c>
      <c r="N33" s="106">
        <v>2.3365700000000001E-3</v>
      </c>
      <c r="P33" s="114">
        <v>1.9392300000000001E-4</v>
      </c>
      <c r="Q33" s="269">
        <v>0.33967599999999998</v>
      </c>
      <c r="R33" s="272">
        <f t="shared" si="2"/>
        <v>3.3967599999999996E-4</v>
      </c>
      <c r="T33" s="116">
        <v>4.8480750000000003E-3</v>
      </c>
      <c r="U33" s="106">
        <v>2.570227E-3</v>
      </c>
    </row>
    <row r="34" spans="2:21" ht="15" customHeight="1" x14ac:dyDescent="0.25">
      <c r="B34" s="114">
        <v>1.387294E-2</v>
      </c>
      <c r="C34" s="269">
        <v>0.34171249999999997</v>
      </c>
      <c r="D34" s="272">
        <f t="shared" si="0"/>
        <v>3.4171249999999999E-4</v>
      </c>
      <c r="F34" s="116">
        <v>0.3468234</v>
      </c>
      <c r="G34" s="106">
        <v>8.5428139999999993E-3</v>
      </c>
      <c r="H34" s="103"/>
      <c r="I34" s="114">
        <v>1.880466E-4</v>
      </c>
      <c r="J34" s="269">
        <v>0.32439440000000003</v>
      </c>
      <c r="K34" s="272">
        <f t="shared" si="1"/>
        <v>3.2439440000000001E-4</v>
      </c>
      <c r="M34" s="116">
        <v>4.7011639999999999E-3</v>
      </c>
      <c r="N34" s="106">
        <v>2.3605619999999996E-3</v>
      </c>
      <c r="P34" s="114">
        <v>2.0685119999999999E-4</v>
      </c>
      <c r="Q34" s="269">
        <v>0.35683379999999998</v>
      </c>
      <c r="R34" s="272">
        <f t="shared" si="2"/>
        <v>3.5683379999999998E-4</v>
      </c>
      <c r="T34" s="116">
        <v>5.1712800000000003E-3</v>
      </c>
      <c r="U34" s="106">
        <v>2.5966190000000001E-3</v>
      </c>
    </row>
    <row r="35" spans="2:21" ht="15" customHeight="1" x14ac:dyDescent="0.25">
      <c r="B35" s="114">
        <v>1.473999E-2</v>
      </c>
      <c r="C35" s="269">
        <v>0.36306959999999999</v>
      </c>
      <c r="D35" s="272">
        <f t="shared" si="0"/>
        <v>3.6306959999999998E-4</v>
      </c>
      <c r="F35" s="116">
        <v>0.36849989999999999</v>
      </c>
      <c r="G35" s="106">
        <v>9.0767399999999998E-3</v>
      </c>
      <c r="H35" s="103"/>
      <c r="I35" s="114">
        <v>1.997995E-4</v>
      </c>
      <c r="J35" s="269">
        <v>0.33999239999999997</v>
      </c>
      <c r="K35" s="272">
        <f t="shared" si="1"/>
        <v>3.3999239999999998E-4</v>
      </c>
      <c r="M35" s="116">
        <v>4.9949870000000002E-3</v>
      </c>
      <c r="N35" s="106">
        <v>2.381401E-3</v>
      </c>
      <c r="P35" s="114">
        <v>2.197794E-4</v>
      </c>
      <c r="Q35" s="269">
        <v>0.37399159999999998</v>
      </c>
      <c r="R35" s="272">
        <f t="shared" si="2"/>
        <v>3.7399159999999999E-4</v>
      </c>
      <c r="T35" s="116">
        <v>5.4944850000000003E-3</v>
      </c>
      <c r="U35" s="106">
        <v>2.6195419999999999E-3</v>
      </c>
    </row>
    <row r="36" spans="2:21" ht="15" customHeight="1" x14ac:dyDescent="0.25">
      <c r="B36" s="114">
        <v>1.5607050000000001E-2</v>
      </c>
      <c r="C36" s="269">
        <v>0.38442660000000001</v>
      </c>
      <c r="D36" s="272">
        <f t="shared" si="0"/>
        <v>3.8442659999999998E-4</v>
      </c>
      <c r="F36" s="116">
        <v>0.39017629999999998</v>
      </c>
      <c r="G36" s="106">
        <v>9.6106649999999991E-3</v>
      </c>
      <c r="H36" s="103"/>
      <c r="I36" s="114">
        <v>2.115524E-4</v>
      </c>
      <c r="J36" s="269">
        <v>0.35559030000000003</v>
      </c>
      <c r="K36" s="272">
        <f t="shared" si="1"/>
        <v>3.5559030000000002E-4</v>
      </c>
      <c r="M36" s="116">
        <v>5.2888099999999997E-3</v>
      </c>
      <c r="N36" s="106">
        <v>2.3998520000000001E-3</v>
      </c>
      <c r="P36" s="114">
        <v>2.3270760000000001E-4</v>
      </c>
      <c r="Q36" s="269">
        <v>0.39114939999999998</v>
      </c>
      <c r="R36" s="272">
        <f t="shared" si="2"/>
        <v>3.9114940000000001E-4</v>
      </c>
      <c r="T36" s="116">
        <v>5.8176900000000004E-3</v>
      </c>
      <c r="U36" s="106">
        <v>2.6398369999999999E-3</v>
      </c>
    </row>
    <row r="37" spans="2:21" ht="15" customHeight="1" x14ac:dyDescent="0.25">
      <c r="B37" s="114">
        <v>1.647411E-2</v>
      </c>
      <c r="C37" s="269">
        <v>0.40578370000000002</v>
      </c>
      <c r="D37" s="272">
        <f t="shared" si="0"/>
        <v>4.0578370000000002E-4</v>
      </c>
      <c r="F37" s="116">
        <v>0.41185280000000002</v>
      </c>
      <c r="G37" s="106">
        <v>1.014459E-2</v>
      </c>
      <c r="H37" s="103"/>
      <c r="I37" s="114">
        <v>2.233053E-4</v>
      </c>
      <c r="J37" s="269">
        <v>0.37118830000000003</v>
      </c>
      <c r="K37" s="272">
        <f t="shared" si="1"/>
        <v>3.7118830000000005E-4</v>
      </c>
      <c r="M37" s="116">
        <v>5.5826319999999997E-3</v>
      </c>
      <c r="N37" s="106">
        <v>2.4164550000000001E-3</v>
      </c>
      <c r="P37" s="114">
        <v>2.4563580000000002E-4</v>
      </c>
      <c r="Q37" s="269">
        <v>0.40830709999999998</v>
      </c>
      <c r="R37" s="272">
        <f t="shared" si="2"/>
        <v>4.0830709999999999E-4</v>
      </c>
      <c r="T37" s="116">
        <v>6.1408959999999999E-3</v>
      </c>
      <c r="U37" s="106">
        <v>2.6581E-3</v>
      </c>
    </row>
    <row r="38" spans="2:21" ht="15" customHeight="1" x14ac:dyDescent="0.25">
      <c r="B38" s="114">
        <v>1.734117E-2</v>
      </c>
      <c r="C38" s="269">
        <v>0.42714069999999998</v>
      </c>
      <c r="D38" s="272">
        <f t="shared" si="0"/>
        <v>4.2714069999999997E-4</v>
      </c>
      <c r="F38" s="116">
        <v>0.4335292</v>
      </c>
      <c r="G38" s="106">
        <v>1.067852E-2</v>
      </c>
      <c r="H38" s="103"/>
      <c r="I38" s="114">
        <v>2.350582E-4</v>
      </c>
      <c r="J38" s="269">
        <v>0.38678630000000003</v>
      </c>
      <c r="K38" s="272">
        <f t="shared" si="1"/>
        <v>3.8678630000000001E-4</v>
      </c>
      <c r="M38" s="116">
        <v>5.876455E-3</v>
      </c>
      <c r="N38" s="106">
        <v>2.4316019999999997E-3</v>
      </c>
      <c r="P38" s="114">
        <v>2.5856400000000003E-4</v>
      </c>
      <c r="Q38" s="269">
        <v>0.42546489999999998</v>
      </c>
      <c r="R38" s="272">
        <f t="shared" si="2"/>
        <v>4.254649E-4</v>
      </c>
      <c r="T38" s="116">
        <v>6.4641009999999999E-3</v>
      </c>
      <c r="U38" s="106">
        <v>2.6747619999999998E-3</v>
      </c>
    </row>
    <row r="39" spans="2:21" ht="15" customHeight="1" x14ac:dyDescent="0.25">
      <c r="B39" s="114">
        <v>1.8208229999999999E-2</v>
      </c>
      <c r="C39" s="269">
        <v>0.4484977</v>
      </c>
      <c r="D39" s="272">
        <f t="shared" si="0"/>
        <v>4.4849769999999998E-4</v>
      </c>
      <c r="F39" s="116">
        <v>0.45520569999999999</v>
      </c>
      <c r="G39" s="106">
        <v>1.1212440000000001E-2</v>
      </c>
      <c r="H39" s="103"/>
      <c r="I39" s="114">
        <v>2.4681110000000003E-4</v>
      </c>
      <c r="J39" s="269">
        <v>0.40238429999999997</v>
      </c>
      <c r="K39" s="272">
        <f t="shared" si="1"/>
        <v>4.0238429999999998E-4</v>
      </c>
      <c r="M39" s="116">
        <v>6.1702780000000004E-3</v>
      </c>
      <c r="N39" s="106">
        <v>2.4455849999999997E-3</v>
      </c>
      <c r="P39" s="114">
        <v>2.7149219999999998E-4</v>
      </c>
      <c r="Q39" s="269">
        <v>0.44262269999999998</v>
      </c>
      <c r="R39" s="272">
        <f t="shared" si="2"/>
        <v>4.4262269999999996E-4</v>
      </c>
      <c r="T39" s="116">
        <v>6.7873059999999999E-3</v>
      </c>
      <c r="U39" s="106">
        <v>2.6901440000000002E-3</v>
      </c>
    </row>
    <row r="40" spans="2:21" ht="15" customHeight="1" x14ac:dyDescent="0.25">
      <c r="B40" s="114">
        <v>1.9075290000000002E-2</v>
      </c>
      <c r="C40" s="269">
        <v>0.46985480000000002</v>
      </c>
      <c r="D40" s="272">
        <f t="shared" si="0"/>
        <v>4.6985480000000002E-4</v>
      </c>
      <c r="F40" s="116">
        <v>0.47688219999999998</v>
      </c>
      <c r="G40" s="106">
        <v>1.1746370000000001E-2</v>
      </c>
      <c r="H40" s="103"/>
      <c r="I40" s="114">
        <v>2.5856400000000003E-4</v>
      </c>
      <c r="J40" s="269">
        <v>0.41798229999999997</v>
      </c>
      <c r="K40" s="272">
        <f t="shared" si="1"/>
        <v>4.1798229999999995E-4</v>
      </c>
      <c r="M40" s="116">
        <v>6.4641009999999999E-3</v>
      </c>
      <c r="N40" s="106">
        <v>2.4586260000000002E-3</v>
      </c>
      <c r="P40" s="114">
        <v>2.8442039999999999E-4</v>
      </c>
      <c r="Q40" s="269">
        <v>0.45978049999999998</v>
      </c>
      <c r="R40" s="272">
        <f t="shared" si="2"/>
        <v>4.5978049999999997E-4</v>
      </c>
      <c r="T40" s="116">
        <v>7.1105109999999999E-3</v>
      </c>
      <c r="U40" s="106">
        <v>2.7044880000000001E-3</v>
      </c>
    </row>
    <row r="41" spans="2:21" ht="15" customHeight="1" x14ac:dyDescent="0.25">
      <c r="B41" s="114">
        <v>1.9942350000000001E-2</v>
      </c>
      <c r="C41" s="269">
        <v>0.49121179999999998</v>
      </c>
      <c r="D41" s="272">
        <f t="shared" si="0"/>
        <v>4.9121180000000003E-4</v>
      </c>
      <c r="F41" s="116">
        <v>0.49855860000000002</v>
      </c>
      <c r="G41" s="106">
        <v>1.2280290000000001E-2</v>
      </c>
      <c r="H41" s="103"/>
      <c r="I41" s="114">
        <v>2.7031689999999997E-4</v>
      </c>
      <c r="J41" s="269">
        <v>0.43358020000000003</v>
      </c>
      <c r="K41" s="272">
        <f t="shared" si="1"/>
        <v>4.3358020000000005E-4</v>
      </c>
      <c r="M41" s="116">
        <v>6.7579229999999999E-3</v>
      </c>
      <c r="N41" s="106">
        <v>2.4708929999999996E-3</v>
      </c>
      <c r="P41" s="114">
        <v>2.973486E-4</v>
      </c>
      <c r="Q41" s="269">
        <v>0.47693829999999998</v>
      </c>
      <c r="R41" s="272">
        <f t="shared" si="2"/>
        <v>4.7693829999999999E-4</v>
      </c>
      <c r="T41" s="116">
        <v>7.4337159999999999E-3</v>
      </c>
      <c r="U41" s="106">
        <v>2.7179820000000003E-3</v>
      </c>
    </row>
    <row r="42" spans="2:21" ht="15" customHeight="1" x14ac:dyDescent="0.25">
      <c r="B42" s="114">
        <v>2.0809399999999999E-2</v>
      </c>
      <c r="C42" s="269">
        <v>0.51256880000000005</v>
      </c>
      <c r="D42" s="272">
        <f t="shared" si="0"/>
        <v>5.1256880000000009E-4</v>
      </c>
      <c r="F42" s="116">
        <v>0.52023509999999995</v>
      </c>
      <c r="G42" s="106">
        <v>1.2814220000000001E-2</v>
      </c>
      <c r="H42" s="103"/>
      <c r="I42" s="114">
        <v>2.8206979999999997E-4</v>
      </c>
      <c r="J42" s="269">
        <v>0.44917820000000003</v>
      </c>
      <c r="K42" s="272">
        <f t="shared" si="1"/>
        <v>4.4917820000000002E-4</v>
      </c>
      <c r="M42" s="116">
        <v>7.0517460000000002E-3</v>
      </c>
      <c r="N42" s="106">
        <v>2.4825200000000002E-3</v>
      </c>
      <c r="P42" s="114">
        <v>3.1027680000000001E-4</v>
      </c>
      <c r="Q42" s="269">
        <v>0.49409599999999998</v>
      </c>
      <c r="R42" s="272">
        <f t="shared" si="2"/>
        <v>4.9409599999999997E-4</v>
      </c>
      <c r="T42" s="116">
        <v>7.756921E-3</v>
      </c>
      <c r="U42" s="106">
        <v>2.7307719999999998E-3</v>
      </c>
    </row>
    <row r="43" spans="2:21" ht="15" customHeight="1" x14ac:dyDescent="0.25">
      <c r="B43" s="114">
        <v>2.1676460000000002E-2</v>
      </c>
      <c r="C43" s="269">
        <v>0.53392589999999995</v>
      </c>
      <c r="D43" s="272">
        <f t="shared" si="0"/>
        <v>5.3392589999999996E-4</v>
      </c>
      <c r="F43" s="116">
        <v>0.54191160000000005</v>
      </c>
      <c r="G43" s="106">
        <v>1.334815E-2</v>
      </c>
      <c r="H43" s="103"/>
      <c r="I43" s="114">
        <v>2.9382280000000001E-4</v>
      </c>
      <c r="J43" s="269">
        <v>0.4639702</v>
      </c>
      <c r="K43" s="272">
        <f t="shared" si="1"/>
        <v>4.6397019999999998E-4</v>
      </c>
      <c r="M43" s="116">
        <v>7.3455689999999997E-3</v>
      </c>
      <c r="N43" s="106">
        <v>2.4936120000000001E-3</v>
      </c>
      <c r="P43" s="114">
        <v>3.2320500000000002E-4</v>
      </c>
      <c r="Q43" s="269">
        <v>0.51036720000000002</v>
      </c>
      <c r="R43" s="272">
        <f t="shared" si="2"/>
        <v>5.1036720000000003E-4</v>
      </c>
      <c r="T43" s="116">
        <v>8.080126E-3</v>
      </c>
      <c r="U43" s="106">
        <v>2.7429730000000001E-3</v>
      </c>
    </row>
    <row r="44" spans="2:21" ht="15" customHeight="1" x14ac:dyDescent="0.25">
      <c r="B44" s="114">
        <v>2.2543520000000001E-2</v>
      </c>
      <c r="C44" s="269">
        <v>0.55528290000000002</v>
      </c>
      <c r="D44" s="272">
        <f t="shared" si="0"/>
        <v>5.5528290000000002E-4</v>
      </c>
      <c r="F44" s="116">
        <v>0.56358799999999998</v>
      </c>
      <c r="G44" s="106">
        <v>1.388207E-2</v>
      </c>
      <c r="H44" s="103"/>
      <c r="I44" s="114">
        <v>3.0557570000000001E-4</v>
      </c>
      <c r="J44" s="269">
        <v>0.47464620000000002</v>
      </c>
      <c r="K44" s="272">
        <f t="shared" si="1"/>
        <v>4.7464620000000002E-4</v>
      </c>
      <c r="M44" s="116">
        <v>7.6393920000000001E-3</v>
      </c>
      <c r="N44" s="106">
        <v>2.5042529999999997E-3</v>
      </c>
      <c r="P44" s="114">
        <v>3.3613319999999998E-4</v>
      </c>
      <c r="Q44" s="269">
        <v>0.52211090000000004</v>
      </c>
      <c r="R44" s="272">
        <f t="shared" si="2"/>
        <v>5.2211090000000009E-4</v>
      </c>
      <c r="T44" s="116">
        <v>8.403331E-3</v>
      </c>
      <c r="U44" s="106">
        <v>2.7546789999999999E-3</v>
      </c>
    </row>
    <row r="45" spans="2:21" ht="15" customHeight="1" x14ac:dyDescent="0.25">
      <c r="B45" s="114">
        <v>2.341058E-2</v>
      </c>
      <c r="C45" s="269">
        <v>0.57663989999999998</v>
      </c>
      <c r="D45" s="272">
        <f t="shared" si="0"/>
        <v>5.7663989999999997E-4</v>
      </c>
      <c r="F45" s="116">
        <v>0.58526449999999997</v>
      </c>
      <c r="G45" s="106">
        <v>1.4416E-2</v>
      </c>
      <c r="H45" s="103"/>
      <c r="I45" s="114">
        <v>3.1732860000000001E-4</v>
      </c>
      <c r="J45" s="269">
        <v>0.48532229999999998</v>
      </c>
      <c r="K45" s="272">
        <f t="shared" si="1"/>
        <v>4.8532229999999999E-4</v>
      </c>
      <c r="M45" s="116">
        <v>7.9332139999999992E-3</v>
      </c>
      <c r="N45" s="106">
        <v>2.5145129999999999E-3</v>
      </c>
      <c r="P45" s="114">
        <v>3.4906139999999998E-4</v>
      </c>
      <c r="Q45" s="269">
        <v>0.53385450000000001</v>
      </c>
      <c r="R45" s="272">
        <f t="shared" si="2"/>
        <v>5.3385450000000001E-4</v>
      </c>
      <c r="T45" s="116">
        <v>8.726536E-3</v>
      </c>
      <c r="U45" s="106">
        <v>2.7659639999999997E-3</v>
      </c>
    </row>
    <row r="46" spans="2:21" ht="15" customHeight="1" x14ac:dyDescent="0.25">
      <c r="B46" s="114">
        <v>2.427764E-2</v>
      </c>
      <c r="C46" s="269">
        <v>0.597997</v>
      </c>
      <c r="D46" s="272">
        <f t="shared" si="0"/>
        <v>5.9799699999999996E-4</v>
      </c>
      <c r="F46" s="116">
        <v>0.60694090000000001</v>
      </c>
      <c r="G46" s="106">
        <v>1.494992E-2</v>
      </c>
      <c r="H46" s="103"/>
      <c r="I46" s="114">
        <v>3.2908150000000001E-4</v>
      </c>
      <c r="J46" s="269">
        <v>0.49599840000000001</v>
      </c>
      <c r="K46" s="272">
        <f t="shared" si="1"/>
        <v>4.9599840000000002E-4</v>
      </c>
      <c r="M46" s="116">
        <v>8.2270369999999995E-3</v>
      </c>
      <c r="N46" s="106">
        <v>2.5244450000000002E-3</v>
      </c>
      <c r="P46" s="114">
        <v>3.6198959999999999E-4</v>
      </c>
      <c r="Q46" s="269">
        <v>0.54559820000000003</v>
      </c>
      <c r="R46" s="272">
        <f t="shared" si="2"/>
        <v>5.4559820000000007E-4</v>
      </c>
      <c r="T46" s="116">
        <v>9.049741E-3</v>
      </c>
      <c r="U46" s="106">
        <v>2.7768890000000003E-3</v>
      </c>
    </row>
    <row r="47" spans="2:21" ht="15" customHeight="1" x14ac:dyDescent="0.25">
      <c r="B47" s="114">
        <v>2.5144699999999999E-2</v>
      </c>
      <c r="C47" s="269">
        <v>0.61935399999999996</v>
      </c>
      <c r="D47" s="272">
        <f t="shared" si="0"/>
        <v>6.1935399999999991E-4</v>
      </c>
      <c r="F47" s="116">
        <v>0.62861739999999999</v>
      </c>
      <c r="G47" s="106">
        <v>1.548385E-2</v>
      </c>
      <c r="H47" s="103"/>
      <c r="I47" s="114">
        <v>3.4083440000000001E-4</v>
      </c>
      <c r="J47" s="269">
        <v>0.50667450000000003</v>
      </c>
      <c r="K47" s="272">
        <f t="shared" si="1"/>
        <v>5.0667449999999999E-4</v>
      </c>
      <c r="M47" s="116">
        <v>8.5208599999999999E-3</v>
      </c>
      <c r="N47" s="106">
        <v>2.534096E-3</v>
      </c>
      <c r="P47" s="114">
        <v>3.749178E-4</v>
      </c>
      <c r="Q47" s="269">
        <v>0.55734189999999995</v>
      </c>
      <c r="R47" s="272">
        <f t="shared" si="2"/>
        <v>5.5734189999999992E-4</v>
      </c>
      <c r="T47" s="116">
        <v>9.3729460000000001E-3</v>
      </c>
      <c r="U47" s="106">
        <v>2.7875059999999999E-3</v>
      </c>
    </row>
    <row r="48" spans="2:21" ht="15" customHeight="1" x14ac:dyDescent="0.25">
      <c r="B48" s="114">
        <v>2.601175E-2</v>
      </c>
      <c r="C48" s="269">
        <v>0.64071100000000003</v>
      </c>
      <c r="D48" s="272">
        <f t="shared" si="0"/>
        <v>6.4071100000000008E-4</v>
      </c>
      <c r="F48" s="116">
        <v>0.65029389999999998</v>
      </c>
      <c r="G48" s="106">
        <v>1.6017779999999999E-2</v>
      </c>
      <c r="H48" s="103"/>
      <c r="I48" s="114">
        <v>3.5258730000000001E-4</v>
      </c>
      <c r="J48" s="269">
        <v>0.51735050000000005</v>
      </c>
      <c r="K48" s="272">
        <f t="shared" si="1"/>
        <v>5.1735050000000003E-4</v>
      </c>
      <c r="M48" s="116">
        <v>1.224766E-2</v>
      </c>
      <c r="N48" s="106">
        <v>2.6428390000000001E-3</v>
      </c>
      <c r="P48" s="114">
        <v>3.8784600000000001E-4</v>
      </c>
      <c r="Q48" s="269">
        <v>0.56908559999999997</v>
      </c>
      <c r="R48" s="272">
        <f t="shared" si="2"/>
        <v>5.6908559999999998E-4</v>
      </c>
      <c r="T48" s="116">
        <v>1.3125599999999999E-2</v>
      </c>
      <c r="U48" s="106">
        <v>2.897653E-3</v>
      </c>
    </row>
    <row r="49" spans="2:21" ht="15" customHeight="1" x14ac:dyDescent="0.25">
      <c r="B49" s="114">
        <v>2.687881E-2</v>
      </c>
      <c r="C49" s="269">
        <v>0.66206810000000005</v>
      </c>
      <c r="D49" s="272">
        <f t="shared" si="0"/>
        <v>6.6206810000000007E-4</v>
      </c>
      <c r="F49" s="116">
        <v>0.67197030000000002</v>
      </c>
      <c r="G49" s="106">
        <v>1.6551699999999999E-2</v>
      </c>
      <c r="H49" s="103"/>
      <c r="I49" s="114">
        <v>3.6434020000000001E-4</v>
      </c>
      <c r="J49" s="269">
        <v>0.52802660000000001</v>
      </c>
      <c r="K49" s="272">
        <f t="shared" si="1"/>
        <v>5.280266E-4</v>
      </c>
      <c r="M49" s="116">
        <v>9.8072039999999999E-2</v>
      </c>
      <c r="N49" s="106">
        <v>4.772203E-3</v>
      </c>
      <c r="P49" s="114">
        <v>4.0077420000000002E-4</v>
      </c>
      <c r="Q49" s="269">
        <v>0.58082929999999999</v>
      </c>
      <c r="R49" s="272">
        <f t="shared" si="2"/>
        <v>5.8082930000000004E-4</v>
      </c>
      <c r="T49" s="116">
        <v>9.8861829999999998E-2</v>
      </c>
      <c r="U49" s="106">
        <v>5.0272600000000004E-3</v>
      </c>
    </row>
    <row r="50" spans="2:21" ht="15" customHeight="1" x14ac:dyDescent="0.25">
      <c r="B50" s="114">
        <v>2.7745869999999999E-2</v>
      </c>
      <c r="C50" s="269">
        <v>0.68342510000000001</v>
      </c>
      <c r="D50" s="272">
        <f t="shared" si="0"/>
        <v>6.8342510000000002E-4</v>
      </c>
      <c r="F50" s="116">
        <v>0.69364680000000001</v>
      </c>
      <c r="G50" s="106">
        <v>1.7085629999999997E-2</v>
      </c>
      <c r="H50" s="103"/>
      <c r="I50" s="114">
        <v>3.7609310000000001E-4</v>
      </c>
      <c r="J50" s="269">
        <v>0.53870269999999998</v>
      </c>
      <c r="K50" s="272">
        <f t="shared" si="1"/>
        <v>5.3870269999999997E-4</v>
      </c>
      <c r="M50" s="116">
        <v>0.18389639999999999</v>
      </c>
      <c r="N50" s="106">
        <v>6.8863680000000004E-3</v>
      </c>
      <c r="P50" s="114">
        <v>4.1370239999999998E-4</v>
      </c>
      <c r="Q50" s="269">
        <v>0.59257289999999996</v>
      </c>
      <c r="R50" s="272">
        <f t="shared" si="2"/>
        <v>5.9257289999999996E-4</v>
      </c>
      <c r="T50" s="116">
        <v>0.18459809999999999</v>
      </c>
      <c r="U50" s="106">
        <v>7.1393060000000006E-3</v>
      </c>
    </row>
    <row r="51" spans="2:21" ht="15" customHeight="1" x14ac:dyDescent="0.25">
      <c r="B51" s="114">
        <v>2.8612930000000002E-2</v>
      </c>
      <c r="C51" s="269">
        <v>0.70478209999999997</v>
      </c>
      <c r="D51" s="272">
        <f t="shared" si="0"/>
        <v>7.0478209999999997E-4</v>
      </c>
      <c r="F51" s="116">
        <v>0.7153233</v>
      </c>
      <c r="G51" s="106">
        <v>1.7619550000000001E-2</v>
      </c>
      <c r="H51" s="103"/>
      <c r="I51" s="114">
        <v>3.8784600000000001E-4</v>
      </c>
      <c r="J51" s="269">
        <v>0.54937879999999994</v>
      </c>
      <c r="K51" s="272">
        <f t="shared" si="1"/>
        <v>5.4937879999999994E-4</v>
      </c>
      <c r="M51" s="116">
        <v>0.26972079999999998</v>
      </c>
      <c r="N51" s="106">
        <v>9.0003960000000008E-3</v>
      </c>
      <c r="P51" s="114">
        <v>4.2663059999999999E-4</v>
      </c>
      <c r="Q51" s="269">
        <v>0.60431659999999998</v>
      </c>
      <c r="R51" s="272">
        <f t="shared" si="2"/>
        <v>6.0431660000000002E-4</v>
      </c>
      <c r="T51" s="116">
        <v>0.27033430000000003</v>
      </c>
      <c r="U51" s="106">
        <v>9.2511740000000009E-3</v>
      </c>
    </row>
    <row r="52" spans="2:21" ht="15" customHeight="1" x14ac:dyDescent="0.25">
      <c r="B52" s="114">
        <v>2.9479990000000001E-2</v>
      </c>
      <c r="C52" s="269">
        <v>0.72613919999999998</v>
      </c>
      <c r="D52" s="272">
        <f t="shared" si="0"/>
        <v>7.2613919999999995E-4</v>
      </c>
      <c r="F52" s="116">
        <v>0.73699970000000004</v>
      </c>
      <c r="G52" s="106">
        <v>1.815348E-2</v>
      </c>
      <c r="H52" s="103"/>
      <c r="I52" s="114">
        <v>3.9959890000000001E-4</v>
      </c>
      <c r="J52" s="269">
        <v>0.56005479999999996</v>
      </c>
      <c r="K52" s="272">
        <f t="shared" si="1"/>
        <v>5.6005479999999999E-4</v>
      </c>
      <c r="M52" s="116">
        <v>0.35554520000000001</v>
      </c>
      <c r="N52" s="106">
        <v>1.11144E-2</v>
      </c>
      <c r="P52" s="114">
        <v>4.395588E-4</v>
      </c>
      <c r="Q52" s="269">
        <v>0.61606030000000001</v>
      </c>
      <c r="R52" s="272">
        <f t="shared" si="2"/>
        <v>6.1606029999999997E-4</v>
      </c>
      <c r="T52" s="116">
        <v>0.35607050000000001</v>
      </c>
      <c r="U52" s="106">
        <v>1.136301E-2</v>
      </c>
    </row>
    <row r="53" spans="2:21" ht="15" customHeight="1" x14ac:dyDescent="0.25">
      <c r="B53" s="114">
        <v>3.034705E-2</v>
      </c>
      <c r="C53" s="269">
        <v>0.74749620000000006</v>
      </c>
      <c r="D53" s="272">
        <f t="shared" si="0"/>
        <v>7.4749620000000001E-4</v>
      </c>
      <c r="F53" s="116">
        <v>0.75867620000000002</v>
      </c>
      <c r="G53" s="106">
        <v>1.8687410000000002E-2</v>
      </c>
      <c r="H53" s="103"/>
      <c r="I53" s="114">
        <v>4.1135189999999999E-4</v>
      </c>
      <c r="J53" s="269">
        <v>0.57073090000000004</v>
      </c>
      <c r="K53" s="272">
        <f t="shared" si="1"/>
        <v>5.7073090000000007E-4</v>
      </c>
      <c r="M53" s="116">
        <v>0.44136959999999997</v>
      </c>
      <c r="N53" s="106">
        <v>1.3228400000000001E-2</v>
      </c>
      <c r="P53" s="114">
        <v>4.5248700000000001E-4</v>
      </c>
      <c r="Q53" s="269">
        <v>0.62780400000000003</v>
      </c>
      <c r="R53" s="272">
        <f t="shared" si="2"/>
        <v>6.2780400000000004E-4</v>
      </c>
      <c r="T53" s="116">
        <v>0.4418068</v>
      </c>
      <c r="U53" s="106">
        <v>1.347484E-2</v>
      </c>
    </row>
    <row r="54" spans="2:21" ht="15" customHeight="1" x14ac:dyDescent="0.25">
      <c r="B54" s="114">
        <v>3.121411E-2</v>
      </c>
      <c r="C54" s="269">
        <v>0.76885320000000001</v>
      </c>
      <c r="D54" s="272">
        <f t="shared" si="0"/>
        <v>7.6885319999999997E-4</v>
      </c>
      <c r="F54" s="116">
        <v>0.78035259999999995</v>
      </c>
      <c r="G54" s="106">
        <v>1.9221329999999998E-2</v>
      </c>
      <c r="H54" s="103"/>
      <c r="I54" s="114">
        <v>4.2310479999999999E-4</v>
      </c>
      <c r="J54" s="269">
        <v>0.58140700000000001</v>
      </c>
      <c r="K54" s="272">
        <f t="shared" si="1"/>
        <v>5.8140700000000004E-4</v>
      </c>
      <c r="M54" s="116">
        <v>0.52719389999999999</v>
      </c>
      <c r="N54" s="106">
        <v>1.5342389999999999E-2</v>
      </c>
      <c r="P54" s="114">
        <v>4.6541520000000002E-4</v>
      </c>
      <c r="Q54" s="269">
        <v>0.63954770000000005</v>
      </c>
      <c r="R54" s="272">
        <f t="shared" si="2"/>
        <v>6.395477000000001E-4</v>
      </c>
      <c r="T54" s="116">
        <v>0.52754299999999998</v>
      </c>
      <c r="U54" s="106">
        <v>1.558667E-2</v>
      </c>
    </row>
    <row r="55" spans="2:21" ht="15" customHeight="1" x14ac:dyDescent="0.25">
      <c r="B55" s="114">
        <v>3.2081159999999997E-2</v>
      </c>
      <c r="C55" s="269">
        <v>0.79021030000000003</v>
      </c>
      <c r="D55" s="272">
        <f t="shared" si="0"/>
        <v>7.9021030000000006E-4</v>
      </c>
      <c r="F55" s="116">
        <v>0.80202910000000005</v>
      </c>
      <c r="G55" s="106">
        <v>1.975526E-2</v>
      </c>
      <c r="H55" s="103"/>
      <c r="I55" s="114">
        <v>4.348577E-4</v>
      </c>
      <c r="J55" s="269">
        <v>0.59208309999999997</v>
      </c>
      <c r="K55" s="272">
        <f t="shared" si="1"/>
        <v>5.9208310000000001E-4</v>
      </c>
      <c r="M55" s="116">
        <v>0.61301830000000002</v>
      </c>
      <c r="N55" s="106">
        <v>1.7456389999999999E-2</v>
      </c>
      <c r="P55" s="114">
        <v>4.7834340000000003E-4</v>
      </c>
      <c r="Q55" s="269">
        <v>0.65129139999999996</v>
      </c>
      <c r="R55" s="272">
        <f t="shared" si="2"/>
        <v>6.5129139999999994E-4</v>
      </c>
      <c r="T55" s="116">
        <v>0.61327920000000002</v>
      </c>
      <c r="U55" s="106">
        <v>1.7698490000000001E-2</v>
      </c>
    </row>
    <row r="56" spans="2:21" ht="15" customHeight="1" x14ac:dyDescent="0.25">
      <c r="B56" s="114">
        <v>3.294822E-2</v>
      </c>
      <c r="C56" s="269">
        <v>0.81156729999999999</v>
      </c>
      <c r="D56" s="272">
        <f t="shared" si="0"/>
        <v>8.1156730000000001E-4</v>
      </c>
      <c r="F56" s="116">
        <v>0.82370560000000004</v>
      </c>
      <c r="G56" s="106">
        <v>2.028918E-2</v>
      </c>
      <c r="H56" s="103"/>
      <c r="I56" s="114">
        <v>4.466106E-4</v>
      </c>
      <c r="J56" s="269">
        <v>0.60275909999999999</v>
      </c>
      <c r="K56" s="272">
        <f t="shared" si="1"/>
        <v>6.0275909999999995E-4</v>
      </c>
      <c r="M56" s="116">
        <v>0.69884270000000004</v>
      </c>
      <c r="N56" s="106">
        <v>1.9570380000000002E-2</v>
      </c>
      <c r="P56" s="114">
        <v>4.9127160000000003E-4</v>
      </c>
      <c r="Q56" s="269">
        <v>0.66303500000000004</v>
      </c>
      <c r="R56" s="272">
        <f t="shared" si="2"/>
        <v>6.6303500000000008E-4</v>
      </c>
      <c r="T56" s="116">
        <v>0.69901550000000001</v>
      </c>
      <c r="U56" s="106">
        <v>1.9810310000000001E-2</v>
      </c>
    </row>
    <row r="57" spans="2:21" ht="15" customHeight="1" x14ac:dyDescent="0.25">
      <c r="B57" s="114">
        <v>3.3815280000000003E-2</v>
      </c>
      <c r="C57" s="269">
        <v>0.83292429999999995</v>
      </c>
      <c r="D57" s="272">
        <f t="shared" si="0"/>
        <v>8.3292429999999996E-4</v>
      </c>
      <c r="F57" s="117">
        <v>0.84538199999999997</v>
      </c>
      <c r="G57" s="108">
        <v>2.0823109999999999E-2</v>
      </c>
      <c r="H57" s="103"/>
      <c r="I57" s="114">
        <v>4.583635E-4</v>
      </c>
      <c r="J57" s="269">
        <v>0.61343519999999996</v>
      </c>
      <c r="K57" s="272">
        <f t="shared" si="1"/>
        <v>6.1343519999999992E-4</v>
      </c>
      <c r="M57" s="117">
        <v>0.78466709999999995</v>
      </c>
      <c r="N57" s="108">
        <v>2.1684370000000001E-2</v>
      </c>
      <c r="P57" s="114">
        <v>5.0419980000000004E-4</v>
      </c>
      <c r="Q57" s="269">
        <v>0.67477869999999995</v>
      </c>
      <c r="R57" s="272">
        <f t="shared" si="2"/>
        <v>6.7477869999999992E-4</v>
      </c>
      <c r="T57" s="117">
        <v>0.78475170000000005</v>
      </c>
      <c r="U57" s="108">
        <v>2.1922129999999998E-2</v>
      </c>
    </row>
    <row r="58" spans="2:21" ht="15" customHeight="1" x14ac:dyDescent="0.25">
      <c r="B58" s="114">
        <v>3.4682339999999999E-2</v>
      </c>
      <c r="C58" s="269">
        <v>0.85428139999999997</v>
      </c>
      <c r="D58" s="272">
        <f t="shared" si="0"/>
        <v>8.5428139999999995E-4</v>
      </c>
      <c r="F58" s="10"/>
      <c r="G58" s="46"/>
      <c r="H58" s="103"/>
      <c r="I58" s="114">
        <v>4.701164E-4</v>
      </c>
      <c r="J58" s="269">
        <v>0.62411130000000004</v>
      </c>
      <c r="K58" s="272">
        <f t="shared" si="1"/>
        <v>6.241113E-4</v>
      </c>
      <c r="M58" s="10"/>
      <c r="N58" s="46"/>
      <c r="P58" s="114">
        <v>5.1712800000000005E-4</v>
      </c>
      <c r="Q58" s="269">
        <v>0.68652239999999998</v>
      </c>
      <c r="R58" s="272">
        <f t="shared" si="2"/>
        <v>6.8652239999999998E-4</v>
      </c>
      <c r="T58" s="10"/>
      <c r="U58" s="46"/>
    </row>
    <row r="59" spans="2:21" ht="15" customHeight="1" x14ac:dyDescent="0.25">
      <c r="B59" s="114">
        <v>3.5549400000000002E-2</v>
      </c>
      <c r="C59" s="269">
        <v>0.87563840000000004</v>
      </c>
      <c r="D59" s="272">
        <f t="shared" si="0"/>
        <v>8.7563840000000001E-4</v>
      </c>
      <c r="F59" s="43"/>
      <c r="G59" s="43"/>
      <c r="H59" s="103"/>
      <c r="I59" s="114">
        <v>4.818693E-4</v>
      </c>
      <c r="J59" s="269">
        <v>0.63478730000000005</v>
      </c>
      <c r="K59" s="272">
        <f t="shared" si="1"/>
        <v>6.3478730000000004E-4</v>
      </c>
      <c r="M59" s="43"/>
      <c r="N59" s="43"/>
      <c r="P59" s="114">
        <v>5.3005619999999995E-4</v>
      </c>
      <c r="Q59" s="269">
        <v>0.6982661</v>
      </c>
      <c r="R59" s="272">
        <f t="shared" si="2"/>
        <v>6.9826610000000005E-4</v>
      </c>
      <c r="T59" s="43"/>
      <c r="U59" s="43"/>
    </row>
    <row r="60" spans="2:21" ht="15" customHeight="1" x14ac:dyDescent="0.25">
      <c r="B60" s="114">
        <v>3.6416459999999998E-2</v>
      </c>
      <c r="C60" s="269">
        <v>0.8969954</v>
      </c>
      <c r="D60" s="272">
        <f t="shared" si="0"/>
        <v>8.9699539999999996E-4</v>
      </c>
      <c r="F60" s="45"/>
      <c r="G60" s="45"/>
      <c r="H60" s="103"/>
      <c r="I60" s="114">
        <v>4.9362220000000005E-4</v>
      </c>
      <c r="J60" s="269">
        <v>0.64546340000000002</v>
      </c>
      <c r="K60" s="272">
        <f t="shared" si="1"/>
        <v>6.4546340000000001E-4</v>
      </c>
      <c r="M60" s="45"/>
      <c r="N60" s="45"/>
      <c r="P60" s="114">
        <v>5.4298439999999996E-4</v>
      </c>
      <c r="Q60" s="269">
        <v>0.71000980000000002</v>
      </c>
      <c r="R60" s="272">
        <f t="shared" si="2"/>
        <v>7.100098E-4</v>
      </c>
      <c r="T60" s="45"/>
      <c r="U60" s="45"/>
    </row>
    <row r="61" spans="2:21" ht="15" customHeight="1" x14ac:dyDescent="0.25">
      <c r="B61" s="114">
        <v>3.7283520000000001E-2</v>
      </c>
      <c r="C61" s="269">
        <v>0.91835250000000002</v>
      </c>
      <c r="D61" s="272">
        <f t="shared" si="0"/>
        <v>9.1835250000000005E-4</v>
      </c>
      <c r="F61" s="102"/>
      <c r="G61" s="46"/>
      <c r="H61" s="103"/>
      <c r="I61" s="114">
        <v>5.053751E-4</v>
      </c>
      <c r="J61" s="269">
        <v>0.65613949999999999</v>
      </c>
      <c r="K61" s="272">
        <f t="shared" si="1"/>
        <v>6.5613949999999998E-4</v>
      </c>
      <c r="M61" s="102"/>
      <c r="N61" s="46"/>
      <c r="P61" s="114">
        <v>5.5591259999999997E-4</v>
      </c>
      <c r="Q61" s="269">
        <v>0.72175339999999999</v>
      </c>
      <c r="R61" s="272">
        <f t="shared" si="2"/>
        <v>7.2175340000000003E-4</v>
      </c>
      <c r="T61" s="102"/>
      <c r="U61" s="46"/>
    </row>
    <row r="62" spans="2:21" ht="15" customHeight="1" x14ac:dyDescent="0.25">
      <c r="B62" s="114">
        <v>3.8150570000000002E-2</v>
      </c>
      <c r="C62" s="269">
        <v>0.93970949999999998</v>
      </c>
      <c r="D62" s="272">
        <f t="shared" si="0"/>
        <v>9.3970950000000001E-4</v>
      </c>
      <c r="F62" s="102"/>
      <c r="G62" s="46"/>
      <c r="H62" s="103"/>
      <c r="I62" s="114">
        <v>5.1712800000000005E-4</v>
      </c>
      <c r="J62" s="269">
        <v>0.66681559999999995</v>
      </c>
      <c r="K62" s="272">
        <f t="shared" si="1"/>
        <v>6.6681559999999995E-4</v>
      </c>
      <c r="M62" s="102"/>
      <c r="N62" s="46"/>
      <c r="P62" s="114">
        <v>5.6884079999999998E-4</v>
      </c>
      <c r="Q62" s="269">
        <v>0.73349710000000001</v>
      </c>
      <c r="R62" s="272">
        <f t="shared" si="2"/>
        <v>7.3349709999999998E-4</v>
      </c>
      <c r="T62" s="102"/>
      <c r="U62" s="46"/>
    </row>
    <row r="63" spans="2:21" ht="15" customHeight="1" x14ac:dyDescent="0.25">
      <c r="B63" s="114">
        <v>3.9017629999999998E-2</v>
      </c>
      <c r="C63" s="269">
        <v>0.96106650000000005</v>
      </c>
      <c r="D63" s="272">
        <f t="shared" si="0"/>
        <v>9.6106650000000007E-4</v>
      </c>
      <c r="F63" s="102"/>
      <c r="G63" s="46"/>
      <c r="H63" s="103"/>
      <c r="I63" s="114">
        <v>5.2888100000000003E-4</v>
      </c>
      <c r="J63" s="269">
        <v>0.67749159999999997</v>
      </c>
      <c r="K63" s="272">
        <f t="shared" si="1"/>
        <v>6.774916E-4</v>
      </c>
      <c r="M63" s="102"/>
      <c r="N63" s="46"/>
      <c r="P63" s="114">
        <v>5.8176899999999999E-4</v>
      </c>
      <c r="Q63" s="269">
        <v>0.74524080000000004</v>
      </c>
      <c r="R63" s="272">
        <f t="shared" si="2"/>
        <v>7.4524080000000004E-4</v>
      </c>
      <c r="T63" s="102"/>
      <c r="U63" s="46"/>
    </row>
    <row r="64" spans="2:21" ht="15" customHeight="1" x14ac:dyDescent="0.25">
      <c r="B64" s="114">
        <v>3.988469E-2</v>
      </c>
      <c r="C64" s="269">
        <v>0.98242359999999995</v>
      </c>
      <c r="D64" s="272">
        <f t="shared" si="0"/>
        <v>9.8242360000000005E-4</v>
      </c>
      <c r="F64" s="102"/>
      <c r="G64" s="46"/>
      <c r="H64" s="103"/>
      <c r="I64" s="114">
        <v>5.4063389999999998E-4</v>
      </c>
      <c r="J64" s="269">
        <v>0.68816770000000005</v>
      </c>
      <c r="K64" s="272">
        <f t="shared" si="1"/>
        <v>6.8816770000000008E-4</v>
      </c>
      <c r="M64" s="102"/>
      <c r="N64" s="46"/>
      <c r="P64" s="114">
        <v>5.946972E-4</v>
      </c>
      <c r="Q64" s="269">
        <v>0.75698449999999995</v>
      </c>
      <c r="R64" s="272">
        <f t="shared" si="2"/>
        <v>7.569845E-4</v>
      </c>
      <c r="T64" s="102"/>
      <c r="U64" s="46"/>
    </row>
    <row r="65" spans="2:21" ht="15" customHeight="1" x14ac:dyDescent="0.25">
      <c r="B65" s="114">
        <v>4.0751750000000003E-2</v>
      </c>
      <c r="C65" s="269">
        <v>1.003781</v>
      </c>
      <c r="D65" s="272">
        <f t="shared" si="0"/>
        <v>1.003781E-3</v>
      </c>
      <c r="F65" s="102"/>
      <c r="G65" s="46"/>
      <c r="H65" s="103"/>
      <c r="I65" s="114">
        <v>5.5238680000000004E-4</v>
      </c>
      <c r="J65" s="269">
        <v>0.69884380000000001</v>
      </c>
      <c r="K65" s="272">
        <f t="shared" si="1"/>
        <v>6.9884380000000005E-4</v>
      </c>
      <c r="M65" s="102"/>
      <c r="N65" s="46"/>
      <c r="P65" s="114">
        <v>6.0762540000000001E-4</v>
      </c>
      <c r="Q65" s="269">
        <v>0.76872819999999997</v>
      </c>
      <c r="R65" s="272">
        <f t="shared" si="2"/>
        <v>7.6872819999999995E-4</v>
      </c>
      <c r="T65" s="102"/>
      <c r="U65" s="46"/>
    </row>
    <row r="66" spans="2:21" ht="15" customHeight="1" x14ac:dyDescent="0.25">
      <c r="B66" s="114">
        <v>4.1618809999999999E-2</v>
      </c>
      <c r="C66" s="269">
        <v>1.0251380000000001</v>
      </c>
      <c r="D66" s="272">
        <f t="shared" si="0"/>
        <v>1.0251380000000001E-3</v>
      </c>
      <c r="F66" s="102"/>
      <c r="G66" s="46"/>
      <c r="H66" s="103"/>
      <c r="I66" s="114">
        <v>5.6413969999999998E-4</v>
      </c>
      <c r="J66" s="269">
        <v>0.70951989999999998</v>
      </c>
      <c r="K66" s="272">
        <f t="shared" si="1"/>
        <v>7.0951990000000002E-4</v>
      </c>
      <c r="M66" s="102"/>
      <c r="N66" s="46"/>
      <c r="P66" s="114">
        <v>6.2055369999999995E-4</v>
      </c>
      <c r="Q66" s="269">
        <v>0.7804719</v>
      </c>
      <c r="R66" s="272">
        <f t="shared" si="2"/>
        <v>7.8047190000000001E-4</v>
      </c>
      <c r="T66" s="102"/>
      <c r="U66" s="46"/>
    </row>
    <row r="67" spans="2:21" ht="15" customHeight="1" x14ac:dyDescent="0.25">
      <c r="B67" s="114">
        <v>4.2485870000000002E-2</v>
      </c>
      <c r="C67" s="269">
        <v>1.046495</v>
      </c>
      <c r="D67" s="272">
        <f t="shared" si="0"/>
        <v>1.0464949999999999E-3</v>
      </c>
      <c r="F67" s="102"/>
      <c r="G67" s="46"/>
      <c r="H67" s="103"/>
      <c r="I67" s="114">
        <v>5.7589260000000004E-4</v>
      </c>
      <c r="J67" s="269">
        <v>0.7201959</v>
      </c>
      <c r="K67" s="272">
        <f t="shared" si="1"/>
        <v>7.2019589999999995E-4</v>
      </c>
      <c r="M67" s="102"/>
      <c r="N67" s="46"/>
      <c r="P67" s="114">
        <v>6.3348189999999996E-4</v>
      </c>
      <c r="Q67" s="269">
        <v>0.79221549999999996</v>
      </c>
      <c r="R67" s="272">
        <f t="shared" si="2"/>
        <v>7.9221549999999993E-4</v>
      </c>
      <c r="T67" s="102"/>
      <c r="U67" s="46"/>
    </row>
    <row r="68" spans="2:21" ht="15" customHeight="1" x14ac:dyDescent="0.25">
      <c r="B68" s="114">
        <v>4.3352920000000003E-2</v>
      </c>
      <c r="C68" s="269">
        <v>1.067852</v>
      </c>
      <c r="D68" s="272">
        <f t="shared" si="0"/>
        <v>1.067852E-3</v>
      </c>
      <c r="F68" s="102"/>
      <c r="G68" s="46"/>
      <c r="H68" s="103"/>
      <c r="I68" s="114">
        <v>5.8764549999999998E-4</v>
      </c>
      <c r="J68" s="269">
        <v>0.73087199999999997</v>
      </c>
      <c r="K68" s="272">
        <f t="shared" si="1"/>
        <v>7.3087199999999992E-4</v>
      </c>
      <c r="M68" s="102"/>
      <c r="N68" s="46"/>
      <c r="P68" s="114">
        <v>6.4641009999999997E-4</v>
      </c>
      <c r="Q68" s="269">
        <v>0.80395919999999998</v>
      </c>
      <c r="R68" s="272">
        <f t="shared" si="2"/>
        <v>8.0395919999999999E-4</v>
      </c>
      <c r="T68" s="102"/>
      <c r="U68" s="46"/>
    </row>
    <row r="69" spans="2:21" ht="15" customHeight="1" x14ac:dyDescent="0.25">
      <c r="B69" s="114">
        <v>4.4219979999999999E-2</v>
      </c>
      <c r="C69" s="269">
        <v>1.0892090000000001</v>
      </c>
      <c r="D69" s="272">
        <f t="shared" si="0"/>
        <v>1.0892090000000001E-3</v>
      </c>
      <c r="F69" s="102"/>
      <c r="G69" s="46"/>
      <c r="H69" s="103"/>
      <c r="I69" s="114">
        <v>5.9939840000000004E-4</v>
      </c>
      <c r="J69" s="269">
        <v>0.74154810000000004</v>
      </c>
      <c r="K69" s="272">
        <f t="shared" si="1"/>
        <v>7.415481E-4</v>
      </c>
      <c r="M69" s="102"/>
      <c r="N69" s="46"/>
      <c r="P69" s="114">
        <v>6.5933829999999998E-4</v>
      </c>
      <c r="Q69" s="269">
        <v>0.81570290000000001</v>
      </c>
      <c r="R69" s="272">
        <f t="shared" si="2"/>
        <v>8.1570290000000005E-4</v>
      </c>
      <c r="T69" s="102"/>
      <c r="U69" s="46"/>
    </row>
    <row r="70" spans="2:21" ht="15" customHeight="1" x14ac:dyDescent="0.25">
      <c r="B70" s="114">
        <v>4.5087040000000002E-2</v>
      </c>
      <c r="C70" s="269">
        <v>1.1105659999999999</v>
      </c>
      <c r="D70" s="272">
        <f t="shared" si="0"/>
        <v>1.1105659999999999E-3</v>
      </c>
      <c r="F70" s="102"/>
      <c r="G70" s="46"/>
      <c r="H70" s="103"/>
      <c r="I70" s="114">
        <v>6.1115129999999998E-4</v>
      </c>
      <c r="J70" s="269">
        <v>0.75222420000000001</v>
      </c>
      <c r="K70" s="272">
        <f t="shared" si="1"/>
        <v>7.5222419999999997E-4</v>
      </c>
      <c r="M70" s="102"/>
      <c r="N70" s="46"/>
      <c r="P70" s="114">
        <v>6.7226649999999998E-4</v>
      </c>
      <c r="Q70" s="269">
        <v>0.82744660000000003</v>
      </c>
      <c r="R70" s="272">
        <f t="shared" si="2"/>
        <v>8.2744660000000001E-4</v>
      </c>
      <c r="T70" s="612"/>
      <c r="U70" s="612"/>
    </row>
    <row r="71" spans="2:21" ht="15" customHeight="1" x14ac:dyDescent="0.25">
      <c r="B71" s="114">
        <v>4.5954099999999998E-2</v>
      </c>
      <c r="C71" s="269">
        <v>1.131923</v>
      </c>
      <c r="D71" s="272">
        <f t="shared" si="0"/>
        <v>1.131923E-3</v>
      </c>
      <c r="F71" s="102"/>
      <c r="G71" s="46"/>
      <c r="H71" s="103"/>
      <c r="I71" s="114">
        <v>6.2290420000000004E-4</v>
      </c>
      <c r="J71" s="269">
        <v>0.76290020000000003</v>
      </c>
      <c r="K71" s="272">
        <f t="shared" si="1"/>
        <v>7.6290020000000002E-4</v>
      </c>
      <c r="M71" s="102"/>
      <c r="N71" s="46"/>
      <c r="P71" s="114">
        <v>6.8519469999999999E-4</v>
      </c>
      <c r="Q71" s="269">
        <v>0.83919029999999994</v>
      </c>
      <c r="R71" s="272">
        <f t="shared" si="2"/>
        <v>8.3919029999999996E-4</v>
      </c>
      <c r="T71" s="45"/>
      <c r="U71" s="45"/>
    </row>
    <row r="72" spans="2:21" ht="15" customHeight="1" x14ac:dyDescent="0.25">
      <c r="B72" s="114">
        <v>4.6821160000000001E-2</v>
      </c>
      <c r="C72" s="269">
        <v>1.1532800000000001</v>
      </c>
      <c r="D72" s="272">
        <f t="shared" si="0"/>
        <v>1.15328E-3</v>
      </c>
      <c r="F72" s="102"/>
      <c r="G72" s="46"/>
      <c r="H72" s="103"/>
      <c r="I72" s="114">
        <v>6.3465709999999999E-4</v>
      </c>
      <c r="J72" s="269">
        <v>0.77357629999999999</v>
      </c>
      <c r="K72" s="272">
        <f t="shared" si="1"/>
        <v>7.7357629999999999E-4</v>
      </c>
      <c r="M72" s="102"/>
      <c r="N72" s="46"/>
      <c r="P72" s="114">
        <v>6.981229E-4</v>
      </c>
      <c r="Q72" s="269">
        <v>0.85093390000000002</v>
      </c>
      <c r="R72" s="272">
        <f t="shared" si="2"/>
        <v>8.5093389999999999E-4</v>
      </c>
      <c r="T72" s="102"/>
      <c r="U72" s="46"/>
    </row>
    <row r="73" spans="2:21" ht="15" customHeight="1" x14ac:dyDescent="0.25">
      <c r="B73" s="114">
        <v>4.7688220000000003E-2</v>
      </c>
      <c r="C73" s="269">
        <v>1.1746369999999999</v>
      </c>
      <c r="D73" s="272">
        <f t="shared" si="0"/>
        <v>1.1746369999999999E-3</v>
      </c>
      <c r="F73" s="102"/>
      <c r="G73" s="46"/>
      <c r="H73" s="103"/>
      <c r="I73" s="114">
        <v>6.4641009999999997E-4</v>
      </c>
      <c r="J73" s="269">
        <v>0.78425239999999996</v>
      </c>
      <c r="K73" s="272">
        <f t="shared" si="1"/>
        <v>7.8425239999999996E-4</v>
      </c>
      <c r="M73" s="102"/>
      <c r="N73" s="46"/>
      <c r="P73" s="114">
        <v>7.1105110000000001E-4</v>
      </c>
      <c r="Q73" s="269">
        <v>0.86267760000000004</v>
      </c>
      <c r="R73" s="272">
        <f t="shared" si="2"/>
        <v>8.6267760000000005E-4</v>
      </c>
      <c r="T73" s="102"/>
      <c r="U73" s="46"/>
    </row>
    <row r="74" spans="2:21" ht="15" customHeight="1" x14ac:dyDescent="0.25">
      <c r="B74" s="114">
        <v>4.8555279999999999E-2</v>
      </c>
      <c r="C74" s="269">
        <v>1.195994</v>
      </c>
      <c r="D74" s="272">
        <f t="shared" si="0"/>
        <v>1.1959939999999999E-3</v>
      </c>
      <c r="F74" s="102"/>
      <c r="G74" s="46"/>
      <c r="H74" s="103"/>
      <c r="I74" s="114">
        <v>6.5816300000000002E-4</v>
      </c>
      <c r="J74" s="269">
        <v>0.79492850000000004</v>
      </c>
      <c r="K74" s="272">
        <f t="shared" si="1"/>
        <v>7.9492850000000004E-4</v>
      </c>
      <c r="M74" s="102"/>
      <c r="N74" s="46"/>
      <c r="P74" s="114">
        <v>7.2397930000000002E-4</v>
      </c>
      <c r="Q74" s="269">
        <v>0.87442129999999996</v>
      </c>
      <c r="R74" s="272">
        <f t="shared" si="2"/>
        <v>8.744213E-4</v>
      </c>
      <c r="T74" s="102"/>
      <c r="U74" s="46"/>
    </row>
    <row r="75" spans="2:21" ht="15" customHeight="1" x14ac:dyDescent="0.25">
      <c r="B75" s="114">
        <v>4.942233E-2</v>
      </c>
      <c r="C75" s="269">
        <v>1.2173510000000001</v>
      </c>
      <c r="D75" s="272">
        <f t="shared" si="0"/>
        <v>1.217351E-3</v>
      </c>
      <c r="F75" s="102"/>
      <c r="G75" s="46"/>
      <c r="H75" s="103"/>
      <c r="I75" s="114">
        <v>6.6991589999999997E-4</v>
      </c>
      <c r="J75" s="269">
        <v>0.80560449999999995</v>
      </c>
      <c r="K75" s="272">
        <f t="shared" si="1"/>
        <v>8.0560449999999997E-4</v>
      </c>
      <c r="M75" s="102"/>
      <c r="N75" s="46"/>
      <c r="P75" s="114">
        <v>7.3690750000000003E-4</v>
      </c>
      <c r="Q75" s="269">
        <v>0.88616499999999998</v>
      </c>
      <c r="R75" s="272">
        <f t="shared" si="2"/>
        <v>8.8616499999999996E-4</v>
      </c>
      <c r="T75" s="102"/>
      <c r="U75" s="46"/>
    </row>
    <row r="76" spans="2:21" ht="15" customHeight="1" x14ac:dyDescent="0.25">
      <c r="B76" s="114">
        <v>5.0289390000000003E-2</v>
      </c>
      <c r="C76" s="269">
        <v>1.2387079999999999</v>
      </c>
      <c r="D76" s="272">
        <f t="shared" si="0"/>
        <v>1.2387079999999998E-3</v>
      </c>
      <c r="F76" s="102"/>
      <c r="G76" s="46"/>
      <c r="H76" s="103"/>
      <c r="I76" s="114">
        <v>6.8166880000000002E-4</v>
      </c>
      <c r="J76" s="269">
        <v>0.81628060000000002</v>
      </c>
      <c r="K76" s="272">
        <f t="shared" si="1"/>
        <v>8.1628060000000005E-4</v>
      </c>
      <c r="M76" s="102"/>
      <c r="N76" s="46"/>
      <c r="P76" s="114">
        <v>7.4983570000000004E-4</v>
      </c>
      <c r="Q76" s="269">
        <v>0.8979087</v>
      </c>
      <c r="R76" s="272">
        <f t="shared" si="2"/>
        <v>8.9790870000000002E-4</v>
      </c>
      <c r="T76" s="102"/>
      <c r="U76" s="46"/>
    </row>
    <row r="77" spans="2:21" ht="15" customHeight="1" x14ac:dyDescent="0.25">
      <c r="B77" s="114">
        <v>5.1156449999999999E-2</v>
      </c>
      <c r="C77" s="269">
        <v>1.260065</v>
      </c>
      <c r="D77" s="272">
        <f t="shared" si="0"/>
        <v>1.2600649999999999E-3</v>
      </c>
      <c r="F77" s="102"/>
      <c r="G77" s="46"/>
      <c r="H77" s="103"/>
      <c r="I77" s="114">
        <v>6.9342169999999997E-4</v>
      </c>
      <c r="J77" s="269">
        <v>0.82695669999999999</v>
      </c>
      <c r="K77" s="272">
        <f t="shared" si="1"/>
        <v>8.2695670000000002E-4</v>
      </c>
      <c r="M77" s="102"/>
      <c r="N77" s="46"/>
      <c r="P77" s="114">
        <v>7.6276390000000005E-4</v>
      </c>
      <c r="Q77" s="269">
        <v>0.90965229999999997</v>
      </c>
      <c r="R77" s="272">
        <f t="shared" si="2"/>
        <v>9.0965229999999994E-4</v>
      </c>
      <c r="T77" s="102"/>
      <c r="U77" s="46"/>
    </row>
    <row r="78" spans="2:21" ht="15" customHeight="1" x14ac:dyDescent="0.25">
      <c r="B78" s="114">
        <v>5.2023510000000002E-2</v>
      </c>
      <c r="C78" s="269">
        <v>1.2814220000000001</v>
      </c>
      <c r="D78" s="272">
        <f t="shared" si="0"/>
        <v>1.2814220000000002E-3</v>
      </c>
      <c r="F78" s="102"/>
      <c r="G78" s="46"/>
      <c r="H78" s="103"/>
      <c r="I78" s="114">
        <v>7.0517460000000002E-4</v>
      </c>
      <c r="J78" s="269">
        <v>0.83763279999999996</v>
      </c>
      <c r="K78" s="272">
        <f t="shared" si="1"/>
        <v>8.3763279999999999E-4</v>
      </c>
      <c r="M78" s="102"/>
      <c r="N78" s="46"/>
      <c r="P78" s="114">
        <v>7.7569209999999995E-4</v>
      </c>
      <c r="Q78" s="269">
        <v>0.92139599999999999</v>
      </c>
      <c r="R78" s="272">
        <f t="shared" si="2"/>
        <v>9.21396E-4</v>
      </c>
      <c r="T78" s="102"/>
      <c r="U78" s="46"/>
    </row>
    <row r="79" spans="2:21" ht="15" customHeight="1" x14ac:dyDescent="0.25">
      <c r="B79" s="114">
        <v>5.2890569999999998E-2</v>
      </c>
      <c r="C79" s="269">
        <v>1.3027789999999999</v>
      </c>
      <c r="D79" s="272">
        <f t="shared" si="0"/>
        <v>1.302779E-3</v>
      </c>
      <c r="F79" s="102"/>
      <c r="G79" s="46"/>
      <c r="H79" s="103"/>
      <c r="I79" s="114">
        <v>7.1692749999999997E-4</v>
      </c>
      <c r="J79" s="269">
        <v>0.84830879999999997</v>
      </c>
      <c r="K79" s="272">
        <f t="shared" si="1"/>
        <v>8.4830879999999993E-4</v>
      </c>
      <c r="M79" s="102"/>
      <c r="N79" s="46"/>
      <c r="P79" s="114">
        <v>7.8862029999999996E-4</v>
      </c>
      <c r="Q79" s="269">
        <v>0.93313970000000002</v>
      </c>
      <c r="R79" s="272">
        <f t="shared" si="2"/>
        <v>9.3313970000000006E-4</v>
      </c>
      <c r="T79" s="102"/>
      <c r="U79" s="46"/>
    </row>
    <row r="80" spans="2:21" ht="15" customHeight="1" x14ac:dyDescent="0.25">
      <c r="B80" s="114">
        <v>5.3757630000000001E-2</v>
      </c>
      <c r="C80" s="269">
        <v>1.324136</v>
      </c>
      <c r="D80" s="272">
        <f t="shared" si="0"/>
        <v>1.3241360000000001E-3</v>
      </c>
      <c r="F80" s="102"/>
      <c r="G80" s="46"/>
      <c r="H80" s="103"/>
      <c r="I80" s="114">
        <v>7.2868040000000002E-4</v>
      </c>
      <c r="J80" s="269">
        <v>0.85898490000000005</v>
      </c>
      <c r="K80" s="272">
        <f t="shared" si="1"/>
        <v>8.5898490000000001E-4</v>
      </c>
      <c r="M80" s="102"/>
      <c r="N80" s="46"/>
      <c r="P80" s="114">
        <v>8.0154849999999997E-4</v>
      </c>
      <c r="Q80" s="269">
        <v>0.94488340000000004</v>
      </c>
      <c r="R80" s="272">
        <f t="shared" si="2"/>
        <v>9.4488340000000001E-4</v>
      </c>
      <c r="T80" s="102"/>
      <c r="U80" s="46"/>
    </row>
    <row r="81" spans="2:18" ht="15" customHeight="1" x14ac:dyDescent="0.25">
      <c r="B81" s="114">
        <v>5.4624689999999997E-2</v>
      </c>
      <c r="C81" s="269">
        <v>1.3454930000000001</v>
      </c>
      <c r="D81" s="272">
        <f t="shared" si="0"/>
        <v>1.3454930000000001E-3</v>
      </c>
      <c r="F81" s="102"/>
      <c r="G81" s="46"/>
      <c r="H81" s="103"/>
      <c r="I81" s="114">
        <v>7.4043329999999997E-4</v>
      </c>
      <c r="J81" s="269">
        <v>0.86966100000000002</v>
      </c>
      <c r="K81" s="272">
        <f t="shared" si="1"/>
        <v>8.6966099999999998E-4</v>
      </c>
      <c r="M81" s="102"/>
      <c r="N81" s="46"/>
      <c r="P81" s="114">
        <v>8.1447669999999998E-4</v>
      </c>
      <c r="Q81" s="269">
        <v>0.95662709999999995</v>
      </c>
      <c r="R81" s="272">
        <f t="shared" si="2"/>
        <v>9.5662709999999997E-4</v>
      </c>
    </row>
    <row r="82" spans="2:18" ht="15" customHeight="1" x14ac:dyDescent="0.25">
      <c r="B82" s="114">
        <v>5.5491739999999998E-2</v>
      </c>
      <c r="C82" s="269">
        <v>1.3668499999999999</v>
      </c>
      <c r="D82" s="272">
        <f t="shared" ref="D82:D145" si="3">C82/1000</f>
        <v>1.36685E-3</v>
      </c>
      <c r="F82" s="102"/>
      <c r="G82" s="46"/>
      <c r="H82" s="103"/>
      <c r="I82" s="114">
        <v>7.5218620000000003E-4</v>
      </c>
      <c r="J82" s="269">
        <v>0.88033709999999998</v>
      </c>
      <c r="K82" s="272">
        <f t="shared" ref="K82:K145" si="4">J82/1000</f>
        <v>8.8033709999999995E-4</v>
      </c>
      <c r="M82" s="102"/>
      <c r="N82" s="46"/>
      <c r="P82" s="114">
        <v>8.2740489999999999E-4</v>
      </c>
      <c r="Q82" s="269">
        <v>0.96837079999999998</v>
      </c>
      <c r="R82" s="272">
        <f t="shared" ref="R82:R145" si="5">Q82/1000</f>
        <v>9.6837080000000003E-4</v>
      </c>
    </row>
    <row r="83" spans="2:18" ht="15" customHeight="1" x14ac:dyDescent="0.25">
      <c r="B83" s="114">
        <v>5.6358800000000001E-2</v>
      </c>
      <c r="C83" s="269">
        <v>1.388207</v>
      </c>
      <c r="D83" s="272">
        <f t="shared" si="3"/>
        <v>1.388207E-3</v>
      </c>
      <c r="F83" s="102"/>
      <c r="G83" s="46"/>
      <c r="H83" s="103"/>
      <c r="I83" s="114">
        <v>7.6393920000000001E-4</v>
      </c>
      <c r="J83" s="269">
        <v>0.8910131</v>
      </c>
      <c r="K83" s="272">
        <f t="shared" si="4"/>
        <v>8.910131E-4</v>
      </c>
      <c r="M83" s="102"/>
      <c r="N83" s="46"/>
      <c r="P83" s="114">
        <v>8.403331E-4</v>
      </c>
      <c r="Q83" s="269">
        <v>0.98011440000000005</v>
      </c>
      <c r="R83" s="272">
        <f t="shared" si="5"/>
        <v>9.8011439999999995E-4</v>
      </c>
    </row>
    <row r="84" spans="2:18" ht="15" customHeight="1" x14ac:dyDescent="0.25">
      <c r="B84" s="114">
        <v>5.7225860000000003E-2</v>
      </c>
      <c r="C84" s="269">
        <v>1.409564</v>
      </c>
      <c r="D84" s="272">
        <f t="shared" si="3"/>
        <v>1.4095640000000001E-3</v>
      </c>
      <c r="F84" s="102"/>
      <c r="G84" s="46"/>
      <c r="H84" s="103"/>
      <c r="I84" s="114">
        <v>7.7569209999999995E-4</v>
      </c>
      <c r="J84" s="269">
        <v>0.90168919999999997</v>
      </c>
      <c r="K84" s="272">
        <f t="shared" si="4"/>
        <v>9.0168919999999997E-4</v>
      </c>
      <c r="M84" s="102"/>
      <c r="N84" s="46"/>
      <c r="P84" s="114">
        <v>8.5326130000000001E-4</v>
      </c>
      <c r="Q84" s="269">
        <v>0.99185809999999996</v>
      </c>
      <c r="R84" s="272">
        <f t="shared" si="5"/>
        <v>9.9185810000000001E-4</v>
      </c>
    </row>
    <row r="85" spans="2:18" ht="15" customHeight="1" x14ac:dyDescent="0.25">
      <c r="B85" s="114">
        <v>5.8092919999999999E-2</v>
      </c>
      <c r="C85" s="269">
        <v>1.4309210000000001</v>
      </c>
      <c r="D85" s="272">
        <f t="shared" si="3"/>
        <v>1.4309210000000001E-3</v>
      </c>
      <c r="F85" s="102"/>
      <c r="G85" s="46"/>
      <c r="H85" s="103"/>
      <c r="I85" s="114">
        <v>7.8744500000000001E-4</v>
      </c>
      <c r="J85" s="269">
        <v>0.91236530000000005</v>
      </c>
      <c r="K85" s="272">
        <f t="shared" si="4"/>
        <v>9.1236530000000004E-4</v>
      </c>
      <c r="M85" s="102"/>
      <c r="N85" s="46"/>
      <c r="P85" s="114">
        <v>8.6618950000000002E-4</v>
      </c>
      <c r="Q85" s="269">
        <v>1.0036020000000001</v>
      </c>
      <c r="R85" s="272">
        <f t="shared" si="5"/>
        <v>1.0036020000000001E-3</v>
      </c>
    </row>
    <row r="86" spans="2:18" ht="15" customHeight="1" x14ac:dyDescent="0.25">
      <c r="B86" s="114">
        <v>5.8959980000000002E-2</v>
      </c>
      <c r="C86" s="269">
        <v>1.452278</v>
      </c>
      <c r="D86" s="272">
        <f t="shared" si="3"/>
        <v>1.452278E-3</v>
      </c>
      <c r="F86" s="102"/>
      <c r="G86" s="46"/>
      <c r="H86" s="103"/>
      <c r="I86" s="114">
        <v>7.9919789999999995E-4</v>
      </c>
      <c r="J86" s="269">
        <v>0.92304129999999995</v>
      </c>
      <c r="K86" s="272">
        <f t="shared" si="4"/>
        <v>9.2304129999999998E-4</v>
      </c>
      <c r="M86" s="102"/>
      <c r="N86" s="46"/>
      <c r="P86" s="114">
        <v>8.7911770000000003E-4</v>
      </c>
      <c r="Q86" s="269">
        <v>1.0153449999999999</v>
      </c>
      <c r="R86" s="272">
        <f t="shared" si="5"/>
        <v>1.015345E-3</v>
      </c>
    </row>
    <row r="87" spans="2:18" ht="15" customHeight="1" x14ac:dyDescent="0.25">
      <c r="B87" s="114">
        <v>5.9827039999999998E-2</v>
      </c>
      <c r="C87" s="269">
        <v>1.473635</v>
      </c>
      <c r="D87" s="272">
        <f t="shared" si="3"/>
        <v>1.473635E-3</v>
      </c>
      <c r="F87" s="102"/>
      <c r="G87" s="46"/>
      <c r="H87" s="103"/>
      <c r="I87" s="114">
        <v>8.1095080000000001E-4</v>
      </c>
      <c r="J87" s="269">
        <v>0.93371740000000003</v>
      </c>
      <c r="K87" s="272">
        <f t="shared" si="4"/>
        <v>9.3371740000000006E-4</v>
      </c>
      <c r="M87" s="102"/>
      <c r="N87" s="46"/>
      <c r="P87" s="114">
        <v>8.9204590000000004E-4</v>
      </c>
      <c r="Q87" s="269">
        <v>1.0270889999999999</v>
      </c>
      <c r="R87" s="272">
        <f t="shared" si="5"/>
        <v>1.0270889999999999E-3</v>
      </c>
    </row>
    <row r="88" spans="2:18" ht="15" customHeight="1" x14ac:dyDescent="0.25">
      <c r="B88" s="114">
        <v>6.0694089999999999E-2</v>
      </c>
      <c r="C88" s="269">
        <v>1.4949920000000001</v>
      </c>
      <c r="D88" s="272">
        <f t="shared" si="3"/>
        <v>1.4949920000000001E-3</v>
      </c>
      <c r="F88" s="102"/>
      <c r="G88" s="46"/>
      <c r="H88" s="103"/>
      <c r="I88" s="114">
        <v>8.2270369999999995E-4</v>
      </c>
      <c r="J88" s="269">
        <v>0.9443935</v>
      </c>
      <c r="K88" s="272">
        <f t="shared" si="4"/>
        <v>9.4439350000000003E-4</v>
      </c>
      <c r="M88" s="102"/>
      <c r="N88" s="46"/>
      <c r="P88" s="114">
        <v>9.0497410000000005E-4</v>
      </c>
      <c r="Q88" s="269">
        <v>1.0388329999999999</v>
      </c>
      <c r="R88" s="272">
        <f t="shared" si="5"/>
        <v>1.0388329999999999E-3</v>
      </c>
    </row>
    <row r="89" spans="2:18" ht="15" customHeight="1" x14ac:dyDescent="0.25">
      <c r="B89" s="114">
        <v>6.1561150000000002E-2</v>
      </c>
      <c r="C89" s="269">
        <v>1.5163489999999999</v>
      </c>
      <c r="D89" s="272">
        <f t="shared" si="3"/>
        <v>1.516349E-3</v>
      </c>
      <c r="F89" s="102"/>
      <c r="G89" s="46"/>
      <c r="H89" s="103"/>
      <c r="I89" s="114">
        <v>8.3445660000000001E-4</v>
      </c>
      <c r="J89" s="269">
        <v>0.95506959999999996</v>
      </c>
      <c r="K89" s="272">
        <f t="shared" si="4"/>
        <v>9.550696E-4</v>
      </c>
      <c r="M89" s="102"/>
      <c r="N89" s="46"/>
      <c r="P89" s="114">
        <v>9.1790229999999995E-4</v>
      </c>
      <c r="Q89" s="269">
        <v>1.0505770000000001</v>
      </c>
      <c r="R89" s="272">
        <f t="shared" si="5"/>
        <v>1.050577E-3</v>
      </c>
    </row>
    <row r="90" spans="2:18" ht="15" customHeight="1" x14ac:dyDescent="0.25">
      <c r="B90" s="114">
        <v>6.2428209999999998E-2</v>
      </c>
      <c r="C90" s="269">
        <v>1.537706</v>
      </c>
      <c r="D90" s="272">
        <f t="shared" si="3"/>
        <v>1.537706E-3</v>
      </c>
      <c r="F90" s="102"/>
      <c r="G90" s="46"/>
      <c r="H90" s="103"/>
      <c r="I90" s="114">
        <v>8.4620949999999996E-4</v>
      </c>
      <c r="J90" s="269">
        <v>0.96574559999999998</v>
      </c>
      <c r="K90" s="272">
        <f t="shared" si="4"/>
        <v>9.6574559999999994E-4</v>
      </c>
      <c r="M90" s="102"/>
      <c r="N90" s="46"/>
      <c r="P90" s="114">
        <v>9.3083049999999996E-4</v>
      </c>
      <c r="Q90" s="269">
        <v>1.0623199999999999</v>
      </c>
      <c r="R90" s="272">
        <f t="shared" si="5"/>
        <v>1.0623199999999998E-3</v>
      </c>
    </row>
    <row r="91" spans="2:18" ht="15" customHeight="1" x14ac:dyDescent="0.25">
      <c r="B91" s="114">
        <v>6.3295270000000001E-2</v>
      </c>
      <c r="C91" s="269">
        <v>1.559064</v>
      </c>
      <c r="D91" s="272">
        <f t="shared" si="3"/>
        <v>1.559064E-3</v>
      </c>
      <c r="F91" s="102"/>
      <c r="G91" s="46"/>
      <c r="H91" s="103"/>
      <c r="I91" s="114">
        <v>8.5796240000000001E-4</v>
      </c>
      <c r="J91" s="269">
        <v>0.97642169999999995</v>
      </c>
      <c r="K91" s="272">
        <f t="shared" si="4"/>
        <v>9.7642169999999991E-4</v>
      </c>
      <c r="M91" s="102"/>
      <c r="N91" s="46"/>
      <c r="P91" s="114">
        <v>9.4375869999999997E-4</v>
      </c>
      <c r="Q91" s="269">
        <v>1.0740639999999999</v>
      </c>
      <c r="R91" s="272">
        <f t="shared" si="5"/>
        <v>1.074064E-3</v>
      </c>
    </row>
    <row r="92" spans="2:18" ht="15" customHeight="1" x14ac:dyDescent="0.25">
      <c r="B92" s="114">
        <v>6.4162330000000004E-2</v>
      </c>
      <c r="C92" s="269">
        <v>1.5804210000000001</v>
      </c>
      <c r="D92" s="272">
        <f t="shared" si="3"/>
        <v>1.580421E-3</v>
      </c>
      <c r="F92" s="102"/>
      <c r="G92" s="46"/>
      <c r="H92" s="103"/>
      <c r="I92" s="114">
        <v>8.6971529999999996E-4</v>
      </c>
      <c r="J92" s="269">
        <v>0.98709780000000003</v>
      </c>
      <c r="K92" s="272">
        <f t="shared" si="4"/>
        <v>9.8709779999999999E-4</v>
      </c>
      <c r="M92" s="102"/>
      <c r="N92" s="46"/>
      <c r="P92" s="114">
        <v>9.5668689999999998E-4</v>
      </c>
      <c r="Q92" s="269">
        <v>1.0858080000000001</v>
      </c>
      <c r="R92" s="272">
        <f t="shared" si="5"/>
        <v>1.0858080000000002E-3</v>
      </c>
    </row>
    <row r="93" spans="2:18" ht="15" customHeight="1" x14ac:dyDescent="0.25">
      <c r="B93" s="114">
        <v>6.5029390000000006E-2</v>
      </c>
      <c r="C93" s="269">
        <v>1.6017779999999999</v>
      </c>
      <c r="D93" s="272">
        <f t="shared" si="3"/>
        <v>1.6017779999999999E-3</v>
      </c>
      <c r="F93" s="102"/>
      <c r="G93" s="46"/>
      <c r="H93" s="103"/>
      <c r="I93" s="114">
        <v>8.8146830000000005E-4</v>
      </c>
      <c r="J93" s="269">
        <v>0.99777389999999999</v>
      </c>
      <c r="K93" s="272">
        <f t="shared" si="4"/>
        <v>9.9777390000000007E-4</v>
      </c>
      <c r="M93" s="102"/>
      <c r="N93" s="46"/>
      <c r="P93" s="114">
        <v>9.6961509999999999E-4</v>
      </c>
      <c r="Q93" s="269">
        <v>1.0975509999999999</v>
      </c>
      <c r="R93" s="272">
        <f t="shared" si="5"/>
        <v>1.097551E-3</v>
      </c>
    </row>
    <row r="94" spans="2:18" ht="15" customHeight="1" x14ac:dyDescent="0.25">
      <c r="B94" s="114">
        <v>6.5896449999999995E-2</v>
      </c>
      <c r="C94" s="269">
        <v>1.623135</v>
      </c>
      <c r="D94" s="272">
        <f t="shared" si="3"/>
        <v>1.6231349999999999E-3</v>
      </c>
      <c r="F94" s="102"/>
      <c r="G94" s="46"/>
      <c r="H94" s="103"/>
      <c r="I94" s="114">
        <v>8.9322119999999999E-4</v>
      </c>
      <c r="J94" s="269">
        <v>1.0084500000000001</v>
      </c>
      <c r="K94" s="272">
        <f t="shared" si="4"/>
        <v>1.0084500000000001E-3</v>
      </c>
      <c r="M94" s="102"/>
      <c r="N94" s="46"/>
      <c r="P94" s="114">
        <v>9.825433000000001E-4</v>
      </c>
      <c r="Q94" s="269">
        <v>1.1092949999999999</v>
      </c>
      <c r="R94" s="272">
        <f t="shared" si="5"/>
        <v>1.1092949999999999E-3</v>
      </c>
    </row>
    <row r="95" spans="2:18" ht="15" customHeight="1" x14ac:dyDescent="0.25">
      <c r="B95" s="114">
        <v>6.6763500000000003E-2</v>
      </c>
      <c r="C95" s="269">
        <v>1.6444920000000001</v>
      </c>
      <c r="D95" s="272">
        <f t="shared" si="3"/>
        <v>1.644492E-3</v>
      </c>
      <c r="F95" s="102"/>
      <c r="G95" s="46"/>
      <c r="H95" s="103"/>
      <c r="I95" s="114">
        <v>9.0497410000000005E-4</v>
      </c>
      <c r="J95" s="269">
        <v>1.019126</v>
      </c>
      <c r="K95" s="272">
        <f t="shared" si="4"/>
        <v>1.019126E-3</v>
      </c>
      <c r="M95" s="102"/>
      <c r="N95" s="46"/>
      <c r="P95" s="114">
        <v>9.954714999999999E-4</v>
      </c>
      <c r="Q95" s="269">
        <v>1.1210389999999999</v>
      </c>
      <c r="R95" s="272">
        <f t="shared" si="5"/>
        <v>1.1210389999999999E-3</v>
      </c>
    </row>
    <row r="96" spans="2:18" ht="15" customHeight="1" x14ac:dyDescent="0.25">
      <c r="B96" s="114">
        <v>6.7630560000000006E-2</v>
      </c>
      <c r="C96" s="269">
        <v>1.6658489999999999</v>
      </c>
      <c r="D96" s="272">
        <f t="shared" si="3"/>
        <v>1.6658489999999998E-3</v>
      </c>
      <c r="F96" s="102"/>
      <c r="G96" s="46"/>
      <c r="H96" s="103"/>
      <c r="I96" s="114">
        <v>9.1672699999999999E-4</v>
      </c>
      <c r="J96" s="269">
        <v>1.0298020000000001</v>
      </c>
      <c r="K96" s="272">
        <f t="shared" si="4"/>
        <v>1.029802E-3</v>
      </c>
      <c r="M96" s="102"/>
      <c r="N96" s="46"/>
      <c r="P96" s="114">
        <v>1.0084E-3</v>
      </c>
      <c r="Q96" s="269">
        <v>1.132782</v>
      </c>
      <c r="R96" s="272">
        <f t="shared" si="5"/>
        <v>1.1327819999999999E-3</v>
      </c>
    </row>
    <row r="97" spans="2:18" ht="15" customHeight="1" x14ac:dyDescent="0.25">
      <c r="B97" s="114">
        <v>6.8497619999999995E-2</v>
      </c>
      <c r="C97" s="269">
        <v>1.687206</v>
      </c>
      <c r="D97" s="272">
        <f t="shared" si="3"/>
        <v>1.6872059999999999E-3</v>
      </c>
      <c r="F97" s="102"/>
      <c r="G97" s="46"/>
      <c r="H97" s="103"/>
      <c r="I97" s="114">
        <v>9.2847990000000005E-4</v>
      </c>
      <c r="J97" s="269">
        <v>1.040478</v>
      </c>
      <c r="K97" s="272">
        <f t="shared" si="4"/>
        <v>1.0404780000000001E-3</v>
      </c>
      <c r="M97" s="102"/>
      <c r="N97" s="46"/>
      <c r="P97" s="114">
        <v>1.0213279999999999E-3</v>
      </c>
      <c r="Q97" s="269">
        <v>1.1445259999999999</v>
      </c>
      <c r="R97" s="272">
        <f t="shared" si="5"/>
        <v>1.1445259999999999E-3</v>
      </c>
    </row>
    <row r="98" spans="2:18" ht="15" customHeight="1" x14ac:dyDescent="0.25">
      <c r="B98" s="114">
        <v>6.9364679999999998E-2</v>
      </c>
      <c r="C98" s="269">
        <v>1.7085630000000001</v>
      </c>
      <c r="D98" s="272">
        <f t="shared" si="3"/>
        <v>1.708563E-3</v>
      </c>
      <c r="F98" s="102"/>
      <c r="G98" s="46"/>
      <c r="H98" s="103"/>
      <c r="I98" s="114">
        <v>9.4023279999999999E-4</v>
      </c>
      <c r="J98" s="269">
        <v>1.0511539999999999</v>
      </c>
      <c r="K98" s="272">
        <f t="shared" si="4"/>
        <v>1.0511539999999999E-3</v>
      </c>
      <c r="M98" s="102"/>
      <c r="N98" s="46"/>
      <c r="P98" s="114">
        <v>1.0342560000000001E-3</v>
      </c>
      <c r="Q98" s="269">
        <v>1.1562699999999999</v>
      </c>
      <c r="R98" s="272">
        <f t="shared" si="5"/>
        <v>1.1562699999999998E-3</v>
      </c>
    </row>
    <row r="99" spans="2:18" ht="15" customHeight="1" x14ac:dyDescent="0.25">
      <c r="B99" s="114">
        <v>7.0231740000000001E-2</v>
      </c>
      <c r="C99" s="269">
        <v>1.7299199999999999</v>
      </c>
      <c r="D99" s="272">
        <f t="shared" si="3"/>
        <v>1.7299199999999998E-3</v>
      </c>
      <c r="F99" s="102"/>
      <c r="G99" s="46"/>
      <c r="H99" s="103"/>
      <c r="I99" s="114">
        <v>9.5198570000000005E-4</v>
      </c>
      <c r="J99" s="269">
        <v>1.0618300000000001</v>
      </c>
      <c r="K99" s="272">
        <f t="shared" si="4"/>
        <v>1.0618300000000002E-3</v>
      </c>
      <c r="M99" s="102"/>
      <c r="N99" s="46"/>
      <c r="P99" s="114">
        <v>1.047184E-3</v>
      </c>
      <c r="Q99" s="269">
        <v>1.168013</v>
      </c>
      <c r="R99" s="272">
        <f t="shared" si="5"/>
        <v>1.1680129999999999E-3</v>
      </c>
    </row>
    <row r="100" spans="2:18" ht="15" customHeight="1" x14ac:dyDescent="0.25">
      <c r="B100" s="114">
        <v>7.1098800000000004E-2</v>
      </c>
      <c r="C100" s="269">
        <v>1.751277</v>
      </c>
      <c r="D100" s="272">
        <f t="shared" si="3"/>
        <v>1.7512769999999999E-3</v>
      </c>
      <c r="F100" s="102"/>
      <c r="G100" s="46"/>
      <c r="H100" s="103"/>
      <c r="I100" s="114">
        <v>9.637386E-4</v>
      </c>
      <c r="J100" s="269">
        <v>1.072506</v>
      </c>
      <c r="K100" s="272">
        <f t="shared" si="4"/>
        <v>1.072506E-3</v>
      </c>
      <c r="M100" s="102"/>
      <c r="N100" s="46"/>
      <c r="P100" s="114">
        <v>1.060112E-3</v>
      </c>
      <c r="Q100" s="269">
        <v>1.1797569999999999</v>
      </c>
      <c r="R100" s="272">
        <f t="shared" si="5"/>
        <v>1.179757E-3</v>
      </c>
    </row>
    <row r="101" spans="2:18" ht="15" customHeight="1" x14ac:dyDescent="0.25">
      <c r="B101" s="114">
        <v>7.1965860000000006E-2</v>
      </c>
      <c r="C101" s="269">
        <v>1.772634</v>
      </c>
      <c r="D101" s="272">
        <f t="shared" si="3"/>
        <v>1.7726340000000001E-3</v>
      </c>
      <c r="F101" s="102"/>
      <c r="G101" s="46"/>
      <c r="H101" s="103"/>
      <c r="I101" s="114">
        <v>9.7549150000000005E-4</v>
      </c>
      <c r="J101" s="269">
        <v>1.0831820000000001</v>
      </c>
      <c r="K101" s="272">
        <f t="shared" si="4"/>
        <v>1.083182E-3</v>
      </c>
      <c r="M101" s="102"/>
      <c r="N101" s="46"/>
      <c r="P101" s="114">
        <v>1.0730410000000001E-3</v>
      </c>
      <c r="Q101" s="269">
        <v>1.1915009999999999</v>
      </c>
      <c r="R101" s="272">
        <f t="shared" si="5"/>
        <v>1.191501E-3</v>
      </c>
    </row>
    <row r="102" spans="2:18" ht="15" customHeight="1" x14ac:dyDescent="0.25">
      <c r="B102" s="114">
        <v>7.2832910000000001E-2</v>
      </c>
      <c r="C102" s="269">
        <v>1.7939909999999999</v>
      </c>
      <c r="D102" s="272">
        <f t="shared" si="3"/>
        <v>1.793991E-3</v>
      </c>
      <c r="F102" s="612"/>
      <c r="G102" s="612"/>
      <c r="H102" s="103"/>
      <c r="I102" s="114">
        <v>9.8724440000000011E-4</v>
      </c>
      <c r="J102" s="269">
        <v>1.0938589999999999</v>
      </c>
      <c r="K102" s="272">
        <f t="shared" si="4"/>
        <v>1.093859E-3</v>
      </c>
      <c r="M102" s="612"/>
      <c r="N102" s="612"/>
      <c r="P102" s="114">
        <v>1.085969E-3</v>
      </c>
      <c r="Q102" s="269">
        <v>1.203244</v>
      </c>
      <c r="R102" s="272">
        <f t="shared" si="5"/>
        <v>1.203244E-3</v>
      </c>
    </row>
    <row r="103" spans="2:18" ht="15" customHeight="1" x14ac:dyDescent="0.25">
      <c r="B103" s="114">
        <v>7.3699970000000004E-2</v>
      </c>
      <c r="C103" s="269">
        <v>1.815348</v>
      </c>
      <c r="D103" s="272">
        <f t="shared" si="3"/>
        <v>1.815348E-3</v>
      </c>
      <c r="F103" s="45"/>
      <c r="G103" s="45"/>
      <c r="H103" s="103"/>
      <c r="I103" s="114">
        <v>9.9899740000000009E-4</v>
      </c>
      <c r="J103" s="269">
        <v>1.104535</v>
      </c>
      <c r="K103" s="272">
        <f t="shared" si="4"/>
        <v>1.104535E-3</v>
      </c>
      <c r="M103" s="45"/>
      <c r="N103" s="45"/>
      <c r="P103" s="114">
        <v>1.0988969999999999E-3</v>
      </c>
      <c r="Q103" s="269">
        <v>1.214988</v>
      </c>
      <c r="R103" s="272">
        <f t="shared" si="5"/>
        <v>1.214988E-3</v>
      </c>
    </row>
    <row r="104" spans="2:18" ht="15" customHeight="1" x14ac:dyDescent="0.25">
      <c r="B104" s="114">
        <v>7.4567030000000006E-2</v>
      </c>
      <c r="C104" s="269">
        <v>1.836705</v>
      </c>
      <c r="D104" s="272">
        <f t="shared" si="3"/>
        <v>1.8367050000000001E-3</v>
      </c>
      <c r="F104" s="102"/>
      <c r="G104" s="46"/>
      <c r="H104" s="103"/>
      <c r="I104" s="114">
        <v>1.0107499999999999E-3</v>
      </c>
      <c r="J104" s="269">
        <v>1.115211</v>
      </c>
      <c r="K104" s="272">
        <f t="shared" si="4"/>
        <v>1.1152109999999998E-3</v>
      </c>
      <c r="M104" s="102"/>
      <c r="N104" s="46"/>
      <c r="P104" s="114">
        <v>1.1118250000000001E-3</v>
      </c>
      <c r="Q104" s="269">
        <v>1.2267319999999999</v>
      </c>
      <c r="R104" s="272">
        <f t="shared" si="5"/>
        <v>1.2267319999999999E-3</v>
      </c>
    </row>
    <row r="105" spans="2:18" ht="15" customHeight="1" x14ac:dyDescent="0.25">
      <c r="B105" s="114">
        <v>7.5434089999999995E-2</v>
      </c>
      <c r="C105" s="269">
        <v>1.8580620000000001</v>
      </c>
      <c r="D105" s="272">
        <f t="shared" si="3"/>
        <v>1.8580620000000002E-3</v>
      </c>
      <c r="F105" s="102"/>
      <c r="G105" s="46"/>
      <c r="H105" s="103"/>
      <c r="I105" s="114">
        <v>1.0225029999999999E-3</v>
      </c>
      <c r="J105" s="269">
        <v>1.1258870000000001</v>
      </c>
      <c r="K105" s="272">
        <f t="shared" si="4"/>
        <v>1.1258870000000001E-3</v>
      </c>
      <c r="M105" s="102"/>
      <c r="N105" s="46"/>
      <c r="P105" s="114">
        <v>1.124753E-3</v>
      </c>
      <c r="Q105" s="269">
        <v>1.238475</v>
      </c>
      <c r="R105" s="272">
        <f t="shared" si="5"/>
        <v>1.2384749999999999E-3</v>
      </c>
    </row>
    <row r="106" spans="2:18" ht="15" customHeight="1" x14ac:dyDescent="0.25">
      <c r="B106" s="114">
        <v>7.6301149999999998E-2</v>
      </c>
      <c r="C106" s="269">
        <v>1.879419</v>
      </c>
      <c r="D106" s="272">
        <f t="shared" si="3"/>
        <v>1.879419E-3</v>
      </c>
      <c r="F106" s="102"/>
      <c r="G106" s="46"/>
      <c r="H106" s="103"/>
      <c r="I106" s="114">
        <v>1.0342560000000001E-3</v>
      </c>
      <c r="J106" s="269">
        <v>1.1365620000000001</v>
      </c>
      <c r="K106" s="272">
        <f t="shared" si="4"/>
        <v>1.136562E-3</v>
      </c>
      <c r="M106" s="102"/>
      <c r="N106" s="46"/>
      <c r="P106" s="114">
        <v>1.1376820000000001E-3</v>
      </c>
      <c r="Q106" s="269">
        <v>1.250219</v>
      </c>
      <c r="R106" s="272">
        <f t="shared" si="5"/>
        <v>1.2502189999999999E-3</v>
      </c>
    </row>
    <row r="107" spans="2:18" ht="15" customHeight="1" x14ac:dyDescent="0.25">
      <c r="B107" s="114">
        <v>7.7168210000000001E-2</v>
      </c>
      <c r="C107" s="269">
        <v>1.900776</v>
      </c>
      <c r="D107" s="272">
        <f t="shared" si="3"/>
        <v>1.9007760000000001E-3</v>
      </c>
      <c r="F107" s="102"/>
      <c r="G107" s="46"/>
      <c r="H107" s="103"/>
      <c r="I107" s="114">
        <v>1.0460090000000001E-3</v>
      </c>
      <c r="J107" s="269">
        <v>1.1465259999999999</v>
      </c>
      <c r="K107" s="272">
        <f t="shared" si="4"/>
        <v>1.1465259999999999E-3</v>
      </c>
      <c r="M107" s="102"/>
      <c r="N107" s="46"/>
      <c r="P107" s="114">
        <v>1.15061E-3</v>
      </c>
      <c r="Q107" s="269">
        <v>1.2611790000000001</v>
      </c>
      <c r="R107" s="272">
        <f t="shared" si="5"/>
        <v>1.2611790000000001E-3</v>
      </c>
    </row>
    <row r="108" spans="2:18" ht="15" customHeight="1" x14ac:dyDescent="0.25">
      <c r="B108" s="114">
        <v>7.8035259999999995E-2</v>
      </c>
      <c r="C108" s="269">
        <v>1.9221330000000001</v>
      </c>
      <c r="D108" s="272">
        <f t="shared" si="3"/>
        <v>1.9221330000000001E-3</v>
      </c>
      <c r="F108" s="102"/>
      <c r="G108" s="46"/>
      <c r="H108" s="103"/>
      <c r="I108" s="114">
        <v>1.0577620000000001E-3</v>
      </c>
      <c r="J108" s="269">
        <v>1.155923</v>
      </c>
      <c r="K108" s="272">
        <f t="shared" si="4"/>
        <v>1.1559230000000001E-3</v>
      </c>
      <c r="M108" s="102"/>
      <c r="N108" s="46"/>
      <c r="P108" s="114">
        <v>1.163538E-3</v>
      </c>
      <c r="Q108" s="269">
        <v>1.271515</v>
      </c>
      <c r="R108" s="272">
        <f t="shared" si="5"/>
        <v>1.271515E-3</v>
      </c>
    </row>
    <row r="109" spans="2:18" ht="15" customHeight="1" x14ac:dyDescent="0.25">
      <c r="B109" s="114">
        <v>7.8902319999999998E-2</v>
      </c>
      <c r="C109" s="269">
        <v>1.9434899999999999</v>
      </c>
      <c r="D109" s="272">
        <f t="shared" si="3"/>
        <v>1.94349E-3</v>
      </c>
      <c r="F109" s="102"/>
      <c r="G109" s="46"/>
      <c r="H109" s="103"/>
      <c r="I109" s="114">
        <v>1.069515E-3</v>
      </c>
      <c r="J109" s="269">
        <v>1.164963</v>
      </c>
      <c r="K109" s="272">
        <f t="shared" si="4"/>
        <v>1.164963E-3</v>
      </c>
      <c r="M109" s="102"/>
      <c r="N109" s="46"/>
      <c r="P109" s="114">
        <v>1.1764659999999999E-3</v>
      </c>
      <c r="Q109" s="269">
        <v>1.28146</v>
      </c>
      <c r="R109" s="272">
        <f t="shared" si="5"/>
        <v>1.2814600000000001E-3</v>
      </c>
    </row>
    <row r="110" spans="2:18" ht="15" customHeight="1" x14ac:dyDescent="0.25">
      <c r="B110" s="114">
        <v>7.9769380000000001E-2</v>
      </c>
      <c r="C110" s="269">
        <v>1.964847</v>
      </c>
      <c r="D110" s="272">
        <f t="shared" si="3"/>
        <v>1.964847E-3</v>
      </c>
      <c r="F110" s="102"/>
      <c r="G110" s="46"/>
      <c r="H110" s="103"/>
      <c r="I110" s="114">
        <v>1.081268E-3</v>
      </c>
      <c r="J110" s="269">
        <v>1.173726</v>
      </c>
      <c r="K110" s="272">
        <f t="shared" si="4"/>
        <v>1.1737260000000002E-3</v>
      </c>
      <c r="M110" s="102"/>
      <c r="N110" s="46"/>
      <c r="P110" s="114">
        <v>1.1893940000000001E-3</v>
      </c>
      <c r="Q110" s="269">
        <v>1.2910980000000001</v>
      </c>
      <c r="R110" s="272">
        <f t="shared" si="5"/>
        <v>1.2910980000000001E-3</v>
      </c>
    </row>
    <row r="111" spans="2:18" ht="15" customHeight="1" x14ac:dyDescent="0.25">
      <c r="B111" s="114">
        <v>8.0636440000000004E-2</v>
      </c>
      <c r="C111" s="269">
        <v>1.9862040000000001</v>
      </c>
      <c r="D111" s="272">
        <f t="shared" si="3"/>
        <v>1.9862040000000001E-3</v>
      </c>
      <c r="F111" s="102"/>
      <c r="G111" s="46"/>
      <c r="H111" s="103"/>
      <c r="I111" s="114">
        <v>1.093021E-3</v>
      </c>
      <c r="J111" s="269">
        <v>1.182256</v>
      </c>
      <c r="K111" s="272">
        <f t="shared" si="4"/>
        <v>1.182256E-3</v>
      </c>
      <c r="M111" s="102"/>
      <c r="N111" s="46"/>
      <c r="P111" s="114">
        <v>1.2023229999999999E-3</v>
      </c>
      <c r="Q111" s="269">
        <v>1.3004819999999999</v>
      </c>
      <c r="R111" s="272">
        <f t="shared" si="5"/>
        <v>1.3004819999999999E-3</v>
      </c>
    </row>
    <row r="112" spans="2:18" ht="15" customHeight="1" x14ac:dyDescent="0.25">
      <c r="B112" s="114">
        <v>8.1503500000000006E-2</v>
      </c>
      <c r="C112" s="269">
        <v>2.0075609999999999</v>
      </c>
      <c r="D112" s="272">
        <f t="shared" si="3"/>
        <v>2.0075609999999997E-3</v>
      </c>
      <c r="F112" s="102"/>
      <c r="G112" s="46"/>
      <c r="H112" s="103"/>
      <c r="I112" s="114">
        <v>1.104774E-3</v>
      </c>
      <c r="J112" s="269">
        <v>1.1905870000000001</v>
      </c>
      <c r="K112" s="272">
        <f t="shared" si="4"/>
        <v>1.1905870000000001E-3</v>
      </c>
      <c r="M112" s="102"/>
      <c r="N112" s="46"/>
      <c r="P112" s="114">
        <v>1.2152510000000001E-3</v>
      </c>
      <c r="Q112" s="269">
        <v>1.3096460000000001</v>
      </c>
      <c r="R112" s="272">
        <f t="shared" si="5"/>
        <v>1.309646E-3</v>
      </c>
    </row>
    <row r="113" spans="2:18" ht="15" customHeight="1" x14ac:dyDescent="0.25">
      <c r="B113" s="114">
        <v>8.2370559999999995E-2</v>
      </c>
      <c r="C113" s="269">
        <v>2.028918</v>
      </c>
      <c r="D113" s="272">
        <f t="shared" si="3"/>
        <v>2.0289180000000002E-3</v>
      </c>
      <c r="F113" s="102"/>
      <c r="G113" s="46"/>
      <c r="H113" s="103"/>
      <c r="I113" s="114">
        <v>1.1165260000000001E-3</v>
      </c>
      <c r="J113" s="269">
        <v>1.198742</v>
      </c>
      <c r="K113" s="272">
        <f t="shared" si="4"/>
        <v>1.198742E-3</v>
      </c>
      <c r="M113" s="102"/>
      <c r="N113" s="46"/>
      <c r="P113" s="114">
        <v>1.228179E-3</v>
      </c>
      <c r="Q113" s="269">
        <v>1.318616</v>
      </c>
      <c r="R113" s="272">
        <f t="shared" si="5"/>
        <v>1.3186160000000001E-3</v>
      </c>
    </row>
    <row r="114" spans="2:18" ht="15" customHeight="1" x14ac:dyDescent="0.25">
      <c r="B114" s="114">
        <v>8.3237619999999998E-2</v>
      </c>
      <c r="C114" s="269">
        <v>2.0502750000000001</v>
      </c>
      <c r="D114" s="272">
        <f t="shared" si="3"/>
        <v>2.0502750000000003E-3</v>
      </c>
      <c r="F114" s="102"/>
      <c r="G114" s="46"/>
      <c r="H114" s="103"/>
      <c r="I114" s="114">
        <v>1.128279E-3</v>
      </c>
      <c r="J114" s="269">
        <v>1.206739</v>
      </c>
      <c r="K114" s="272">
        <f t="shared" si="4"/>
        <v>1.2067390000000001E-3</v>
      </c>
      <c r="M114" s="102"/>
      <c r="N114" s="46"/>
      <c r="P114" s="114">
        <v>1.241107E-3</v>
      </c>
      <c r="Q114" s="269">
        <v>1.327413</v>
      </c>
      <c r="R114" s="272">
        <f t="shared" si="5"/>
        <v>1.3274129999999999E-3</v>
      </c>
    </row>
    <row r="115" spans="2:18" ht="15" customHeight="1" x14ac:dyDescent="0.25">
      <c r="B115" s="114">
        <v>8.4104670000000006E-2</v>
      </c>
      <c r="C115" s="269">
        <v>2.0716320000000001</v>
      </c>
      <c r="D115" s="272">
        <f t="shared" si="3"/>
        <v>2.0716320000000003E-3</v>
      </c>
      <c r="F115" s="102"/>
      <c r="G115" s="46"/>
      <c r="H115" s="103"/>
      <c r="I115" s="114">
        <v>1.140032E-3</v>
      </c>
      <c r="J115" s="269">
        <v>1.2145950000000001</v>
      </c>
      <c r="K115" s="272">
        <f t="shared" si="4"/>
        <v>1.2145950000000002E-3</v>
      </c>
      <c r="M115" s="102"/>
      <c r="N115" s="46"/>
      <c r="P115" s="114">
        <v>1.254036E-3</v>
      </c>
      <c r="Q115" s="269">
        <v>1.3360540000000001</v>
      </c>
      <c r="R115" s="272">
        <f t="shared" si="5"/>
        <v>1.3360540000000001E-3</v>
      </c>
    </row>
    <row r="116" spans="2:18" ht="15" customHeight="1" x14ac:dyDescent="0.25">
      <c r="B116" s="114">
        <v>8.4971729999999995E-2</v>
      </c>
      <c r="C116" s="269">
        <v>2.0929890000000002</v>
      </c>
      <c r="D116" s="272">
        <f t="shared" si="3"/>
        <v>2.0929890000000004E-3</v>
      </c>
      <c r="F116" s="102"/>
      <c r="G116" s="46"/>
      <c r="H116" s="103"/>
      <c r="I116" s="114">
        <v>1.151785E-3</v>
      </c>
      <c r="J116" s="269">
        <v>1.2223200000000001</v>
      </c>
      <c r="K116" s="272">
        <f t="shared" si="4"/>
        <v>1.22232E-3</v>
      </c>
      <c r="M116" s="102"/>
      <c r="N116" s="46"/>
      <c r="P116" s="114">
        <v>1.266964E-3</v>
      </c>
      <c r="Q116" s="269">
        <v>1.344552</v>
      </c>
      <c r="R116" s="272">
        <f t="shared" si="5"/>
        <v>1.3445519999999999E-3</v>
      </c>
    </row>
    <row r="117" spans="2:18" ht="15" customHeight="1" x14ac:dyDescent="0.25">
      <c r="B117" s="114">
        <v>8.5838789999999998E-2</v>
      </c>
      <c r="C117" s="269">
        <v>2.1143459999999998</v>
      </c>
      <c r="D117" s="272">
        <f t="shared" si="3"/>
        <v>2.114346E-3</v>
      </c>
      <c r="F117" s="102"/>
      <c r="G117" s="46"/>
      <c r="H117" s="103"/>
      <c r="I117" s="114">
        <v>1.163538E-3</v>
      </c>
      <c r="J117" s="269">
        <v>1.229927</v>
      </c>
      <c r="K117" s="272">
        <f t="shared" si="4"/>
        <v>1.229927E-3</v>
      </c>
      <c r="M117" s="102"/>
      <c r="N117" s="46"/>
      <c r="P117" s="114">
        <v>1.2798919999999999E-3</v>
      </c>
      <c r="Q117" s="269">
        <v>1.3529199999999999</v>
      </c>
      <c r="R117" s="272">
        <f t="shared" si="5"/>
        <v>1.3529199999999999E-3</v>
      </c>
    </row>
    <row r="118" spans="2:18" ht="15" customHeight="1" x14ac:dyDescent="0.25">
      <c r="B118" s="114">
        <v>8.6705850000000001E-2</v>
      </c>
      <c r="C118" s="269">
        <v>2.1357029999999999</v>
      </c>
      <c r="D118" s="272">
        <f t="shared" si="3"/>
        <v>2.1357030000000001E-3</v>
      </c>
      <c r="F118" s="102"/>
      <c r="G118" s="46"/>
      <c r="H118" s="103"/>
      <c r="I118" s="114">
        <v>1.175291E-3</v>
      </c>
      <c r="J118" s="269">
        <v>1.237425</v>
      </c>
      <c r="K118" s="272">
        <f t="shared" si="4"/>
        <v>1.2374249999999999E-3</v>
      </c>
      <c r="M118" s="102"/>
      <c r="N118" s="46"/>
      <c r="P118" s="114">
        <v>1.2928200000000001E-3</v>
      </c>
      <c r="Q118" s="269">
        <v>1.361167</v>
      </c>
      <c r="R118" s="272">
        <f t="shared" si="5"/>
        <v>1.3611669999999999E-3</v>
      </c>
    </row>
    <row r="119" spans="2:18" ht="15" customHeight="1" x14ac:dyDescent="0.25">
      <c r="B119" s="114">
        <v>8.7572910000000004E-2</v>
      </c>
      <c r="C119" s="269">
        <v>2.15706</v>
      </c>
      <c r="D119" s="272">
        <f t="shared" si="3"/>
        <v>2.1570600000000001E-3</v>
      </c>
      <c r="F119" s="102"/>
      <c r="G119" s="46"/>
      <c r="H119" s="103"/>
      <c r="I119" s="114">
        <v>1.1870439999999999E-3</v>
      </c>
      <c r="J119" s="269">
        <v>1.24482</v>
      </c>
      <c r="K119" s="272">
        <f t="shared" si="4"/>
        <v>1.24482E-3</v>
      </c>
      <c r="M119" s="102"/>
      <c r="N119" s="46"/>
      <c r="P119" s="114">
        <v>1.305748E-3</v>
      </c>
      <c r="Q119" s="269">
        <v>1.369302</v>
      </c>
      <c r="R119" s="272">
        <f t="shared" si="5"/>
        <v>1.369302E-3</v>
      </c>
    </row>
    <row r="120" spans="2:18" ht="15" customHeight="1" x14ac:dyDescent="0.25">
      <c r="B120" s="114">
        <v>8.8439970000000007E-2</v>
      </c>
      <c r="C120" s="269">
        <v>2.1784180000000002</v>
      </c>
      <c r="D120" s="272">
        <f t="shared" si="3"/>
        <v>2.1784180000000001E-3</v>
      </c>
      <c r="F120" s="102"/>
      <c r="G120" s="46"/>
      <c r="H120" s="103"/>
      <c r="I120" s="114">
        <v>1.1987969999999999E-3</v>
      </c>
      <c r="J120" s="269">
        <v>1.252121</v>
      </c>
      <c r="K120" s="272">
        <f t="shared" si="4"/>
        <v>1.2521210000000001E-3</v>
      </c>
      <c r="M120" s="102"/>
      <c r="N120" s="46"/>
      <c r="P120" s="114">
        <v>1.3186770000000001E-3</v>
      </c>
      <c r="Q120" s="269">
        <v>1.3773340000000001</v>
      </c>
      <c r="R120" s="272">
        <f t="shared" si="5"/>
        <v>1.377334E-3</v>
      </c>
    </row>
    <row r="121" spans="2:18" ht="15" customHeight="1" x14ac:dyDescent="0.25">
      <c r="B121" s="114">
        <v>8.9307029999999996E-2</v>
      </c>
      <c r="C121" s="269">
        <v>2.1997749999999998</v>
      </c>
      <c r="D121" s="272">
        <f t="shared" si="3"/>
        <v>2.1997749999999997E-3</v>
      </c>
      <c r="F121" s="102"/>
      <c r="G121" s="46"/>
      <c r="H121" s="103"/>
      <c r="I121" s="114">
        <v>1.2105499999999999E-3</v>
      </c>
      <c r="J121" s="269">
        <v>1.2593350000000001</v>
      </c>
      <c r="K121" s="272">
        <f t="shared" si="4"/>
        <v>1.2593350000000001E-3</v>
      </c>
      <c r="M121" s="102"/>
      <c r="N121" s="46"/>
      <c r="P121" s="114">
        <v>1.331605E-3</v>
      </c>
      <c r="Q121" s="269">
        <v>1.3852679999999999</v>
      </c>
      <c r="R121" s="272">
        <f t="shared" si="5"/>
        <v>1.385268E-3</v>
      </c>
    </row>
    <row r="122" spans="2:18" ht="15" customHeight="1" x14ac:dyDescent="0.25">
      <c r="B122" s="114">
        <v>9.0174080000000004E-2</v>
      </c>
      <c r="C122" s="269">
        <v>2.2211319999999999</v>
      </c>
      <c r="D122" s="272">
        <f t="shared" si="3"/>
        <v>2.2211319999999998E-3</v>
      </c>
      <c r="F122" s="102"/>
      <c r="G122" s="46"/>
      <c r="H122" s="103"/>
      <c r="I122" s="114">
        <v>1.2223030000000001E-3</v>
      </c>
      <c r="J122" s="269">
        <v>1.266465</v>
      </c>
      <c r="K122" s="272">
        <f t="shared" si="4"/>
        <v>1.266465E-3</v>
      </c>
      <c r="M122" s="102"/>
      <c r="N122" s="46"/>
      <c r="P122" s="114">
        <v>1.344533E-3</v>
      </c>
      <c r="Q122" s="269">
        <v>1.3931119999999999</v>
      </c>
      <c r="R122" s="272">
        <f t="shared" si="5"/>
        <v>1.393112E-3</v>
      </c>
    </row>
    <row r="123" spans="2:18" ht="15" customHeight="1" x14ac:dyDescent="0.25">
      <c r="B123" s="114">
        <v>9.1041140000000007E-2</v>
      </c>
      <c r="C123" s="269">
        <v>2.242489</v>
      </c>
      <c r="D123" s="272">
        <f t="shared" si="3"/>
        <v>2.2424889999999999E-3</v>
      </c>
      <c r="F123" s="102"/>
      <c r="G123" s="46"/>
      <c r="H123" s="103"/>
      <c r="I123" s="114">
        <v>1.2340560000000001E-3</v>
      </c>
      <c r="J123" s="269">
        <v>1.2735179999999999</v>
      </c>
      <c r="K123" s="272">
        <f t="shared" si="4"/>
        <v>1.273518E-3</v>
      </c>
      <c r="M123" s="102"/>
      <c r="N123" s="46"/>
      <c r="P123" s="114">
        <v>1.3574609999999999E-3</v>
      </c>
      <c r="Q123" s="269">
        <v>1.4008700000000001</v>
      </c>
      <c r="R123" s="272">
        <f t="shared" si="5"/>
        <v>1.40087E-3</v>
      </c>
    </row>
    <row r="124" spans="2:18" ht="15" customHeight="1" x14ac:dyDescent="0.25">
      <c r="B124" s="114">
        <v>9.1908199999999995E-2</v>
      </c>
      <c r="C124" s="269">
        <v>2.263846</v>
      </c>
      <c r="D124" s="272">
        <f t="shared" si="3"/>
        <v>2.2638459999999999E-3</v>
      </c>
      <c r="F124" s="102"/>
      <c r="G124" s="46"/>
      <c r="H124" s="103"/>
      <c r="I124" s="114">
        <v>1.2458079999999999E-3</v>
      </c>
      <c r="J124" s="269">
        <v>1.2804990000000001</v>
      </c>
      <c r="K124" s="272">
        <f t="shared" si="4"/>
        <v>1.280499E-3</v>
      </c>
      <c r="M124" s="102"/>
      <c r="N124" s="46"/>
      <c r="P124" s="114">
        <v>1.3703890000000001E-3</v>
      </c>
      <c r="Q124" s="269">
        <v>1.4085490000000001</v>
      </c>
      <c r="R124" s="272">
        <f t="shared" si="5"/>
        <v>1.408549E-3</v>
      </c>
    </row>
    <row r="125" spans="2:18" ht="15" customHeight="1" x14ac:dyDescent="0.25">
      <c r="B125" s="114">
        <v>9.2775259999999998E-2</v>
      </c>
      <c r="C125" s="269">
        <v>2.2852030000000001</v>
      </c>
      <c r="D125" s="272">
        <f t="shared" si="3"/>
        <v>2.285203E-3</v>
      </c>
      <c r="F125" s="47"/>
      <c r="G125" s="47"/>
      <c r="H125" s="103"/>
      <c r="I125" s="114">
        <v>1.2575609999999999E-3</v>
      </c>
      <c r="J125" s="269">
        <v>1.2874110000000001</v>
      </c>
      <c r="K125" s="272">
        <f t="shared" si="4"/>
        <v>1.287411E-3</v>
      </c>
      <c r="M125" s="47"/>
      <c r="N125" s="47"/>
      <c r="P125" s="114">
        <v>1.3833179999999999E-3</v>
      </c>
      <c r="Q125" s="269">
        <v>1.4161520000000001</v>
      </c>
      <c r="R125" s="272">
        <f t="shared" si="5"/>
        <v>1.4161520000000002E-3</v>
      </c>
    </row>
    <row r="126" spans="2:18" ht="15" customHeight="1" x14ac:dyDescent="0.25">
      <c r="B126" s="114">
        <v>9.3642320000000001E-2</v>
      </c>
      <c r="C126" s="269">
        <v>2.3065600000000002</v>
      </c>
      <c r="D126" s="272">
        <f t="shared" si="3"/>
        <v>2.30656E-3</v>
      </c>
      <c r="F126" s="47"/>
      <c r="G126" s="47"/>
      <c r="H126" s="103"/>
      <c r="I126" s="114">
        <v>1.2693139999999999E-3</v>
      </c>
      <c r="J126" s="269">
        <v>1.2942579999999999</v>
      </c>
      <c r="K126" s="272">
        <f t="shared" si="4"/>
        <v>1.294258E-3</v>
      </c>
      <c r="M126" s="47"/>
      <c r="N126" s="47"/>
      <c r="P126" s="114">
        <v>1.3962460000000001E-3</v>
      </c>
      <c r="Q126" s="269">
        <v>1.4236839999999999</v>
      </c>
      <c r="R126" s="272">
        <f t="shared" si="5"/>
        <v>1.4236839999999999E-3</v>
      </c>
    </row>
    <row r="127" spans="2:18" ht="15" customHeight="1" x14ac:dyDescent="0.25">
      <c r="B127" s="114">
        <v>9.4509380000000004E-2</v>
      </c>
      <c r="C127" s="269">
        <v>2.3279169999999998</v>
      </c>
      <c r="D127" s="272">
        <f t="shared" si="3"/>
        <v>2.3279169999999997E-3</v>
      </c>
      <c r="F127" s="47"/>
      <c r="G127" s="47"/>
      <c r="H127" s="103"/>
      <c r="I127" s="114">
        <v>1.2810670000000001E-3</v>
      </c>
      <c r="J127" s="269">
        <v>1.301045</v>
      </c>
      <c r="K127" s="272">
        <f t="shared" si="4"/>
        <v>1.301045E-3</v>
      </c>
      <c r="M127" s="47"/>
      <c r="N127" s="47"/>
      <c r="P127" s="114">
        <v>1.409174E-3</v>
      </c>
      <c r="Q127" s="269">
        <v>1.431149</v>
      </c>
      <c r="R127" s="272">
        <f t="shared" si="5"/>
        <v>1.431149E-3</v>
      </c>
    </row>
    <row r="128" spans="2:18" ht="15" customHeight="1" x14ac:dyDescent="0.25">
      <c r="B128" s="114">
        <v>9.5376429999999998E-2</v>
      </c>
      <c r="C128" s="269">
        <v>2.3492739999999999</v>
      </c>
      <c r="D128" s="272">
        <f t="shared" si="3"/>
        <v>2.3492739999999997E-3</v>
      </c>
      <c r="F128" s="47"/>
      <c r="G128" s="47"/>
      <c r="H128" s="103"/>
      <c r="I128" s="114">
        <v>1.2928200000000001E-3</v>
      </c>
      <c r="J128" s="269">
        <v>1.3077730000000001</v>
      </c>
      <c r="K128" s="272">
        <f t="shared" si="4"/>
        <v>1.3077730000000001E-3</v>
      </c>
      <c r="M128" s="47"/>
      <c r="N128" s="47"/>
      <c r="P128" s="114">
        <v>1.422102E-3</v>
      </c>
      <c r="Q128" s="269">
        <v>1.43855</v>
      </c>
      <c r="R128" s="272">
        <f t="shared" si="5"/>
        <v>1.43855E-3</v>
      </c>
    </row>
    <row r="129" spans="2:18" ht="15" customHeight="1" x14ac:dyDescent="0.25">
      <c r="B129" s="114">
        <v>9.6243490000000001E-2</v>
      </c>
      <c r="C129" s="269">
        <v>2.3706309999999999</v>
      </c>
      <c r="D129" s="272">
        <f t="shared" si="3"/>
        <v>2.3706309999999998E-3</v>
      </c>
      <c r="F129" s="47"/>
      <c r="G129" s="47"/>
      <c r="H129" s="103"/>
      <c r="I129" s="114">
        <v>1.3045730000000001E-3</v>
      </c>
      <c r="J129" s="269">
        <v>1.314446</v>
      </c>
      <c r="K129" s="272">
        <f t="shared" si="4"/>
        <v>1.3144459999999999E-3</v>
      </c>
      <c r="M129" s="47"/>
      <c r="N129" s="47"/>
      <c r="P129" s="114">
        <v>1.4350299999999999E-3</v>
      </c>
      <c r="Q129" s="269">
        <v>1.445891</v>
      </c>
      <c r="R129" s="272">
        <f t="shared" si="5"/>
        <v>1.4458909999999999E-3</v>
      </c>
    </row>
    <row r="130" spans="2:18" ht="15" customHeight="1" x14ac:dyDescent="0.25">
      <c r="B130" s="114">
        <v>9.7110550000000004E-2</v>
      </c>
      <c r="C130" s="269">
        <v>2.391988</v>
      </c>
      <c r="D130" s="272">
        <f t="shared" si="3"/>
        <v>2.3919879999999998E-3</v>
      </c>
      <c r="F130" s="47"/>
      <c r="G130" s="47"/>
      <c r="H130" s="103"/>
      <c r="I130" s="114">
        <v>1.316326E-3</v>
      </c>
      <c r="J130" s="269">
        <v>1.3210679999999999</v>
      </c>
      <c r="K130" s="272">
        <f t="shared" si="4"/>
        <v>1.3210679999999999E-3</v>
      </c>
      <c r="M130" s="47"/>
      <c r="N130" s="47"/>
      <c r="P130" s="114">
        <v>1.447959E-3</v>
      </c>
      <c r="Q130" s="269">
        <v>1.453174</v>
      </c>
      <c r="R130" s="272">
        <f t="shared" si="5"/>
        <v>1.453174E-3</v>
      </c>
    </row>
    <row r="131" spans="2:18" ht="15" customHeight="1" x14ac:dyDescent="0.25">
      <c r="B131" s="114">
        <v>9.7977610000000007E-2</v>
      </c>
      <c r="C131" s="269">
        <v>2.4133450000000001</v>
      </c>
      <c r="D131" s="272">
        <f t="shared" si="3"/>
        <v>2.4133449999999999E-3</v>
      </c>
      <c r="F131" s="47"/>
      <c r="G131" s="47"/>
      <c r="H131" s="103"/>
      <c r="I131" s="114">
        <v>1.328079E-3</v>
      </c>
      <c r="J131" s="269">
        <v>1.327639</v>
      </c>
      <c r="K131" s="272">
        <f t="shared" si="4"/>
        <v>1.327639E-3</v>
      </c>
      <c r="M131" s="47"/>
      <c r="N131" s="47"/>
      <c r="P131" s="114">
        <v>1.4608869999999999E-3</v>
      </c>
      <c r="Q131" s="269">
        <v>1.4604029999999999</v>
      </c>
      <c r="R131" s="272">
        <f t="shared" si="5"/>
        <v>1.4604029999999999E-3</v>
      </c>
    </row>
    <row r="132" spans="2:18" ht="15" customHeight="1" x14ac:dyDescent="0.25">
      <c r="B132" s="114">
        <v>9.8844669999999996E-2</v>
      </c>
      <c r="C132" s="269">
        <v>2.4347020000000001</v>
      </c>
      <c r="D132" s="272">
        <f t="shared" si="3"/>
        <v>2.434702E-3</v>
      </c>
      <c r="F132" s="47"/>
      <c r="G132" s="47"/>
      <c r="H132" s="103"/>
      <c r="I132" s="114">
        <v>1.339832E-3</v>
      </c>
      <c r="J132" s="269">
        <v>1.3341639999999999</v>
      </c>
      <c r="K132" s="272">
        <f t="shared" si="4"/>
        <v>1.3341639999999999E-3</v>
      </c>
      <c r="M132" s="47"/>
      <c r="N132" s="47"/>
      <c r="P132" s="114">
        <v>1.4738150000000001E-3</v>
      </c>
      <c r="Q132" s="269">
        <v>1.4675800000000001</v>
      </c>
      <c r="R132" s="272">
        <f t="shared" si="5"/>
        <v>1.46758E-3</v>
      </c>
    </row>
    <row r="133" spans="2:18" ht="15" customHeight="1" x14ac:dyDescent="0.25">
      <c r="B133" s="114">
        <v>9.9711729999999998E-2</v>
      </c>
      <c r="C133" s="269">
        <v>2.4560590000000002</v>
      </c>
      <c r="D133" s="272">
        <f t="shared" si="3"/>
        <v>2.456059E-3</v>
      </c>
      <c r="F133" s="47"/>
      <c r="G133" s="47"/>
      <c r="H133" s="103"/>
      <c r="I133" s="114">
        <v>1.351585E-3</v>
      </c>
      <c r="J133" s="269">
        <v>1.3406439999999999</v>
      </c>
      <c r="K133" s="272">
        <f t="shared" si="4"/>
        <v>1.340644E-3</v>
      </c>
      <c r="M133" s="47"/>
      <c r="N133" s="47"/>
      <c r="P133" s="114">
        <v>1.486743E-3</v>
      </c>
      <c r="Q133" s="269">
        <v>1.4747079999999999</v>
      </c>
      <c r="R133" s="272">
        <f t="shared" si="5"/>
        <v>1.4747079999999999E-3</v>
      </c>
    </row>
    <row r="134" spans="2:18" ht="15" customHeight="1" x14ac:dyDescent="0.25">
      <c r="B134" s="114">
        <v>0.1005788</v>
      </c>
      <c r="C134" s="269">
        <v>2.4774159999999998</v>
      </c>
      <c r="D134" s="272">
        <f t="shared" si="3"/>
        <v>2.4774159999999996E-3</v>
      </c>
      <c r="F134" s="47"/>
      <c r="G134" s="47"/>
      <c r="H134" s="103"/>
      <c r="I134" s="114">
        <v>1.363338E-3</v>
      </c>
      <c r="J134" s="269">
        <v>1.347081</v>
      </c>
      <c r="K134" s="272">
        <f t="shared" si="4"/>
        <v>1.347081E-3</v>
      </c>
      <c r="M134" s="47"/>
      <c r="N134" s="47"/>
      <c r="P134" s="114">
        <v>1.4996709999999999E-3</v>
      </c>
      <c r="Q134" s="269">
        <v>1.481789</v>
      </c>
      <c r="R134" s="272">
        <f t="shared" si="5"/>
        <v>1.4817890000000001E-3</v>
      </c>
    </row>
    <row r="135" spans="2:18" ht="15" customHeight="1" x14ac:dyDescent="0.25">
      <c r="B135" s="114">
        <v>0.1014458</v>
      </c>
      <c r="C135" s="269">
        <v>2.4987729999999999</v>
      </c>
      <c r="D135" s="272">
        <f t="shared" si="3"/>
        <v>2.4987729999999997E-3</v>
      </c>
      <c r="F135" s="47"/>
      <c r="G135" s="47"/>
      <c r="H135" s="103"/>
      <c r="I135" s="114">
        <v>1.37509E-3</v>
      </c>
      <c r="J135" s="269">
        <v>1.3534759999999999</v>
      </c>
      <c r="K135" s="272">
        <f t="shared" si="4"/>
        <v>1.3534759999999999E-3</v>
      </c>
      <c r="M135" s="47"/>
      <c r="N135" s="47"/>
      <c r="P135" s="114">
        <v>1.5126E-3</v>
      </c>
      <c r="Q135" s="269">
        <v>1.4888239999999999</v>
      </c>
      <c r="R135" s="272">
        <f t="shared" si="5"/>
        <v>1.4888239999999999E-3</v>
      </c>
    </row>
    <row r="136" spans="2:18" ht="15" customHeight="1" x14ac:dyDescent="0.25">
      <c r="B136" s="114">
        <v>0.1023129</v>
      </c>
      <c r="C136" s="269">
        <v>2.52013</v>
      </c>
      <c r="D136" s="272">
        <f t="shared" si="3"/>
        <v>2.5201299999999998E-3</v>
      </c>
      <c r="F136" s="47"/>
      <c r="G136" s="47"/>
      <c r="H136" s="103"/>
      <c r="I136" s="114">
        <v>1.386843E-3</v>
      </c>
      <c r="J136" s="269">
        <v>1.3598330000000001</v>
      </c>
      <c r="K136" s="272">
        <f t="shared" si="4"/>
        <v>1.359833E-3</v>
      </c>
      <c r="M136" s="47"/>
      <c r="N136" s="47"/>
      <c r="P136" s="114">
        <v>1.525528E-3</v>
      </c>
      <c r="Q136" s="269">
        <v>1.495817</v>
      </c>
      <c r="R136" s="272">
        <f t="shared" si="5"/>
        <v>1.495817E-3</v>
      </c>
    </row>
    <row r="137" spans="2:18" ht="15" customHeight="1" x14ac:dyDescent="0.25">
      <c r="B137" s="114">
        <v>0.10317999999999999</v>
      </c>
      <c r="C137" s="269">
        <v>2.5414870000000001</v>
      </c>
      <c r="D137" s="272">
        <f t="shared" si="3"/>
        <v>2.5414870000000003E-3</v>
      </c>
      <c r="F137" s="47"/>
      <c r="G137" s="47"/>
      <c r="H137" s="103"/>
      <c r="I137" s="114">
        <v>1.398596E-3</v>
      </c>
      <c r="J137" s="269">
        <v>1.366153</v>
      </c>
      <c r="K137" s="272">
        <f t="shared" si="4"/>
        <v>1.3661529999999999E-3</v>
      </c>
      <c r="M137" s="47"/>
      <c r="N137" s="47"/>
      <c r="P137" s="114">
        <v>1.5384559999999999E-3</v>
      </c>
      <c r="Q137" s="269">
        <v>1.5027680000000001</v>
      </c>
      <c r="R137" s="272">
        <f t="shared" si="5"/>
        <v>1.502768E-3</v>
      </c>
    </row>
    <row r="138" spans="2:18" ht="15" customHeight="1" x14ac:dyDescent="0.25">
      <c r="B138" s="114">
        <v>0.104047</v>
      </c>
      <c r="C138" s="269">
        <v>2.5628440000000001</v>
      </c>
      <c r="D138" s="272">
        <f t="shared" si="3"/>
        <v>2.5628440000000003E-3</v>
      </c>
      <c r="F138" s="47"/>
      <c r="G138" s="47"/>
      <c r="H138" s="103"/>
      <c r="I138" s="114">
        <v>1.410349E-3</v>
      </c>
      <c r="J138" s="269">
        <v>1.3724369999999999</v>
      </c>
      <c r="K138" s="272">
        <f t="shared" si="4"/>
        <v>1.372437E-3</v>
      </c>
      <c r="M138" s="47"/>
      <c r="N138" s="47"/>
      <c r="P138" s="114">
        <v>1.5513840000000001E-3</v>
      </c>
      <c r="Q138" s="269">
        <v>1.5096810000000001</v>
      </c>
      <c r="R138" s="272">
        <f t="shared" si="5"/>
        <v>1.5096810000000001E-3</v>
      </c>
    </row>
    <row r="139" spans="2:18" ht="15" customHeight="1" x14ac:dyDescent="0.25">
      <c r="B139" s="114">
        <v>0.1049141</v>
      </c>
      <c r="C139" s="269">
        <v>2.5842010000000002</v>
      </c>
      <c r="D139" s="272">
        <f t="shared" si="3"/>
        <v>2.5842010000000004E-3</v>
      </c>
      <c r="F139" s="47"/>
      <c r="G139" s="47"/>
      <c r="H139" s="103"/>
      <c r="I139" s="114">
        <v>1.422102E-3</v>
      </c>
      <c r="J139" s="269">
        <v>1.378687</v>
      </c>
      <c r="K139" s="272">
        <f t="shared" si="4"/>
        <v>1.378687E-3</v>
      </c>
      <c r="M139" s="47"/>
      <c r="N139" s="47"/>
      <c r="P139" s="114">
        <v>1.564312E-3</v>
      </c>
      <c r="Q139" s="269">
        <v>1.5165550000000001</v>
      </c>
      <c r="R139" s="272">
        <f t="shared" si="5"/>
        <v>1.5165550000000002E-3</v>
      </c>
    </row>
    <row r="140" spans="2:18" ht="15" customHeight="1" x14ac:dyDescent="0.25">
      <c r="B140" s="114">
        <v>0.1057811</v>
      </c>
      <c r="C140" s="269">
        <v>2.6055579999999998</v>
      </c>
      <c r="D140" s="272">
        <f t="shared" si="3"/>
        <v>2.605558E-3</v>
      </c>
      <c r="F140" s="47"/>
      <c r="G140" s="47"/>
      <c r="H140" s="103"/>
      <c r="I140" s="114">
        <v>1.4338549999999999E-3</v>
      </c>
      <c r="J140" s="269">
        <v>1.3849039999999999</v>
      </c>
      <c r="K140" s="272">
        <f t="shared" si="4"/>
        <v>1.384904E-3</v>
      </c>
      <c r="M140" s="47"/>
      <c r="N140" s="47"/>
      <c r="P140" s="114">
        <v>1.5772410000000001E-3</v>
      </c>
      <c r="Q140" s="269">
        <v>1.5233939999999999</v>
      </c>
      <c r="R140" s="272">
        <f t="shared" si="5"/>
        <v>1.523394E-3</v>
      </c>
    </row>
    <row r="141" spans="2:18" ht="15" customHeight="1" x14ac:dyDescent="0.25">
      <c r="B141" s="114">
        <v>0.1066482</v>
      </c>
      <c r="C141" s="269">
        <v>2.6269149999999999</v>
      </c>
      <c r="D141" s="272">
        <f t="shared" si="3"/>
        <v>2.6269150000000001E-3</v>
      </c>
      <c r="F141" s="47"/>
      <c r="G141" s="47"/>
      <c r="H141" s="103"/>
      <c r="I141" s="114">
        <v>1.4456079999999999E-3</v>
      </c>
      <c r="J141" s="269">
        <v>1.391089</v>
      </c>
      <c r="K141" s="272">
        <f t="shared" si="4"/>
        <v>1.3910890000000001E-3</v>
      </c>
      <c r="M141" s="47"/>
      <c r="N141" s="47"/>
      <c r="P141" s="114">
        <v>1.590169E-3</v>
      </c>
      <c r="Q141" s="269">
        <v>1.5301979999999999</v>
      </c>
      <c r="R141" s="272">
        <f t="shared" si="5"/>
        <v>1.530198E-3</v>
      </c>
    </row>
    <row r="142" spans="2:18" ht="15" customHeight="1" x14ac:dyDescent="0.25">
      <c r="B142" s="114">
        <v>0.10751529999999999</v>
      </c>
      <c r="C142" s="269">
        <v>2.648272</v>
      </c>
      <c r="D142" s="272">
        <f t="shared" si="3"/>
        <v>2.6482720000000001E-3</v>
      </c>
      <c r="F142" s="47"/>
      <c r="G142" s="47"/>
      <c r="H142" s="103"/>
      <c r="I142" s="114">
        <v>1.4573609999999999E-3</v>
      </c>
      <c r="J142" s="269">
        <v>1.3972439999999999</v>
      </c>
      <c r="K142" s="272">
        <f t="shared" si="4"/>
        <v>1.397244E-3</v>
      </c>
      <c r="M142" s="47"/>
      <c r="N142" s="47"/>
      <c r="P142" s="114">
        <v>1.6030969999999999E-3</v>
      </c>
      <c r="Q142" s="269">
        <v>1.536969</v>
      </c>
      <c r="R142" s="272">
        <f t="shared" si="5"/>
        <v>1.536969E-3</v>
      </c>
    </row>
    <row r="143" spans="2:18" ht="15" customHeight="1" x14ac:dyDescent="0.25">
      <c r="B143" s="114">
        <v>0.1083823</v>
      </c>
      <c r="C143" s="269">
        <v>2.669629</v>
      </c>
      <c r="D143" s="272">
        <f t="shared" si="3"/>
        <v>2.6696290000000002E-3</v>
      </c>
      <c r="F143" s="47"/>
      <c r="G143" s="47"/>
      <c r="H143" s="103"/>
      <c r="I143" s="114">
        <v>1.4691140000000001E-3</v>
      </c>
      <c r="J143" s="269">
        <v>1.4033709999999999</v>
      </c>
      <c r="K143" s="272">
        <f t="shared" si="4"/>
        <v>1.4033709999999998E-3</v>
      </c>
      <c r="M143" s="47"/>
      <c r="N143" s="47"/>
      <c r="P143" s="114">
        <v>1.6160250000000001E-3</v>
      </c>
      <c r="Q143" s="269">
        <v>1.5437080000000001</v>
      </c>
      <c r="R143" s="272">
        <f t="shared" si="5"/>
        <v>1.543708E-3</v>
      </c>
    </row>
    <row r="144" spans="2:18" ht="15" customHeight="1" x14ac:dyDescent="0.25">
      <c r="B144" s="114">
        <v>0.1092494</v>
      </c>
      <c r="C144" s="269">
        <v>2.6909860000000001</v>
      </c>
      <c r="D144" s="272">
        <f t="shared" si="3"/>
        <v>2.6909860000000002E-3</v>
      </c>
      <c r="F144" s="47"/>
      <c r="G144" s="47"/>
      <c r="H144" s="103"/>
      <c r="I144" s="114">
        <v>1.4808670000000001E-3</v>
      </c>
      <c r="J144" s="269">
        <v>1.4094690000000001</v>
      </c>
      <c r="K144" s="272">
        <f t="shared" si="4"/>
        <v>1.409469E-3</v>
      </c>
      <c r="M144" s="47"/>
      <c r="N144" s="47"/>
      <c r="P144" s="114">
        <v>1.628953E-3</v>
      </c>
      <c r="Q144" s="269">
        <v>1.550416</v>
      </c>
      <c r="R144" s="272">
        <f t="shared" si="5"/>
        <v>1.550416E-3</v>
      </c>
    </row>
    <row r="145" spans="2:18" ht="15" customHeight="1" x14ac:dyDescent="0.25">
      <c r="B145" s="114">
        <v>0.1101164</v>
      </c>
      <c r="C145" s="269">
        <v>2.7123430000000002</v>
      </c>
      <c r="D145" s="272">
        <f t="shared" si="3"/>
        <v>2.7123430000000003E-3</v>
      </c>
      <c r="F145" s="47"/>
      <c r="G145" s="47"/>
      <c r="H145" s="103"/>
      <c r="I145" s="114">
        <v>1.4926200000000001E-3</v>
      </c>
      <c r="J145" s="269">
        <v>1.4155409999999999</v>
      </c>
      <c r="K145" s="272">
        <f t="shared" si="4"/>
        <v>1.415541E-3</v>
      </c>
      <c r="M145" s="47"/>
      <c r="N145" s="47"/>
      <c r="P145" s="114">
        <v>1.6418820000000001E-3</v>
      </c>
      <c r="Q145" s="269">
        <v>1.5570949999999999</v>
      </c>
      <c r="R145" s="272">
        <f t="shared" si="5"/>
        <v>1.5570949999999999E-3</v>
      </c>
    </row>
    <row r="146" spans="2:18" ht="15" customHeight="1" x14ac:dyDescent="0.25">
      <c r="B146" s="114">
        <v>0.1109835</v>
      </c>
      <c r="C146" s="269">
        <v>2.7336999999999998</v>
      </c>
      <c r="D146" s="272">
        <f t="shared" ref="D146:D209" si="6">C146/1000</f>
        <v>2.7336999999999999E-3</v>
      </c>
      <c r="F146" s="47"/>
      <c r="G146" s="47"/>
      <c r="H146" s="103"/>
      <c r="I146" s="114">
        <v>1.5043719999999999E-3</v>
      </c>
      <c r="J146" s="269">
        <v>1.4215869999999999</v>
      </c>
      <c r="K146" s="272">
        <f t="shared" ref="K146:K209" si="7">J146/1000</f>
        <v>1.421587E-3</v>
      </c>
      <c r="M146" s="47"/>
      <c r="N146" s="47"/>
      <c r="P146" s="114">
        <v>1.65481E-3</v>
      </c>
      <c r="Q146" s="269">
        <v>1.5637460000000001</v>
      </c>
      <c r="R146" s="272">
        <f t="shared" ref="R146:R209" si="8">Q146/1000</f>
        <v>1.563746E-3</v>
      </c>
    </row>
    <row r="147" spans="2:18" ht="15" customHeight="1" x14ac:dyDescent="0.25">
      <c r="B147" s="114">
        <v>0.11185050000000001</v>
      </c>
      <c r="C147" s="269">
        <v>2.7550569999999999</v>
      </c>
      <c r="D147" s="272">
        <f t="shared" si="6"/>
        <v>2.755057E-3</v>
      </c>
      <c r="F147" s="47"/>
      <c r="G147" s="47"/>
      <c r="H147" s="103"/>
      <c r="I147" s="114">
        <v>1.5161249999999999E-3</v>
      </c>
      <c r="J147" s="269">
        <v>1.4276089999999999</v>
      </c>
      <c r="K147" s="272">
        <f t="shared" si="7"/>
        <v>1.4276089999999998E-3</v>
      </c>
      <c r="M147" s="47"/>
      <c r="N147" s="47"/>
      <c r="P147" s="114">
        <v>1.667738E-3</v>
      </c>
      <c r="Q147" s="269">
        <v>1.5703689999999999</v>
      </c>
      <c r="R147" s="272">
        <f t="shared" si="8"/>
        <v>1.5703689999999998E-3</v>
      </c>
    </row>
    <row r="148" spans="2:18" ht="15" customHeight="1" x14ac:dyDescent="0.25">
      <c r="B148" s="114">
        <v>0.1127176</v>
      </c>
      <c r="C148" s="269">
        <v>2.7764139999999999</v>
      </c>
      <c r="D148" s="272">
        <f t="shared" si="6"/>
        <v>2.7764140000000001E-3</v>
      </c>
      <c r="F148" s="47"/>
      <c r="G148" s="47"/>
      <c r="H148" s="103"/>
      <c r="I148" s="114">
        <v>1.5278780000000001E-3</v>
      </c>
      <c r="J148" s="269">
        <v>1.4336059999999999</v>
      </c>
      <c r="K148" s="272">
        <f t="shared" si="7"/>
        <v>1.433606E-3</v>
      </c>
      <c r="M148" s="47"/>
      <c r="N148" s="47"/>
      <c r="P148" s="114">
        <v>1.6806659999999999E-3</v>
      </c>
      <c r="Q148" s="269">
        <v>1.576967</v>
      </c>
      <c r="R148" s="272">
        <f t="shared" si="8"/>
        <v>1.5769670000000001E-3</v>
      </c>
    </row>
    <row r="149" spans="2:18" ht="15" customHeight="1" x14ac:dyDescent="0.25">
      <c r="B149" s="114">
        <v>0.1135847</v>
      </c>
      <c r="C149" s="269">
        <v>2.797771</v>
      </c>
      <c r="D149" s="272">
        <f t="shared" si="6"/>
        <v>2.7977710000000001E-3</v>
      </c>
      <c r="F149" s="47"/>
      <c r="G149" s="47"/>
      <c r="H149" s="103"/>
      <c r="I149" s="114">
        <v>1.5396310000000001E-3</v>
      </c>
      <c r="J149" s="269">
        <v>1.439581</v>
      </c>
      <c r="K149" s="272">
        <f t="shared" si="7"/>
        <v>1.4395810000000001E-3</v>
      </c>
      <c r="M149" s="47"/>
      <c r="N149" s="47"/>
      <c r="P149" s="114">
        <v>1.6935940000000001E-3</v>
      </c>
      <c r="Q149" s="269">
        <v>1.583539</v>
      </c>
      <c r="R149" s="272">
        <f t="shared" si="8"/>
        <v>1.5835390000000001E-3</v>
      </c>
    </row>
    <row r="150" spans="2:18" ht="15" customHeight="1" x14ac:dyDescent="0.25">
      <c r="B150" s="114">
        <v>0.1144517</v>
      </c>
      <c r="C150" s="269">
        <v>2.8191290000000002</v>
      </c>
      <c r="D150" s="272">
        <f t="shared" si="6"/>
        <v>2.8191290000000001E-3</v>
      </c>
      <c r="F150" s="47"/>
      <c r="G150" s="47"/>
      <c r="H150" s="103"/>
      <c r="I150" s="114">
        <v>1.5513840000000001E-3</v>
      </c>
      <c r="J150" s="269">
        <v>1.445533</v>
      </c>
      <c r="K150" s="272">
        <f t="shared" si="7"/>
        <v>1.4455329999999999E-3</v>
      </c>
      <c r="M150" s="47"/>
      <c r="N150" s="47"/>
      <c r="P150" s="114">
        <v>1.7065229999999999E-3</v>
      </c>
      <c r="Q150" s="269">
        <v>1.590087</v>
      </c>
      <c r="R150" s="272">
        <f t="shared" si="8"/>
        <v>1.590087E-3</v>
      </c>
    </row>
    <row r="151" spans="2:18" ht="15" customHeight="1" x14ac:dyDescent="0.25">
      <c r="B151" s="114">
        <v>0.1153188</v>
      </c>
      <c r="C151" s="269">
        <v>2.8404859999999998</v>
      </c>
      <c r="D151" s="272">
        <f t="shared" si="6"/>
        <v>2.8404859999999997E-3</v>
      </c>
      <c r="F151" s="47"/>
      <c r="G151" s="47"/>
      <c r="H151" s="103"/>
      <c r="I151" s="114">
        <v>1.563137E-3</v>
      </c>
      <c r="J151" s="269">
        <v>1.451465</v>
      </c>
      <c r="K151" s="272">
        <f t="shared" si="7"/>
        <v>1.4514650000000001E-3</v>
      </c>
      <c r="M151" s="47"/>
      <c r="N151" s="47"/>
      <c r="P151" s="114">
        <v>1.7194510000000001E-3</v>
      </c>
      <c r="Q151" s="269">
        <v>1.596611</v>
      </c>
      <c r="R151" s="272">
        <f t="shared" si="8"/>
        <v>1.596611E-3</v>
      </c>
    </row>
    <row r="152" spans="2:18" ht="15" customHeight="1" x14ac:dyDescent="0.25">
      <c r="B152" s="114">
        <v>0.11618580000000001</v>
      </c>
      <c r="C152" s="269">
        <v>2.8618429999999999</v>
      </c>
      <c r="D152" s="272">
        <f t="shared" si="6"/>
        <v>2.8618429999999998E-3</v>
      </c>
      <c r="F152" s="47"/>
      <c r="G152" s="47"/>
      <c r="H152" s="103"/>
      <c r="I152" s="114">
        <v>1.57489E-3</v>
      </c>
      <c r="J152" s="269">
        <v>1.4573750000000001</v>
      </c>
      <c r="K152" s="272">
        <f t="shared" si="7"/>
        <v>1.4573750000000001E-3</v>
      </c>
      <c r="M152" s="47"/>
      <c r="N152" s="47"/>
      <c r="P152" s="114">
        <v>1.732379E-3</v>
      </c>
      <c r="Q152" s="269">
        <v>1.603113</v>
      </c>
      <c r="R152" s="272">
        <f t="shared" si="8"/>
        <v>1.603113E-3</v>
      </c>
    </row>
    <row r="153" spans="2:18" ht="15" customHeight="1" x14ac:dyDescent="0.25">
      <c r="B153" s="114">
        <v>0.1170529</v>
      </c>
      <c r="C153" s="269">
        <v>2.8832</v>
      </c>
      <c r="D153" s="272">
        <f t="shared" si="6"/>
        <v>2.8831999999999998E-3</v>
      </c>
      <c r="F153" s="47"/>
      <c r="G153" s="47"/>
      <c r="H153" s="103"/>
      <c r="I153" s="114">
        <v>1.586643E-3</v>
      </c>
      <c r="J153" s="269">
        <v>1.463266</v>
      </c>
      <c r="K153" s="272">
        <f t="shared" si="7"/>
        <v>1.463266E-3</v>
      </c>
      <c r="M153" s="47"/>
      <c r="N153" s="47"/>
      <c r="P153" s="114">
        <v>1.745307E-3</v>
      </c>
      <c r="Q153" s="269">
        <v>1.6095930000000001</v>
      </c>
      <c r="R153" s="272">
        <f t="shared" si="8"/>
        <v>1.6095930000000001E-3</v>
      </c>
    </row>
    <row r="154" spans="2:18" ht="15" customHeight="1" x14ac:dyDescent="0.25">
      <c r="B154" s="114">
        <v>0.11792</v>
      </c>
      <c r="C154" s="269">
        <v>2.9045570000000001</v>
      </c>
      <c r="D154" s="272">
        <f t="shared" si="6"/>
        <v>2.9045569999999999E-3</v>
      </c>
      <c r="F154" s="47"/>
      <c r="G154" s="47"/>
      <c r="H154" s="103"/>
      <c r="I154" s="114">
        <v>1.598396E-3</v>
      </c>
      <c r="J154" s="269">
        <v>1.4691380000000001</v>
      </c>
      <c r="K154" s="272">
        <f t="shared" si="7"/>
        <v>1.469138E-3</v>
      </c>
      <c r="M154" s="47"/>
      <c r="N154" s="47"/>
      <c r="P154" s="114">
        <v>1.7582349999999999E-3</v>
      </c>
      <c r="Q154" s="269">
        <v>1.616052</v>
      </c>
      <c r="R154" s="272">
        <f t="shared" si="8"/>
        <v>1.616052E-3</v>
      </c>
    </row>
    <row r="155" spans="2:18" ht="15" customHeight="1" x14ac:dyDescent="0.25">
      <c r="B155" s="114">
        <v>0.118787</v>
      </c>
      <c r="C155" s="269">
        <v>2.9259140000000001</v>
      </c>
      <c r="D155" s="272">
        <f t="shared" si="6"/>
        <v>2.9259139999999999E-3</v>
      </c>
      <c r="F155" s="47"/>
      <c r="G155" s="47"/>
      <c r="H155" s="103"/>
      <c r="I155" s="114">
        <v>1.610149E-3</v>
      </c>
      <c r="J155" s="269">
        <v>1.4749909999999999</v>
      </c>
      <c r="K155" s="272">
        <f t="shared" si="7"/>
        <v>1.4749909999999999E-3</v>
      </c>
      <c r="M155" s="47"/>
      <c r="N155" s="47"/>
      <c r="P155" s="114">
        <v>1.771164E-3</v>
      </c>
      <c r="Q155" s="269">
        <v>1.62249</v>
      </c>
      <c r="R155" s="272">
        <f t="shared" si="8"/>
        <v>1.6224900000000001E-3</v>
      </c>
    </row>
    <row r="156" spans="2:18" ht="15" customHeight="1" x14ac:dyDescent="0.25">
      <c r="B156" s="114">
        <v>0.1196541</v>
      </c>
      <c r="C156" s="269">
        <v>2.9472710000000002</v>
      </c>
      <c r="D156" s="272">
        <f t="shared" si="6"/>
        <v>2.947271E-3</v>
      </c>
      <c r="F156" s="47"/>
      <c r="G156" s="47"/>
      <c r="H156" s="103"/>
      <c r="I156" s="114">
        <v>1.6219019999999999E-3</v>
      </c>
      <c r="J156" s="269">
        <v>1.480826</v>
      </c>
      <c r="K156" s="272">
        <f t="shared" si="7"/>
        <v>1.480826E-3</v>
      </c>
      <c r="M156" s="47"/>
      <c r="N156" s="47"/>
      <c r="P156" s="114">
        <v>1.7840919999999999E-3</v>
      </c>
      <c r="Q156" s="269">
        <v>1.6289089999999999</v>
      </c>
      <c r="R156" s="272">
        <f t="shared" si="8"/>
        <v>1.628909E-3</v>
      </c>
    </row>
    <row r="157" spans="2:18" ht="15" customHeight="1" x14ac:dyDescent="0.25">
      <c r="B157" s="114">
        <v>0.12052110000000001</v>
      </c>
      <c r="C157" s="269">
        <v>2.9686279999999998</v>
      </c>
      <c r="D157" s="272">
        <f t="shared" si="6"/>
        <v>2.9686279999999996E-3</v>
      </c>
      <c r="F157" s="47"/>
      <c r="G157" s="47"/>
      <c r="H157" s="103"/>
      <c r="I157" s="114">
        <v>1.633654E-3</v>
      </c>
      <c r="J157" s="269">
        <v>1.486645</v>
      </c>
      <c r="K157" s="272">
        <f t="shared" si="7"/>
        <v>1.486645E-3</v>
      </c>
      <c r="M157" s="47"/>
      <c r="N157" s="47"/>
      <c r="P157" s="114">
        <v>1.7970200000000001E-3</v>
      </c>
      <c r="Q157" s="269">
        <v>1.6353089999999999</v>
      </c>
      <c r="R157" s="272">
        <f t="shared" si="8"/>
        <v>1.6353089999999999E-3</v>
      </c>
    </row>
    <row r="158" spans="2:18" ht="15" customHeight="1" x14ac:dyDescent="0.25">
      <c r="B158" s="114">
        <v>0.1213882</v>
      </c>
      <c r="C158" s="269">
        <v>2.9899849999999999</v>
      </c>
      <c r="D158" s="272">
        <f t="shared" si="6"/>
        <v>2.9899849999999997E-3</v>
      </c>
      <c r="F158" s="47"/>
      <c r="G158" s="47"/>
      <c r="H158" s="103"/>
      <c r="I158" s="114">
        <v>1.645407E-3</v>
      </c>
      <c r="J158" s="269">
        <v>1.4924459999999999</v>
      </c>
      <c r="K158" s="272">
        <f t="shared" si="7"/>
        <v>1.4924459999999999E-3</v>
      </c>
      <c r="M158" s="47"/>
      <c r="N158" s="47"/>
      <c r="P158" s="114">
        <v>1.809948E-3</v>
      </c>
      <c r="Q158" s="269">
        <v>1.641691</v>
      </c>
      <c r="R158" s="272">
        <f t="shared" si="8"/>
        <v>1.641691E-3</v>
      </c>
    </row>
    <row r="159" spans="2:18" ht="15" customHeight="1" x14ac:dyDescent="0.25">
      <c r="B159" s="114">
        <v>0.12225519999999999</v>
      </c>
      <c r="C159" s="269">
        <v>3.011342</v>
      </c>
      <c r="D159" s="272">
        <f t="shared" si="6"/>
        <v>3.0113419999999998E-3</v>
      </c>
      <c r="F159" s="47"/>
      <c r="G159" s="47"/>
      <c r="H159" s="103"/>
      <c r="I159" s="114">
        <v>1.65716E-3</v>
      </c>
      <c r="J159" s="269">
        <v>1.4982310000000001</v>
      </c>
      <c r="K159" s="272">
        <f t="shared" si="7"/>
        <v>1.498231E-3</v>
      </c>
      <c r="M159" s="47"/>
      <c r="N159" s="47"/>
      <c r="P159" s="114">
        <v>1.822876E-3</v>
      </c>
      <c r="Q159" s="269">
        <v>1.6480539999999999</v>
      </c>
      <c r="R159" s="272">
        <f t="shared" si="8"/>
        <v>1.6480539999999999E-3</v>
      </c>
    </row>
    <row r="160" spans="2:18" ht="15" customHeight="1" x14ac:dyDescent="0.25">
      <c r="B160" s="114">
        <v>0.1231223</v>
      </c>
      <c r="C160" s="269">
        <v>3.032699</v>
      </c>
      <c r="D160" s="272">
        <f t="shared" si="6"/>
        <v>3.0326990000000002E-3</v>
      </c>
      <c r="F160" s="47"/>
      <c r="G160" s="47"/>
      <c r="H160" s="103"/>
      <c r="I160" s="114">
        <v>1.668913E-3</v>
      </c>
      <c r="J160" s="269">
        <v>1.5040009999999999</v>
      </c>
      <c r="K160" s="272">
        <f t="shared" si="7"/>
        <v>1.5040009999999998E-3</v>
      </c>
      <c r="M160" s="47"/>
      <c r="N160" s="47"/>
      <c r="P160" s="114">
        <v>1.835805E-3</v>
      </c>
      <c r="Q160" s="269">
        <v>1.654401</v>
      </c>
      <c r="R160" s="272">
        <f t="shared" si="8"/>
        <v>1.654401E-3</v>
      </c>
    </row>
    <row r="161" spans="2:18" ht="15" customHeight="1" x14ac:dyDescent="0.25">
      <c r="B161" s="114">
        <v>0.1239894</v>
      </c>
      <c r="C161" s="269">
        <v>3.0540560000000001</v>
      </c>
      <c r="D161" s="272">
        <f t="shared" si="6"/>
        <v>3.0540560000000003E-3</v>
      </c>
      <c r="F161" s="47"/>
      <c r="G161" s="47"/>
      <c r="H161" s="103"/>
      <c r="I161" s="114">
        <v>1.6806659999999999E-3</v>
      </c>
      <c r="J161" s="269">
        <v>1.509755</v>
      </c>
      <c r="K161" s="272">
        <f t="shared" si="7"/>
        <v>1.509755E-3</v>
      </c>
      <c r="M161" s="47"/>
      <c r="N161" s="47"/>
      <c r="P161" s="114">
        <v>1.848733E-3</v>
      </c>
      <c r="Q161" s="269">
        <v>1.660731</v>
      </c>
      <c r="R161" s="272">
        <f t="shared" si="8"/>
        <v>1.6607309999999999E-3</v>
      </c>
    </row>
    <row r="162" spans="2:18" ht="15" customHeight="1" x14ac:dyDescent="0.25">
      <c r="B162" s="114">
        <v>0.12485640000000001</v>
      </c>
      <c r="C162" s="269">
        <v>3.0754130000000002</v>
      </c>
      <c r="D162" s="272">
        <f t="shared" si="6"/>
        <v>3.0754130000000004E-3</v>
      </c>
      <c r="F162" s="47"/>
      <c r="G162" s="47"/>
      <c r="H162" s="103"/>
      <c r="I162" s="114">
        <v>1.6924189999999999E-3</v>
      </c>
      <c r="J162" s="269">
        <v>1.515495</v>
      </c>
      <c r="K162" s="272">
        <f t="shared" si="7"/>
        <v>1.5154949999999999E-3</v>
      </c>
      <c r="M162" s="47"/>
      <c r="N162" s="47"/>
      <c r="P162" s="114">
        <v>1.8616609999999999E-3</v>
      </c>
      <c r="Q162" s="269">
        <v>1.6670450000000001</v>
      </c>
      <c r="R162" s="272">
        <f t="shared" si="8"/>
        <v>1.667045E-3</v>
      </c>
    </row>
    <row r="163" spans="2:18" ht="15" customHeight="1" x14ac:dyDescent="0.25">
      <c r="B163" s="114">
        <v>0.12572349999999999</v>
      </c>
      <c r="C163" s="269">
        <v>3.0967699999999998</v>
      </c>
      <c r="D163" s="272">
        <f t="shared" si="6"/>
        <v>3.09677E-3</v>
      </c>
      <c r="F163" s="47"/>
      <c r="G163" s="47"/>
      <c r="H163" s="103"/>
      <c r="I163" s="114">
        <v>1.7041719999999999E-3</v>
      </c>
      <c r="J163" s="269">
        <v>1.5212209999999999</v>
      </c>
      <c r="K163" s="272">
        <f t="shared" si="7"/>
        <v>1.5212209999999999E-3</v>
      </c>
      <c r="M163" s="47"/>
      <c r="N163" s="47"/>
      <c r="P163" s="114">
        <v>1.8745890000000001E-3</v>
      </c>
      <c r="Q163" s="269">
        <v>1.673343</v>
      </c>
      <c r="R163" s="272">
        <f t="shared" si="8"/>
        <v>1.6733430000000001E-3</v>
      </c>
    </row>
    <row r="164" spans="2:18" ht="15" customHeight="1" x14ac:dyDescent="0.25">
      <c r="B164" s="114">
        <v>0.12659049999999999</v>
      </c>
      <c r="C164" s="269">
        <v>3.1181269999999999</v>
      </c>
      <c r="D164" s="272">
        <f t="shared" si="6"/>
        <v>3.1181270000000001E-3</v>
      </c>
      <c r="F164" s="47"/>
      <c r="G164" s="47"/>
      <c r="H164" s="103"/>
      <c r="I164" s="114">
        <v>1.7159250000000001E-3</v>
      </c>
      <c r="J164" s="269">
        <v>1.5269330000000001</v>
      </c>
      <c r="K164" s="272">
        <f t="shared" si="7"/>
        <v>1.5269330000000001E-3</v>
      </c>
      <c r="M164" s="47"/>
      <c r="N164" s="47"/>
      <c r="P164" s="114">
        <v>1.887517E-3</v>
      </c>
      <c r="Q164" s="269">
        <v>1.6796260000000001</v>
      </c>
      <c r="R164" s="272">
        <f t="shared" si="8"/>
        <v>1.679626E-3</v>
      </c>
    </row>
    <row r="165" spans="2:18" ht="15" customHeight="1" x14ac:dyDescent="0.25">
      <c r="B165" s="114">
        <v>0.1274576</v>
      </c>
      <c r="C165" s="269">
        <v>3.1394839999999999</v>
      </c>
      <c r="D165" s="272">
        <f t="shared" si="6"/>
        <v>3.1394840000000001E-3</v>
      </c>
      <c r="F165" s="47"/>
      <c r="G165" s="47"/>
      <c r="H165" s="103"/>
      <c r="I165" s="114">
        <v>1.7276780000000001E-3</v>
      </c>
      <c r="J165" s="269">
        <v>1.532632</v>
      </c>
      <c r="K165" s="272">
        <f t="shared" si="7"/>
        <v>1.5326319999999999E-3</v>
      </c>
      <c r="M165" s="47"/>
      <c r="N165" s="47"/>
      <c r="P165" s="114">
        <v>1.9004460000000001E-3</v>
      </c>
      <c r="Q165" s="269">
        <v>1.6858949999999999</v>
      </c>
      <c r="R165" s="272">
        <f t="shared" si="8"/>
        <v>1.685895E-3</v>
      </c>
    </row>
    <row r="166" spans="2:18" ht="15" customHeight="1" x14ac:dyDescent="0.25">
      <c r="B166" s="114">
        <v>0.12832470000000001</v>
      </c>
      <c r="C166" s="269">
        <v>3.160841</v>
      </c>
      <c r="D166" s="272">
        <f t="shared" si="6"/>
        <v>3.1608410000000002E-3</v>
      </c>
      <c r="F166" s="47"/>
      <c r="G166" s="47"/>
      <c r="H166" s="103"/>
      <c r="I166" s="114">
        <v>1.7394310000000001E-3</v>
      </c>
      <c r="J166" s="269">
        <v>1.5383180000000001</v>
      </c>
      <c r="K166" s="272">
        <f t="shared" si="7"/>
        <v>1.5383180000000001E-3</v>
      </c>
      <c r="M166" s="47"/>
      <c r="N166" s="47"/>
      <c r="P166" s="114">
        <v>1.913374E-3</v>
      </c>
      <c r="Q166" s="269">
        <v>1.6921489999999999</v>
      </c>
      <c r="R166" s="272">
        <f t="shared" si="8"/>
        <v>1.692149E-3</v>
      </c>
    </row>
    <row r="167" spans="2:18" ht="15" customHeight="1" x14ac:dyDescent="0.25">
      <c r="B167" s="114">
        <v>0.12919169999999999</v>
      </c>
      <c r="C167" s="269">
        <v>3.1821980000000001</v>
      </c>
      <c r="D167" s="272">
        <f t="shared" si="6"/>
        <v>3.1821980000000002E-3</v>
      </c>
      <c r="F167" s="47"/>
      <c r="G167" s="47"/>
      <c r="H167" s="103"/>
      <c r="I167" s="114">
        <v>1.751184E-3</v>
      </c>
      <c r="J167" s="269">
        <v>1.5439909999999999</v>
      </c>
      <c r="K167" s="272">
        <f t="shared" si="7"/>
        <v>1.543991E-3</v>
      </c>
      <c r="M167" s="47"/>
      <c r="N167" s="47"/>
      <c r="P167" s="114">
        <v>1.926302E-3</v>
      </c>
      <c r="Q167" s="269">
        <v>1.6983900000000001</v>
      </c>
      <c r="R167" s="272">
        <f t="shared" si="8"/>
        <v>1.6983900000000001E-3</v>
      </c>
    </row>
    <row r="168" spans="2:18" ht="15" customHeight="1" x14ac:dyDescent="0.25">
      <c r="B168" s="114">
        <v>0.1300588</v>
      </c>
      <c r="C168" s="269">
        <v>3.2035550000000002</v>
      </c>
      <c r="D168" s="272">
        <f t="shared" si="6"/>
        <v>3.2035550000000003E-3</v>
      </c>
      <c r="F168" s="47"/>
      <c r="G168" s="47"/>
      <c r="H168" s="103"/>
      <c r="I168" s="114">
        <v>1.762937E-3</v>
      </c>
      <c r="J168" s="269">
        <v>1.549652</v>
      </c>
      <c r="K168" s="272">
        <f t="shared" si="7"/>
        <v>1.5496520000000001E-3</v>
      </c>
      <c r="M168" s="47"/>
      <c r="N168" s="47"/>
      <c r="P168" s="114">
        <v>1.9392299999999999E-3</v>
      </c>
      <c r="Q168" s="269">
        <v>1.704618</v>
      </c>
      <c r="R168" s="272">
        <f t="shared" si="8"/>
        <v>1.704618E-3</v>
      </c>
    </row>
    <row r="169" spans="2:18" ht="15" customHeight="1" x14ac:dyDescent="0.25">
      <c r="B169" s="114">
        <v>0.13092580000000001</v>
      </c>
      <c r="C169" s="269">
        <v>3.2249119999999998</v>
      </c>
      <c r="D169" s="272">
        <f t="shared" si="6"/>
        <v>3.2249119999999999E-3</v>
      </c>
      <c r="F169" s="47"/>
      <c r="G169" s="47"/>
      <c r="H169" s="103"/>
      <c r="I169" s="114">
        <v>1.7746890000000001E-3</v>
      </c>
      <c r="J169" s="269">
        <v>1.555302</v>
      </c>
      <c r="K169" s="272">
        <f t="shared" si="7"/>
        <v>1.5553019999999999E-3</v>
      </c>
      <c r="M169" s="47"/>
      <c r="N169" s="47"/>
      <c r="P169" s="114">
        <v>1.9521580000000001E-3</v>
      </c>
      <c r="Q169" s="269">
        <v>1.7108319999999999</v>
      </c>
      <c r="R169" s="272">
        <f t="shared" si="8"/>
        <v>1.7108319999999998E-3</v>
      </c>
    </row>
    <row r="170" spans="2:18" ht="15" customHeight="1" x14ac:dyDescent="0.25">
      <c r="B170" s="114">
        <v>0.13179289999999999</v>
      </c>
      <c r="C170" s="269">
        <v>3.2462689999999998</v>
      </c>
      <c r="D170" s="272">
        <f t="shared" si="6"/>
        <v>3.246269E-3</v>
      </c>
      <c r="F170" s="47"/>
      <c r="G170" s="47"/>
      <c r="H170" s="103"/>
      <c r="I170" s="114">
        <v>1.7864420000000001E-3</v>
      </c>
      <c r="J170" s="269">
        <v>1.56094</v>
      </c>
      <c r="K170" s="272">
        <f t="shared" si="7"/>
        <v>1.56094E-3</v>
      </c>
      <c r="M170" s="47"/>
      <c r="N170" s="47"/>
      <c r="P170" s="114">
        <v>1.9650869999999999E-3</v>
      </c>
      <c r="Q170" s="269">
        <v>1.7170339999999999</v>
      </c>
      <c r="R170" s="272">
        <f t="shared" si="8"/>
        <v>1.7170339999999999E-3</v>
      </c>
    </row>
    <row r="171" spans="2:18" ht="15" customHeight="1" x14ac:dyDescent="0.25">
      <c r="B171" s="114">
        <v>0.13266</v>
      </c>
      <c r="C171" s="269">
        <v>3.2676259999999999</v>
      </c>
      <c r="D171" s="272">
        <f t="shared" si="6"/>
        <v>3.267626E-3</v>
      </c>
      <c r="F171" s="47"/>
      <c r="G171" s="47"/>
      <c r="H171" s="103"/>
      <c r="I171" s="114">
        <v>1.798195E-3</v>
      </c>
      <c r="J171" s="269">
        <v>1.566567</v>
      </c>
      <c r="K171" s="272">
        <f t="shared" si="7"/>
        <v>1.566567E-3</v>
      </c>
      <c r="M171" s="47"/>
      <c r="N171" s="47"/>
      <c r="P171" s="114">
        <v>1.9780150000000001E-3</v>
      </c>
      <c r="Q171" s="269">
        <v>1.7232229999999999</v>
      </c>
      <c r="R171" s="272">
        <f t="shared" si="8"/>
        <v>1.7232229999999999E-3</v>
      </c>
    </row>
    <row r="172" spans="2:18" ht="15" customHeight="1" x14ac:dyDescent="0.25">
      <c r="B172" s="114">
        <v>0.13352700000000001</v>
      </c>
      <c r="C172" s="269">
        <v>3.288983</v>
      </c>
      <c r="D172" s="272">
        <f t="shared" si="6"/>
        <v>3.2889830000000001E-3</v>
      </c>
      <c r="F172" s="47"/>
      <c r="G172" s="47"/>
      <c r="H172" s="103"/>
      <c r="I172" s="114">
        <v>1.809948E-3</v>
      </c>
      <c r="J172" s="269">
        <v>1.5721830000000001</v>
      </c>
      <c r="K172" s="272">
        <f t="shared" si="7"/>
        <v>1.572183E-3</v>
      </c>
      <c r="M172" s="47"/>
      <c r="N172" s="47"/>
      <c r="P172" s="114">
        <v>1.9909429999999998E-3</v>
      </c>
      <c r="Q172" s="269">
        <v>1.729401</v>
      </c>
      <c r="R172" s="272">
        <f t="shared" si="8"/>
        <v>1.729401E-3</v>
      </c>
    </row>
    <row r="173" spans="2:18" ht="15" customHeight="1" x14ac:dyDescent="0.25">
      <c r="B173" s="114">
        <v>0.13439409999999999</v>
      </c>
      <c r="C173" s="269">
        <v>3.3103400000000001</v>
      </c>
      <c r="D173" s="272">
        <f t="shared" si="6"/>
        <v>3.3103400000000002E-3</v>
      </c>
      <c r="F173" s="47"/>
      <c r="G173" s="47"/>
      <c r="H173" s="103"/>
      <c r="I173" s="114">
        <v>1.821701E-3</v>
      </c>
      <c r="J173" s="269">
        <v>1.5777890000000001</v>
      </c>
      <c r="K173" s="272">
        <f t="shared" si="7"/>
        <v>1.577789E-3</v>
      </c>
      <c r="M173" s="47"/>
      <c r="N173" s="47"/>
      <c r="P173" s="114">
        <v>2.003871E-3</v>
      </c>
      <c r="Q173" s="269">
        <v>1.735568</v>
      </c>
      <c r="R173" s="272">
        <f t="shared" si="8"/>
        <v>1.735568E-3</v>
      </c>
    </row>
    <row r="174" spans="2:18" ht="15" customHeight="1" x14ac:dyDescent="0.25">
      <c r="B174" s="114">
        <v>0.1352611</v>
      </c>
      <c r="C174" s="269">
        <v>3.3316970000000001</v>
      </c>
      <c r="D174" s="272">
        <f t="shared" si="6"/>
        <v>3.3316970000000002E-3</v>
      </c>
      <c r="F174" s="47"/>
      <c r="G174" s="47"/>
      <c r="H174" s="103"/>
      <c r="I174" s="114">
        <v>1.833454E-3</v>
      </c>
      <c r="J174" s="269">
        <v>1.5833839999999999</v>
      </c>
      <c r="K174" s="272">
        <f t="shared" si="7"/>
        <v>1.583384E-3</v>
      </c>
      <c r="M174" s="47"/>
      <c r="N174" s="47"/>
      <c r="P174" s="114">
        <v>2.0167990000000001E-3</v>
      </c>
      <c r="Q174" s="269">
        <v>1.7417229999999999</v>
      </c>
      <c r="R174" s="272">
        <f t="shared" si="8"/>
        <v>1.7417229999999999E-3</v>
      </c>
    </row>
    <row r="175" spans="2:18" ht="15" customHeight="1" x14ac:dyDescent="0.25">
      <c r="B175" s="114">
        <v>0.1361282</v>
      </c>
      <c r="C175" s="269">
        <v>3.3530540000000002</v>
      </c>
      <c r="D175" s="272">
        <f t="shared" si="6"/>
        <v>3.3530540000000003E-3</v>
      </c>
      <c r="F175" s="47"/>
      <c r="G175" s="47"/>
      <c r="H175" s="103"/>
      <c r="I175" s="114">
        <v>1.845207E-3</v>
      </c>
      <c r="J175" s="269">
        <v>1.58897</v>
      </c>
      <c r="K175" s="272">
        <f t="shared" si="7"/>
        <v>1.5889700000000001E-3</v>
      </c>
      <c r="M175" s="47"/>
      <c r="N175" s="47"/>
      <c r="P175" s="114">
        <v>2.0297280000000002E-3</v>
      </c>
      <c r="Q175" s="269">
        <v>1.7478670000000001</v>
      </c>
      <c r="R175" s="272">
        <f t="shared" si="8"/>
        <v>1.747867E-3</v>
      </c>
    </row>
    <row r="176" spans="2:18" ht="15" customHeight="1" x14ac:dyDescent="0.25">
      <c r="B176" s="114">
        <v>0.13699520000000001</v>
      </c>
      <c r="C176" s="269">
        <v>3.3744109999999998</v>
      </c>
      <c r="D176" s="272">
        <f t="shared" si="6"/>
        <v>3.3744109999999999E-3</v>
      </c>
      <c r="F176" s="47"/>
      <c r="G176" s="47"/>
      <c r="H176" s="103"/>
      <c r="I176" s="114">
        <v>1.8569599999999999E-3</v>
      </c>
      <c r="J176" s="269">
        <v>1.594546</v>
      </c>
      <c r="K176" s="272">
        <f t="shared" si="7"/>
        <v>1.5945460000000001E-3</v>
      </c>
      <c r="M176" s="47"/>
      <c r="N176" s="47"/>
      <c r="P176" s="114">
        <v>2.0426559999999999E-3</v>
      </c>
      <c r="Q176" s="269">
        <v>1.7540009999999999</v>
      </c>
      <c r="R176" s="272">
        <f t="shared" si="8"/>
        <v>1.7540009999999998E-3</v>
      </c>
    </row>
    <row r="177" spans="2:18" ht="15" customHeight="1" x14ac:dyDescent="0.25">
      <c r="B177" s="114">
        <v>0.13786229999999999</v>
      </c>
      <c r="C177" s="269">
        <v>3.3957679999999999</v>
      </c>
      <c r="D177" s="272">
        <f t="shared" si="6"/>
        <v>3.395768E-3</v>
      </c>
      <c r="F177" s="47"/>
      <c r="G177" s="47"/>
      <c r="H177" s="103"/>
      <c r="I177" s="114">
        <v>1.8687129999999999E-3</v>
      </c>
      <c r="J177" s="269">
        <v>1.6001129999999999</v>
      </c>
      <c r="K177" s="272">
        <f t="shared" si="7"/>
        <v>1.6001129999999998E-3</v>
      </c>
      <c r="M177" s="47"/>
      <c r="N177" s="47"/>
      <c r="P177" s="114">
        <v>2.0555840000000001E-3</v>
      </c>
      <c r="Q177" s="269">
        <v>1.760124</v>
      </c>
      <c r="R177" s="272">
        <f t="shared" si="8"/>
        <v>1.7601240000000001E-3</v>
      </c>
    </row>
    <row r="178" spans="2:18" ht="15" customHeight="1" x14ac:dyDescent="0.25">
      <c r="B178" s="114">
        <v>0.1387294</v>
      </c>
      <c r="C178" s="269">
        <v>3.417125</v>
      </c>
      <c r="D178" s="272">
        <f t="shared" si="6"/>
        <v>3.417125E-3</v>
      </c>
      <c r="F178" s="47"/>
      <c r="G178" s="47"/>
      <c r="H178" s="103"/>
      <c r="I178" s="114">
        <v>1.8804659999999999E-3</v>
      </c>
      <c r="J178" s="269">
        <v>1.6056710000000001</v>
      </c>
      <c r="K178" s="272">
        <f t="shared" si="7"/>
        <v>1.6056710000000001E-3</v>
      </c>
      <c r="M178" s="47"/>
      <c r="N178" s="47"/>
      <c r="P178" s="114">
        <v>2.0685120000000002E-3</v>
      </c>
      <c r="Q178" s="269">
        <v>1.766238</v>
      </c>
      <c r="R178" s="272">
        <f t="shared" si="8"/>
        <v>1.7662380000000001E-3</v>
      </c>
    </row>
    <row r="179" spans="2:18" ht="15" customHeight="1" x14ac:dyDescent="0.25">
      <c r="B179" s="114">
        <v>0.13959640000000001</v>
      </c>
      <c r="C179" s="269">
        <v>3.4384830000000002</v>
      </c>
      <c r="D179" s="272">
        <f t="shared" si="6"/>
        <v>3.438483E-3</v>
      </c>
      <c r="F179" s="47"/>
      <c r="G179" s="47"/>
      <c r="H179" s="103"/>
      <c r="I179" s="114">
        <v>1.8922190000000001E-3</v>
      </c>
      <c r="J179" s="269">
        <v>1.6112200000000001</v>
      </c>
      <c r="K179" s="272">
        <f t="shared" si="7"/>
        <v>1.61122E-3</v>
      </c>
      <c r="M179" s="47"/>
      <c r="N179" s="47"/>
      <c r="P179" s="114">
        <v>2.0814399999999999E-3</v>
      </c>
      <c r="Q179" s="269">
        <v>1.7723420000000001</v>
      </c>
      <c r="R179" s="272">
        <f t="shared" si="8"/>
        <v>1.7723420000000001E-3</v>
      </c>
    </row>
    <row r="180" spans="2:18" ht="15" customHeight="1" x14ac:dyDescent="0.25">
      <c r="B180" s="114">
        <v>0.14046349999999999</v>
      </c>
      <c r="C180" s="269">
        <v>3.4598399999999998</v>
      </c>
      <c r="D180" s="272">
        <f t="shared" si="6"/>
        <v>3.4598399999999996E-3</v>
      </c>
      <c r="F180" s="47"/>
      <c r="G180" s="47"/>
      <c r="H180" s="103"/>
      <c r="I180" s="114">
        <v>1.903971E-3</v>
      </c>
      <c r="J180" s="269">
        <v>1.61676</v>
      </c>
      <c r="K180" s="272">
        <f t="shared" si="7"/>
        <v>1.6167600000000001E-3</v>
      </c>
      <c r="M180" s="47"/>
      <c r="N180" s="47"/>
      <c r="P180" s="114">
        <v>2.094369E-3</v>
      </c>
      <c r="Q180" s="269">
        <v>1.7784359999999999</v>
      </c>
      <c r="R180" s="272">
        <f t="shared" si="8"/>
        <v>1.778436E-3</v>
      </c>
    </row>
    <row r="181" spans="2:18" ht="15" customHeight="1" x14ac:dyDescent="0.25">
      <c r="B181" s="114">
        <v>0.1413305</v>
      </c>
      <c r="C181" s="269">
        <v>3.4811969999999999</v>
      </c>
      <c r="D181" s="272">
        <f t="shared" si="6"/>
        <v>3.4811969999999997E-3</v>
      </c>
      <c r="F181" s="47"/>
      <c r="G181" s="47"/>
      <c r="H181" s="103"/>
      <c r="I181" s="114">
        <v>1.9157239999999999E-3</v>
      </c>
      <c r="J181" s="269">
        <v>1.6222920000000001</v>
      </c>
      <c r="K181" s="272">
        <f t="shared" si="7"/>
        <v>1.622292E-3</v>
      </c>
      <c r="M181" s="47"/>
      <c r="N181" s="47"/>
      <c r="P181" s="114">
        <v>2.1072970000000002E-3</v>
      </c>
      <c r="Q181" s="269">
        <v>1.7845219999999999</v>
      </c>
      <c r="R181" s="272">
        <f t="shared" si="8"/>
        <v>1.784522E-3</v>
      </c>
    </row>
    <row r="182" spans="2:18" ht="15" customHeight="1" x14ac:dyDescent="0.25">
      <c r="B182" s="114">
        <v>0.14219760000000001</v>
      </c>
      <c r="C182" s="269">
        <v>3.5025539999999999</v>
      </c>
      <c r="D182" s="272">
        <f t="shared" si="6"/>
        <v>3.5025539999999997E-3</v>
      </c>
      <c r="F182" s="47"/>
      <c r="G182" s="47"/>
      <c r="H182" s="103"/>
      <c r="I182" s="114">
        <v>1.9274769999999999E-3</v>
      </c>
      <c r="J182" s="269">
        <v>1.6278159999999999</v>
      </c>
      <c r="K182" s="272">
        <f t="shared" si="7"/>
        <v>1.627816E-3</v>
      </c>
      <c r="M182" s="47"/>
      <c r="N182" s="47"/>
      <c r="P182" s="114">
        <v>2.1202249999999999E-3</v>
      </c>
      <c r="Q182" s="269">
        <v>1.7905979999999999</v>
      </c>
      <c r="R182" s="272">
        <f t="shared" si="8"/>
        <v>1.790598E-3</v>
      </c>
    </row>
    <row r="183" spans="2:18" ht="15" customHeight="1" x14ac:dyDescent="0.25">
      <c r="B183" s="114">
        <v>0.14306469999999999</v>
      </c>
      <c r="C183" s="269">
        <v>3.523911</v>
      </c>
      <c r="D183" s="272">
        <f t="shared" si="6"/>
        <v>3.5239110000000002E-3</v>
      </c>
      <c r="F183" s="47"/>
      <c r="G183" s="47"/>
      <c r="H183" s="103"/>
      <c r="I183" s="114">
        <v>1.9392299999999999E-3</v>
      </c>
      <c r="J183" s="269">
        <v>1.633332</v>
      </c>
      <c r="K183" s="272">
        <f t="shared" si="7"/>
        <v>1.6333319999999999E-3</v>
      </c>
      <c r="M183" s="47"/>
      <c r="N183" s="47"/>
      <c r="P183" s="114">
        <v>2.133153E-3</v>
      </c>
      <c r="Q183" s="269">
        <v>1.7966660000000001</v>
      </c>
      <c r="R183" s="272">
        <f t="shared" si="8"/>
        <v>1.7966660000000001E-3</v>
      </c>
    </row>
    <row r="184" spans="2:18" ht="15" customHeight="1" x14ac:dyDescent="0.25">
      <c r="B184" s="114">
        <v>0.1439317</v>
      </c>
      <c r="C184" s="269">
        <v>3.5452680000000001</v>
      </c>
      <c r="D184" s="272">
        <f t="shared" si="6"/>
        <v>3.5452680000000003E-3</v>
      </c>
      <c r="F184" s="47"/>
      <c r="G184" s="47"/>
      <c r="H184" s="103"/>
      <c r="I184" s="114">
        <v>1.9509830000000001E-3</v>
      </c>
      <c r="J184" s="269">
        <v>1.638841</v>
      </c>
      <c r="K184" s="272">
        <f t="shared" si="7"/>
        <v>1.638841E-3</v>
      </c>
      <c r="M184" s="47"/>
      <c r="N184" s="47"/>
      <c r="P184" s="114">
        <v>2.1460810000000002E-3</v>
      </c>
      <c r="Q184" s="269">
        <v>1.8027249999999999</v>
      </c>
      <c r="R184" s="272">
        <f t="shared" si="8"/>
        <v>1.8027249999999998E-3</v>
      </c>
    </row>
    <row r="185" spans="2:18" ht="15" customHeight="1" x14ac:dyDescent="0.25">
      <c r="B185" s="114">
        <v>0.14479880000000001</v>
      </c>
      <c r="C185" s="269">
        <v>3.5666250000000002</v>
      </c>
      <c r="D185" s="272">
        <f t="shared" si="6"/>
        <v>3.5666250000000004E-3</v>
      </c>
      <c r="F185" s="47"/>
      <c r="G185" s="47"/>
      <c r="H185" s="103"/>
      <c r="I185" s="114">
        <v>1.9627360000000001E-3</v>
      </c>
      <c r="J185" s="269">
        <v>1.644342</v>
      </c>
      <c r="K185" s="272">
        <f t="shared" si="7"/>
        <v>1.644342E-3</v>
      </c>
      <c r="M185" s="47"/>
      <c r="N185" s="47"/>
      <c r="P185" s="114">
        <v>2.1590099999999998E-3</v>
      </c>
      <c r="Q185" s="269">
        <v>1.8087759999999999</v>
      </c>
      <c r="R185" s="272">
        <f t="shared" si="8"/>
        <v>1.808776E-3</v>
      </c>
    </row>
    <row r="186" spans="2:18" ht="15" customHeight="1" x14ac:dyDescent="0.25">
      <c r="B186" s="114">
        <v>0.14566580000000001</v>
      </c>
      <c r="C186" s="269">
        <v>3.5879819999999998</v>
      </c>
      <c r="D186" s="272">
        <f t="shared" si="6"/>
        <v>3.587982E-3</v>
      </c>
      <c r="F186" s="47"/>
      <c r="G186" s="47"/>
      <c r="H186" s="103"/>
      <c r="I186" s="114">
        <v>1.9744889999999998E-3</v>
      </c>
      <c r="J186" s="269">
        <v>1.6498349999999999</v>
      </c>
      <c r="K186" s="272">
        <f t="shared" si="7"/>
        <v>1.6498349999999999E-3</v>
      </c>
      <c r="M186" s="47"/>
      <c r="N186" s="47"/>
      <c r="P186" s="114">
        <v>2.171938E-3</v>
      </c>
      <c r="Q186" s="269">
        <v>1.814819</v>
      </c>
      <c r="R186" s="272">
        <f t="shared" si="8"/>
        <v>1.8148190000000001E-3</v>
      </c>
    </row>
    <row r="187" spans="2:18" ht="15" customHeight="1" x14ac:dyDescent="0.25">
      <c r="B187" s="114">
        <v>0.14653289999999999</v>
      </c>
      <c r="C187" s="269">
        <v>3.6093389999999999</v>
      </c>
      <c r="D187" s="272">
        <f t="shared" si="6"/>
        <v>3.609339E-3</v>
      </c>
      <c r="F187" s="47"/>
      <c r="G187" s="47"/>
      <c r="H187" s="103"/>
      <c r="I187" s="114">
        <v>1.986242E-3</v>
      </c>
      <c r="J187" s="269">
        <v>1.655322</v>
      </c>
      <c r="K187" s="272">
        <f t="shared" si="7"/>
        <v>1.6553219999999999E-3</v>
      </c>
      <c r="M187" s="47"/>
      <c r="N187" s="47"/>
      <c r="P187" s="114">
        <v>2.1848660000000002E-3</v>
      </c>
      <c r="Q187" s="269">
        <v>1.820854</v>
      </c>
      <c r="R187" s="272">
        <f t="shared" si="8"/>
        <v>1.820854E-3</v>
      </c>
    </row>
    <row r="188" spans="2:18" ht="15" customHeight="1" x14ac:dyDescent="0.25">
      <c r="B188" s="114">
        <v>0.1473999</v>
      </c>
      <c r="C188" s="269">
        <v>3.6306959999999999</v>
      </c>
      <c r="D188" s="272">
        <f t="shared" si="6"/>
        <v>3.6306960000000001E-3</v>
      </c>
      <c r="F188" s="47"/>
      <c r="G188" s="47"/>
      <c r="H188" s="103"/>
      <c r="I188" s="114">
        <v>1.9979949999999998E-3</v>
      </c>
      <c r="J188" s="269">
        <v>1.660801</v>
      </c>
      <c r="K188" s="272">
        <f t="shared" si="7"/>
        <v>1.6608009999999999E-3</v>
      </c>
      <c r="M188" s="47"/>
      <c r="N188" s="47"/>
      <c r="P188" s="114">
        <v>2.1977939999999999E-3</v>
      </c>
      <c r="Q188" s="269">
        <v>1.8268819999999999</v>
      </c>
      <c r="R188" s="272">
        <f t="shared" si="8"/>
        <v>1.8268819999999999E-3</v>
      </c>
    </row>
    <row r="189" spans="2:18" ht="15" customHeight="1" x14ac:dyDescent="0.25">
      <c r="B189" s="114">
        <v>0.14826700000000001</v>
      </c>
      <c r="C189" s="269">
        <v>3.652053</v>
      </c>
      <c r="D189" s="272">
        <f t="shared" si="6"/>
        <v>3.6520530000000002E-3</v>
      </c>
      <c r="F189" s="47"/>
      <c r="G189" s="47"/>
      <c r="H189" s="103"/>
      <c r="I189" s="114">
        <v>2.009748E-3</v>
      </c>
      <c r="J189" s="269">
        <v>1.666274</v>
      </c>
      <c r="K189" s="272">
        <f t="shared" si="7"/>
        <v>1.6662740000000001E-3</v>
      </c>
      <c r="M189" s="47"/>
      <c r="N189" s="47"/>
      <c r="P189" s="114">
        <v>2.210722E-3</v>
      </c>
      <c r="Q189" s="269">
        <v>1.832902</v>
      </c>
      <c r="R189" s="272">
        <f t="shared" si="8"/>
        <v>1.832902E-3</v>
      </c>
    </row>
    <row r="190" spans="2:18" ht="15" customHeight="1" x14ac:dyDescent="0.25">
      <c r="B190" s="114">
        <v>0.14913409999999999</v>
      </c>
      <c r="C190" s="269">
        <v>3.6734100000000001</v>
      </c>
      <c r="D190" s="272">
        <f t="shared" si="6"/>
        <v>3.6734100000000002E-3</v>
      </c>
      <c r="F190" s="47"/>
      <c r="G190" s="47"/>
      <c r="H190" s="103"/>
      <c r="I190" s="114">
        <v>2.0215010000000002E-3</v>
      </c>
      <c r="J190" s="269">
        <v>1.67174</v>
      </c>
      <c r="K190" s="272">
        <f t="shared" si="7"/>
        <v>1.6717399999999999E-3</v>
      </c>
      <c r="M190" s="47"/>
      <c r="N190" s="47"/>
      <c r="P190" s="114">
        <v>2.2236510000000001E-3</v>
      </c>
      <c r="Q190" s="269">
        <v>1.8389150000000001</v>
      </c>
      <c r="R190" s="272">
        <f t="shared" si="8"/>
        <v>1.838915E-3</v>
      </c>
    </row>
    <row r="191" spans="2:18" ht="15" customHeight="1" x14ac:dyDescent="0.25">
      <c r="B191" s="114">
        <v>0.1500011</v>
      </c>
      <c r="C191" s="269">
        <v>3.6947670000000001</v>
      </c>
      <c r="D191" s="272">
        <f t="shared" si="6"/>
        <v>3.6947670000000003E-3</v>
      </c>
      <c r="F191" s="47"/>
      <c r="G191" s="47"/>
      <c r="H191" s="103"/>
      <c r="I191" s="114">
        <v>2.0332530000000001E-3</v>
      </c>
      <c r="J191" s="269">
        <v>1.6772</v>
      </c>
      <c r="K191" s="272">
        <f t="shared" si="7"/>
        <v>1.6772E-3</v>
      </c>
      <c r="M191" s="47"/>
      <c r="N191" s="47"/>
      <c r="P191" s="114">
        <v>2.2365789999999998E-3</v>
      </c>
      <c r="Q191" s="269">
        <v>1.8449199999999999</v>
      </c>
      <c r="R191" s="272">
        <f t="shared" si="8"/>
        <v>1.8449199999999999E-3</v>
      </c>
    </row>
    <row r="192" spans="2:18" ht="15" customHeight="1" x14ac:dyDescent="0.25">
      <c r="B192" s="114">
        <v>0.15086820000000001</v>
      </c>
      <c r="C192" s="269">
        <v>3.7161240000000002</v>
      </c>
      <c r="D192" s="272">
        <f t="shared" si="6"/>
        <v>3.7161240000000003E-3</v>
      </c>
      <c r="F192" s="47"/>
      <c r="G192" s="47"/>
      <c r="H192" s="103"/>
      <c r="I192" s="114">
        <v>2.0450059999999998E-3</v>
      </c>
      <c r="J192" s="269">
        <v>1.6826540000000001</v>
      </c>
      <c r="K192" s="272">
        <f t="shared" si="7"/>
        <v>1.682654E-3</v>
      </c>
      <c r="M192" s="47"/>
      <c r="N192" s="47"/>
      <c r="P192" s="114">
        <v>2.249507E-3</v>
      </c>
      <c r="Q192" s="269">
        <v>1.850919</v>
      </c>
      <c r="R192" s="272">
        <f t="shared" si="8"/>
        <v>1.8509189999999999E-3</v>
      </c>
    </row>
    <row r="193" spans="2:18" ht="15" customHeight="1" x14ac:dyDescent="0.25">
      <c r="B193" s="114">
        <v>0.15173519999999999</v>
      </c>
      <c r="C193" s="269">
        <v>3.7374809999999998</v>
      </c>
      <c r="D193" s="272">
        <f t="shared" si="6"/>
        <v>3.737481E-3</v>
      </c>
      <c r="F193" s="47"/>
      <c r="G193" s="47"/>
      <c r="H193" s="103"/>
      <c r="I193" s="114">
        <v>2.056759E-3</v>
      </c>
      <c r="J193" s="269">
        <v>1.6881010000000001</v>
      </c>
      <c r="K193" s="272">
        <f t="shared" si="7"/>
        <v>1.688101E-3</v>
      </c>
      <c r="M193" s="47"/>
      <c r="N193" s="47"/>
      <c r="P193" s="114">
        <v>2.2624350000000001E-3</v>
      </c>
      <c r="Q193" s="269">
        <v>1.8569119999999999</v>
      </c>
      <c r="R193" s="272">
        <f t="shared" si="8"/>
        <v>1.8569119999999998E-3</v>
      </c>
    </row>
    <row r="194" spans="2:18" ht="15" customHeight="1" x14ac:dyDescent="0.25">
      <c r="B194" s="114">
        <v>0.1526023</v>
      </c>
      <c r="C194" s="269">
        <v>3.7588379999999999</v>
      </c>
      <c r="D194" s="272">
        <f t="shared" si="6"/>
        <v>3.758838E-3</v>
      </c>
      <c r="F194" s="47"/>
      <c r="G194" s="47"/>
      <c r="H194" s="103"/>
      <c r="I194" s="114">
        <v>2.0685120000000002E-3</v>
      </c>
      <c r="J194" s="269">
        <v>1.693543</v>
      </c>
      <c r="K194" s="272">
        <f t="shared" si="7"/>
        <v>1.693543E-3</v>
      </c>
      <c r="M194" s="47"/>
      <c r="N194" s="47"/>
      <c r="P194" s="114">
        <v>2.2753629999999999E-3</v>
      </c>
      <c r="Q194" s="269">
        <v>1.862897</v>
      </c>
      <c r="R194" s="272">
        <f t="shared" si="8"/>
        <v>1.8628970000000001E-3</v>
      </c>
    </row>
    <row r="195" spans="2:18" ht="15" customHeight="1" x14ac:dyDescent="0.25">
      <c r="B195" s="114">
        <v>0.15346940000000001</v>
      </c>
      <c r="C195" s="269">
        <v>3.780195</v>
      </c>
      <c r="D195" s="272">
        <f t="shared" si="6"/>
        <v>3.7801950000000001E-3</v>
      </c>
      <c r="F195" s="47"/>
      <c r="G195" s="47"/>
      <c r="H195" s="103"/>
      <c r="I195" s="114">
        <v>2.080265E-3</v>
      </c>
      <c r="J195" s="269">
        <v>1.698979</v>
      </c>
      <c r="K195" s="272">
        <f t="shared" si="7"/>
        <v>1.698979E-3</v>
      </c>
      <c r="M195" s="47"/>
      <c r="N195" s="47"/>
      <c r="P195" s="114">
        <v>2.2882919999999999E-3</v>
      </c>
      <c r="Q195" s="269">
        <v>1.8688769999999999</v>
      </c>
      <c r="R195" s="272">
        <f t="shared" si="8"/>
        <v>1.8688769999999999E-3</v>
      </c>
    </row>
    <row r="196" spans="2:18" ht="15" customHeight="1" x14ac:dyDescent="0.25">
      <c r="B196" s="114">
        <v>0.15433640000000001</v>
      </c>
      <c r="C196" s="269">
        <v>3.801552</v>
      </c>
      <c r="D196" s="272">
        <f t="shared" si="6"/>
        <v>3.8015520000000001E-3</v>
      </c>
      <c r="F196" s="47"/>
      <c r="G196" s="47"/>
      <c r="H196" s="103"/>
      <c r="I196" s="114">
        <v>2.0920180000000002E-3</v>
      </c>
      <c r="J196" s="269">
        <v>1.7044090000000001</v>
      </c>
      <c r="K196" s="272">
        <f t="shared" si="7"/>
        <v>1.704409E-3</v>
      </c>
      <c r="M196" s="47"/>
      <c r="N196" s="47"/>
      <c r="P196" s="114">
        <v>2.3012200000000001E-3</v>
      </c>
      <c r="Q196" s="269">
        <v>1.8748499999999999</v>
      </c>
      <c r="R196" s="272">
        <f t="shared" si="8"/>
        <v>1.87485E-3</v>
      </c>
    </row>
    <row r="197" spans="2:18" ht="15" customHeight="1" x14ac:dyDescent="0.25">
      <c r="B197" s="114">
        <v>0.15520349999999999</v>
      </c>
      <c r="C197" s="269">
        <v>3.8229090000000001</v>
      </c>
      <c r="D197" s="272">
        <f t="shared" si="6"/>
        <v>3.8229090000000002E-3</v>
      </c>
      <c r="F197" s="47"/>
      <c r="G197" s="47"/>
      <c r="H197" s="103"/>
      <c r="I197" s="114">
        <v>2.1037709999999999E-3</v>
      </c>
      <c r="J197" s="269">
        <v>1.7098329999999999</v>
      </c>
      <c r="K197" s="272">
        <f t="shared" si="7"/>
        <v>1.709833E-3</v>
      </c>
      <c r="M197" s="47"/>
      <c r="N197" s="47"/>
      <c r="P197" s="114">
        <v>2.3141479999999998E-3</v>
      </c>
      <c r="Q197" s="269">
        <v>1.880817</v>
      </c>
      <c r="R197" s="272">
        <f t="shared" si="8"/>
        <v>1.8808169999999999E-3</v>
      </c>
    </row>
    <row r="198" spans="2:18" ht="15" customHeight="1" x14ac:dyDescent="0.25">
      <c r="B198" s="114">
        <v>0.1560705</v>
      </c>
      <c r="C198" s="269">
        <v>3.8442660000000002</v>
      </c>
      <c r="D198" s="272">
        <f t="shared" si="6"/>
        <v>3.8442660000000003E-3</v>
      </c>
      <c r="F198" s="47"/>
      <c r="G198" s="47"/>
      <c r="H198" s="103"/>
      <c r="I198" s="114">
        <v>2.1155240000000001E-3</v>
      </c>
      <c r="J198" s="269">
        <v>1.715252</v>
      </c>
      <c r="K198" s="272">
        <f t="shared" si="7"/>
        <v>1.715252E-3</v>
      </c>
      <c r="M198" s="47"/>
      <c r="N198" s="47"/>
      <c r="P198" s="114">
        <v>2.327076E-3</v>
      </c>
      <c r="Q198" s="269">
        <v>1.8867780000000001</v>
      </c>
      <c r="R198" s="272">
        <f t="shared" si="8"/>
        <v>1.886778E-3</v>
      </c>
    </row>
    <row r="199" spans="2:18" ht="15" customHeight="1" x14ac:dyDescent="0.25">
      <c r="B199" s="114">
        <v>0.15693760000000001</v>
      </c>
      <c r="C199" s="269">
        <v>3.8656229999999998</v>
      </c>
      <c r="D199" s="272">
        <f t="shared" si="6"/>
        <v>3.8656229999999999E-3</v>
      </c>
      <c r="F199" s="47"/>
      <c r="G199" s="47"/>
      <c r="H199" s="103"/>
      <c r="I199" s="114">
        <v>2.1272769999999999E-3</v>
      </c>
      <c r="J199" s="269">
        <v>1.720666</v>
      </c>
      <c r="K199" s="272">
        <f t="shared" si="7"/>
        <v>1.720666E-3</v>
      </c>
      <c r="M199" s="47"/>
      <c r="N199" s="47"/>
      <c r="P199" s="114">
        <v>2.3400040000000001E-3</v>
      </c>
      <c r="Q199" s="269">
        <v>1.892733</v>
      </c>
      <c r="R199" s="272">
        <f t="shared" si="8"/>
        <v>1.892733E-3</v>
      </c>
    </row>
    <row r="200" spans="2:18" ht="15" customHeight="1" x14ac:dyDescent="0.25">
      <c r="B200" s="114">
        <v>0.15780459999999999</v>
      </c>
      <c r="C200" s="269">
        <v>3.8869799999999999</v>
      </c>
      <c r="D200" s="272">
        <f t="shared" si="6"/>
        <v>3.8869799999999999E-3</v>
      </c>
      <c r="F200" s="47"/>
      <c r="G200" s="47"/>
      <c r="H200" s="103"/>
      <c r="I200" s="114">
        <v>2.1390300000000001E-3</v>
      </c>
      <c r="J200" s="269">
        <v>1.726075</v>
      </c>
      <c r="K200" s="272">
        <f t="shared" si="7"/>
        <v>1.7260750000000001E-3</v>
      </c>
      <c r="M200" s="47"/>
      <c r="N200" s="47"/>
      <c r="P200" s="114">
        <v>2.3529330000000002E-3</v>
      </c>
      <c r="Q200" s="269">
        <v>1.8986829999999999</v>
      </c>
      <c r="R200" s="272">
        <f t="shared" si="8"/>
        <v>1.898683E-3</v>
      </c>
    </row>
    <row r="201" spans="2:18" ht="15" customHeight="1" x14ac:dyDescent="0.25">
      <c r="B201" s="114">
        <v>0.1586717</v>
      </c>
      <c r="C201" s="269">
        <v>3.908337</v>
      </c>
      <c r="D201" s="272">
        <f t="shared" si="6"/>
        <v>3.9083369999999996E-3</v>
      </c>
      <c r="F201" s="47"/>
      <c r="G201" s="47"/>
      <c r="H201" s="103"/>
      <c r="I201" s="114">
        <v>2.1507829999999999E-3</v>
      </c>
      <c r="J201" s="269">
        <v>1.731479</v>
      </c>
      <c r="K201" s="272">
        <f t="shared" si="7"/>
        <v>1.731479E-3</v>
      </c>
      <c r="M201" s="47"/>
      <c r="N201" s="47"/>
      <c r="P201" s="114">
        <v>2.3658609999999999E-3</v>
      </c>
      <c r="Q201" s="269">
        <v>1.9046270000000001</v>
      </c>
      <c r="R201" s="272">
        <f t="shared" si="8"/>
        <v>1.9046270000000001E-3</v>
      </c>
    </row>
    <row r="202" spans="2:18" ht="15" customHeight="1" x14ac:dyDescent="0.25">
      <c r="B202" s="114">
        <v>0.15953880000000001</v>
      </c>
      <c r="C202" s="269">
        <v>3.929694</v>
      </c>
      <c r="D202" s="272">
        <f t="shared" si="6"/>
        <v>3.9296940000000001E-3</v>
      </c>
      <c r="F202" s="47"/>
      <c r="G202" s="47"/>
      <c r="H202" s="103"/>
      <c r="I202" s="114">
        <v>2.1625350000000002E-3</v>
      </c>
      <c r="J202" s="269">
        <v>1.7368779999999999</v>
      </c>
      <c r="K202" s="272">
        <f t="shared" si="7"/>
        <v>1.7368779999999999E-3</v>
      </c>
      <c r="M202" s="47"/>
      <c r="N202" s="47"/>
      <c r="P202" s="114">
        <v>2.3787890000000001E-3</v>
      </c>
      <c r="Q202" s="269">
        <v>1.9105650000000001</v>
      </c>
      <c r="R202" s="272">
        <f t="shared" si="8"/>
        <v>1.9105650000000001E-3</v>
      </c>
    </row>
    <row r="203" spans="2:18" ht="15" customHeight="1" x14ac:dyDescent="0.25">
      <c r="B203" s="114">
        <v>0.16040579999999999</v>
      </c>
      <c r="C203" s="269">
        <v>3.9510510000000001</v>
      </c>
      <c r="D203" s="272">
        <f t="shared" si="6"/>
        <v>3.9510509999999997E-3</v>
      </c>
      <c r="F203" s="47"/>
      <c r="G203" s="47"/>
      <c r="H203" s="103"/>
      <c r="I203" s="114">
        <v>2.1742879999999999E-3</v>
      </c>
      <c r="J203" s="269">
        <v>1.742272</v>
      </c>
      <c r="K203" s="272">
        <f t="shared" si="7"/>
        <v>1.742272E-3</v>
      </c>
      <c r="M203" s="47"/>
      <c r="N203" s="47"/>
      <c r="P203" s="114">
        <v>2.3917169999999998E-3</v>
      </c>
      <c r="Q203" s="269">
        <v>1.916499</v>
      </c>
      <c r="R203" s="272">
        <f t="shared" si="8"/>
        <v>1.9164989999999999E-3</v>
      </c>
    </row>
    <row r="204" spans="2:18" ht="15" customHeight="1" x14ac:dyDescent="0.25">
      <c r="B204" s="114">
        <v>0.1612729</v>
      </c>
      <c r="C204" s="269">
        <v>3.9724080000000002</v>
      </c>
      <c r="D204" s="272">
        <f t="shared" si="6"/>
        <v>3.9724080000000002E-3</v>
      </c>
      <c r="F204" s="47"/>
      <c r="G204" s="47"/>
      <c r="H204" s="103"/>
      <c r="I204" s="114">
        <v>2.1860410000000001E-3</v>
      </c>
      <c r="J204" s="269">
        <v>1.7476609999999999</v>
      </c>
      <c r="K204" s="272">
        <f t="shared" si="7"/>
        <v>1.747661E-3</v>
      </c>
      <c r="M204" s="47"/>
      <c r="N204" s="47"/>
      <c r="P204" s="114">
        <v>2.404645E-3</v>
      </c>
      <c r="Q204" s="269">
        <v>1.9224270000000001</v>
      </c>
      <c r="R204" s="272">
        <f t="shared" si="8"/>
        <v>1.9224270000000002E-3</v>
      </c>
    </row>
    <row r="205" spans="2:18" ht="15" customHeight="1" x14ac:dyDescent="0.25">
      <c r="B205" s="114">
        <v>0.1621399</v>
      </c>
      <c r="C205" s="269">
        <v>3.9937649999999998</v>
      </c>
      <c r="D205" s="272">
        <f t="shared" si="6"/>
        <v>3.9937649999999998E-3</v>
      </c>
      <c r="F205" s="47"/>
      <c r="G205" s="47"/>
      <c r="H205" s="103"/>
      <c r="I205" s="114">
        <v>2.1977939999999999E-3</v>
      </c>
      <c r="J205" s="269">
        <v>1.7530460000000001</v>
      </c>
      <c r="K205" s="272">
        <f t="shared" si="7"/>
        <v>1.7530460000000001E-3</v>
      </c>
      <c r="M205" s="47"/>
      <c r="N205" s="47"/>
      <c r="P205" s="114">
        <v>2.417574E-3</v>
      </c>
      <c r="Q205" s="269">
        <v>1.92835</v>
      </c>
      <c r="R205" s="272">
        <f t="shared" si="8"/>
        <v>1.9283500000000001E-3</v>
      </c>
    </row>
    <row r="206" spans="2:18" ht="15" customHeight="1" x14ac:dyDescent="0.25">
      <c r="B206" s="114">
        <v>0.16300700000000001</v>
      </c>
      <c r="C206" s="269">
        <v>4.0151219999999999</v>
      </c>
      <c r="D206" s="272">
        <f t="shared" si="6"/>
        <v>4.0151219999999994E-3</v>
      </c>
      <c r="F206" s="47"/>
      <c r="G206" s="47"/>
      <c r="H206" s="103"/>
      <c r="I206" s="114">
        <v>2.2095470000000001E-3</v>
      </c>
      <c r="J206" s="269">
        <v>1.758426</v>
      </c>
      <c r="K206" s="272">
        <f t="shared" si="7"/>
        <v>1.758426E-3</v>
      </c>
      <c r="M206" s="47"/>
      <c r="N206" s="47"/>
      <c r="P206" s="114">
        <v>2.4305020000000002E-3</v>
      </c>
      <c r="Q206" s="269">
        <v>1.934269</v>
      </c>
      <c r="R206" s="272">
        <f t="shared" si="8"/>
        <v>1.934269E-3</v>
      </c>
    </row>
    <row r="207" spans="2:18" ht="15" customHeight="1" x14ac:dyDescent="0.25">
      <c r="B207" s="114">
        <v>0.16387409999999999</v>
      </c>
      <c r="C207" s="269">
        <v>4.0364789999999999</v>
      </c>
      <c r="D207" s="272">
        <f t="shared" si="6"/>
        <v>4.0364789999999999E-3</v>
      </c>
      <c r="F207" s="47"/>
      <c r="G207" s="47"/>
      <c r="H207" s="103"/>
      <c r="I207" s="114">
        <v>2.2212999999999998E-3</v>
      </c>
      <c r="J207" s="269">
        <v>1.7638020000000001</v>
      </c>
      <c r="K207" s="272">
        <f t="shared" si="7"/>
        <v>1.7638020000000001E-3</v>
      </c>
      <c r="M207" s="47"/>
      <c r="N207" s="47"/>
      <c r="P207" s="114">
        <v>2.4434299999999999E-3</v>
      </c>
      <c r="Q207" s="269">
        <v>1.9401820000000001</v>
      </c>
      <c r="R207" s="272">
        <f t="shared" si="8"/>
        <v>1.9401820000000001E-3</v>
      </c>
    </row>
    <row r="208" spans="2:18" ht="15" customHeight="1" x14ac:dyDescent="0.25">
      <c r="B208" s="114">
        <v>0.1647411</v>
      </c>
      <c r="C208" s="269">
        <v>4.0578370000000001</v>
      </c>
      <c r="D208" s="272">
        <f t="shared" si="6"/>
        <v>4.0578369999999999E-3</v>
      </c>
      <c r="F208" s="47"/>
      <c r="G208" s="47"/>
      <c r="H208" s="103"/>
      <c r="I208" s="114">
        <v>2.233053E-3</v>
      </c>
      <c r="J208" s="269">
        <v>1.769174</v>
      </c>
      <c r="K208" s="272">
        <f t="shared" si="7"/>
        <v>1.7691740000000001E-3</v>
      </c>
      <c r="M208" s="47"/>
      <c r="N208" s="47"/>
      <c r="P208" s="114">
        <v>2.4563580000000001E-3</v>
      </c>
      <c r="Q208" s="269">
        <v>1.946091</v>
      </c>
      <c r="R208" s="272">
        <f t="shared" si="8"/>
        <v>1.9460910000000001E-3</v>
      </c>
    </row>
    <row r="209" spans="2:18" ht="15" customHeight="1" x14ac:dyDescent="0.25">
      <c r="B209" s="114">
        <v>0.16560820000000001</v>
      </c>
      <c r="C209" s="269">
        <v>4.0791940000000002</v>
      </c>
      <c r="D209" s="272">
        <f t="shared" si="6"/>
        <v>4.0791940000000004E-3</v>
      </c>
      <c r="F209" s="47"/>
      <c r="G209" s="47"/>
      <c r="H209" s="103"/>
      <c r="I209" s="114">
        <v>2.2448059999999998E-3</v>
      </c>
      <c r="J209" s="269">
        <v>1.7745409999999999</v>
      </c>
      <c r="K209" s="272">
        <f t="shared" si="7"/>
        <v>1.7745409999999999E-3</v>
      </c>
      <c r="M209" s="47"/>
      <c r="N209" s="47"/>
      <c r="P209" s="114">
        <v>2.4692859999999998E-3</v>
      </c>
      <c r="Q209" s="269">
        <v>1.9519949999999999</v>
      </c>
      <c r="R209" s="272">
        <f t="shared" si="8"/>
        <v>1.951995E-3</v>
      </c>
    </row>
    <row r="210" spans="2:18" ht="15" customHeight="1" x14ac:dyDescent="0.25">
      <c r="B210" s="114">
        <v>0.16647519999999999</v>
      </c>
      <c r="C210" s="269">
        <v>4.1005510000000003</v>
      </c>
      <c r="D210" s="272">
        <f t="shared" ref="D210:D273" si="9">C210/1000</f>
        <v>4.100551E-3</v>
      </c>
      <c r="F210" s="47"/>
      <c r="G210" s="47"/>
      <c r="H210" s="103"/>
      <c r="I210" s="114">
        <v>2.256559E-3</v>
      </c>
      <c r="J210" s="269">
        <v>1.7799050000000001</v>
      </c>
      <c r="K210" s="272">
        <f t="shared" ref="K210:K273" si="10">J210/1000</f>
        <v>1.779905E-3</v>
      </c>
      <c r="M210" s="47"/>
      <c r="N210" s="47"/>
      <c r="P210" s="114">
        <v>2.4822149999999999E-3</v>
      </c>
      <c r="Q210" s="269">
        <v>1.9578949999999999</v>
      </c>
      <c r="R210" s="272">
        <f t="shared" ref="R210:R273" si="11">Q210/1000</f>
        <v>1.9578949999999999E-3</v>
      </c>
    </row>
    <row r="211" spans="2:18" ht="15" customHeight="1" x14ac:dyDescent="0.25">
      <c r="B211" s="114">
        <v>0.1673423</v>
      </c>
      <c r="C211" s="269">
        <v>4.1219080000000003</v>
      </c>
      <c r="D211" s="272">
        <f t="shared" si="9"/>
        <v>4.1219080000000005E-3</v>
      </c>
      <c r="F211" s="47"/>
      <c r="G211" s="47"/>
      <c r="H211" s="103"/>
      <c r="I211" s="114">
        <v>2.2683120000000002E-3</v>
      </c>
      <c r="J211" s="269">
        <v>1.785264</v>
      </c>
      <c r="K211" s="272">
        <f t="shared" si="10"/>
        <v>1.7852639999999999E-3</v>
      </c>
      <c r="M211" s="47"/>
      <c r="N211" s="47"/>
      <c r="P211" s="114">
        <v>2.495143E-3</v>
      </c>
      <c r="Q211" s="269">
        <v>1.9637899999999999</v>
      </c>
      <c r="R211" s="272">
        <f t="shared" si="11"/>
        <v>1.96379E-3</v>
      </c>
    </row>
    <row r="212" spans="2:18" ht="15" customHeight="1" x14ac:dyDescent="0.25">
      <c r="B212" s="114">
        <v>0.16820930000000001</v>
      </c>
      <c r="C212" s="269">
        <v>4.1432650000000004</v>
      </c>
      <c r="D212" s="272">
        <f t="shared" si="9"/>
        <v>4.1432650000000001E-3</v>
      </c>
      <c r="F212" s="47"/>
      <c r="G212" s="47"/>
      <c r="H212" s="103"/>
      <c r="I212" s="114">
        <v>2.280065E-3</v>
      </c>
      <c r="J212" s="269">
        <v>1.7906200000000001</v>
      </c>
      <c r="K212" s="272">
        <f t="shared" si="10"/>
        <v>1.7906200000000001E-3</v>
      </c>
      <c r="M212" s="47"/>
      <c r="N212" s="47"/>
      <c r="P212" s="114">
        <v>2.5080710000000002E-3</v>
      </c>
      <c r="Q212" s="269">
        <v>1.9696819999999999</v>
      </c>
      <c r="R212" s="272">
        <f t="shared" si="11"/>
        <v>1.9696819999999999E-3</v>
      </c>
    </row>
    <row r="213" spans="2:18" ht="15" customHeight="1" x14ac:dyDescent="0.25">
      <c r="B213" s="114">
        <v>0.16907639999999999</v>
      </c>
      <c r="C213" s="269">
        <v>4.1646219999999996</v>
      </c>
      <c r="D213" s="272">
        <f t="shared" si="9"/>
        <v>4.1646219999999998E-3</v>
      </c>
      <c r="F213" s="47"/>
      <c r="G213" s="47"/>
      <c r="H213" s="103"/>
      <c r="I213" s="114">
        <v>2.2918169999999998E-3</v>
      </c>
      <c r="J213" s="269">
        <v>1.795971</v>
      </c>
      <c r="K213" s="272">
        <f t="shared" si="10"/>
        <v>1.7959709999999999E-3</v>
      </c>
      <c r="M213" s="47"/>
      <c r="N213" s="47"/>
      <c r="P213" s="114">
        <v>2.5209989999999999E-3</v>
      </c>
      <c r="Q213" s="269">
        <v>1.975568</v>
      </c>
      <c r="R213" s="272">
        <f t="shared" si="11"/>
        <v>1.975568E-3</v>
      </c>
    </row>
    <row r="214" spans="2:18" ht="15" customHeight="1" x14ac:dyDescent="0.25">
      <c r="B214" s="114">
        <v>0.1699435</v>
      </c>
      <c r="C214" s="269">
        <v>4.1859789999999997</v>
      </c>
      <c r="D214" s="272">
        <f t="shared" si="9"/>
        <v>4.1859789999999994E-3</v>
      </c>
      <c r="F214" s="47"/>
      <c r="G214" s="47"/>
      <c r="H214" s="103"/>
      <c r="I214" s="114">
        <v>2.30357E-3</v>
      </c>
      <c r="J214" s="269">
        <v>1.8013189999999999</v>
      </c>
      <c r="K214" s="272">
        <f t="shared" si="10"/>
        <v>1.8013189999999998E-3</v>
      </c>
      <c r="M214" s="47"/>
      <c r="N214" s="47"/>
      <c r="P214" s="114">
        <v>2.5339270000000001E-3</v>
      </c>
      <c r="Q214" s="269">
        <v>1.9814510000000001</v>
      </c>
      <c r="R214" s="272">
        <f t="shared" si="11"/>
        <v>1.981451E-3</v>
      </c>
    </row>
    <row r="215" spans="2:18" ht="15" customHeight="1" x14ac:dyDescent="0.25">
      <c r="B215" s="114">
        <v>0.1708105</v>
      </c>
      <c r="C215" s="269">
        <v>4.2073359999999997</v>
      </c>
      <c r="D215" s="272">
        <f t="shared" si="9"/>
        <v>4.2073359999999999E-3</v>
      </c>
      <c r="F215" s="47"/>
      <c r="G215" s="47"/>
      <c r="H215" s="103"/>
      <c r="I215" s="114">
        <v>2.3153230000000002E-3</v>
      </c>
      <c r="J215" s="269">
        <v>1.806664</v>
      </c>
      <c r="K215" s="272">
        <f t="shared" si="10"/>
        <v>1.8066640000000001E-3</v>
      </c>
      <c r="M215" s="47"/>
      <c r="N215" s="47"/>
      <c r="P215" s="114">
        <v>2.5468560000000001E-3</v>
      </c>
      <c r="Q215" s="269">
        <v>1.98733</v>
      </c>
      <c r="R215" s="272">
        <f t="shared" si="11"/>
        <v>1.9873299999999998E-3</v>
      </c>
    </row>
    <row r="216" spans="2:18" ht="15" customHeight="1" x14ac:dyDescent="0.25">
      <c r="B216" s="114">
        <v>0.17167760000000001</v>
      </c>
      <c r="C216" s="269">
        <v>4.2286929999999998</v>
      </c>
      <c r="D216" s="272">
        <f t="shared" si="9"/>
        <v>4.2286929999999995E-3</v>
      </c>
      <c r="F216" s="47"/>
      <c r="G216" s="47"/>
      <c r="H216" s="103"/>
      <c r="I216" s="114">
        <v>2.327076E-3</v>
      </c>
      <c r="J216" s="269">
        <v>1.8120039999999999</v>
      </c>
      <c r="K216" s="272">
        <f t="shared" si="10"/>
        <v>1.8120039999999999E-3</v>
      </c>
      <c r="M216" s="47"/>
      <c r="N216" s="47"/>
      <c r="P216" s="114">
        <v>2.5597839999999998E-3</v>
      </c>
      <c r="Q216" s="269">
        <v>1.9932049999999999</v>
      </c>
      <c r="R216" s="272">
        <f t="shared" si="11"/>
        <v>1.9932050000000001E-3</v>
      </c>
    </row>
    <row r="217" spans="2:18" ht="15" customHeight="1" x14ac:dyDescent="0.25">
      <c r="B217" s="114">
        <v>0.17254459999999999</v>
      </c>
      <c r="C217" s="269">
        <v>4.2500499999999999</v>
      </c>
      <c r="D217" s="272">
        <f t="shared" si="9"/>
        <v>4.25005E-3</v>
      </c>
      <c r="F217" s="47"/>
      <c r="G217" s="47"/>
      <c r="H217" s="103"/>
      <c r="I217" s="114">
        <v>2.3388290000000002E-3</v>
      </c>
      <c r="J217" s="269">
        <v>1.817342</v>
      </c>
      <c r="K217" s="272">
        <f t="shared" si="10"/>
        <v>1.817342E-3</v>
      </c>
      <c r="M217" s="47"/>
      <c r="N217" s="47"/>
      <c r="P217" s="114">
        <v>2.572712E-3</v>
      </c>
      <c r="Q217" s="269">
        <v>1.9990760000000001</v>
      </c>
      <c r="R217" s="272">
        <f t="shared" si="11"/>
        <v>1.9990760000000002E-3</v>
      </c>
    </row>
    <row r="218" spans="2:18" ht="15" customHeight="1" x14ac:dyDescent="0.25">
      <c r="B218" s="114">
        <v>0.1734117</v>
      </c>
      <c r="C218" s="269">
        <v>4.271407</v>
      </c>
      <c r="D218" s="272">
        <f t="shared" si="9"/>
        <v>4.2714069999999996E-3</v>
      </c>
      <c r="F218" s="47"/>
      <c r="G218" s="47"/>
      <c r="H218" s="103"/>
      <c r="I218" s="114">
        <v>2.3505819999999999E-3</v>
      </c>
      <c r="J218" s="269">
        <v>1.822675</v>
      </c>
      <c r="K218" s="272">
        <f t="shared" si="10"/>
        <v>1.8226749999999999E-3</v>
      </c>
      <c r="M218" s="47"/>
      <c r="N218" s="47"/>
      <c r="P218" s="114">
        <v>2.5856400000000002E-3</v>
      </c>
      <c r="Q218" s="269">
        <v>2.0049429999999999</v>
      </c>
      <c r="R218" s="272">
        <f t="shared" si="11"/>
        <v>2.0049429999999999E-3</v>
      </c>
    </row>
    <row r="219" spans="2:18" ht="15" customHeight="1" x14ac:dyDescent="0.25">
      <c r="B219" s="114">
        <v>0.17427880000000001</v>
      </c>
      <c r="C219" s="269">
        <v>4.292764</v>
      </c>
      <c r="D219" s="272">
        <f t="shared" si="9"/>
        <v>4.2927640000000001E-3</v>
      </c>
      <c r="F219" s="47"/>
      <c r="G219" s="47"/>
      <c r="H219" s="103"/>
      <c r="I219" s="114">
        <v>2.3623350000000001E-3</v>
      </c>
      <c r="J219" s="269">
        <v>1.828006</v>
      </c>
      <c r="K219" s="272">
        <f t="shared" si="10"/>
        <v>1.8280060000000001E-3</v>
      </c>
      <c r="M219" s="47"/>
      <c r="N219" s="47"/>
      <c r="P219" s="114">
        <v>2.5985679999999999E-3</v>
      </c>
      <c r="Q219" s="269">
        <v>2.0108060000000001</v>
      </c>
      <c r="R219" s="272">
        <f t="shared" si="11"/>
        <v>2.010806E-3</v>
      </c>
    </row>
    <row r="220" spans="2:18" ht="15" customHeight="1" x14ac:dyDescent="0.25">
      <c r="B220" s="114">
        <v>0.17514579999999999</v>
      </c>
      <c r="C220" s="269">
        <v>4.3141210000000001</v>
      </c>
      <c r="D220" s="272">
        <f t="shared" si="9"/>
        <v>4.3141209999999998E-3</v>
      </c>
      <c r="F220" s="47"/>
      <c r="G220" s="47"/>
      <c r="H220" s="103"/>
      <c r="I220" s="114">
        <v>2.3740879999999999E-3</v>
      </c>
      <c r="J220" s="269">
        <v>1.8333330000000001</v>
      </c>
      <c r="K220" s="272">
        <f t="shared" si="10"/>
        <v>1.8333330000000001E-3</v>
      </c>
      <c r="M220" s="47"/>
      <c r="N220" s="47"/>
      <c r="P220" s="114">
        <v>2.611497E-3</v>
      </c>
      <c r="Q220" s="269">
        <v>2.0166659999999998</v>
      </c>
      <c r="R220" s="272">
        <f t="shared" si="11"/>
        <v>2.0166659999999999E-3</v>
      </c>
    </row>
    <row r="221" spans="2:18" ht="15" customHeight="1" x14ac:dyDescent="0.25">
      <c r="B221" s="114">
        <v>0.1760129</v>
      </c>
      <c r="C221" s="269">
        <v>4.3354780000000002</v>
      </c>
      <c r="D221" s="272">
        <f t="shared" si="9"/>
        <v>4.3354780000000002E-3</v>
      </c>
      <c r="F221" s="47"/>
      <c r="G221" s="47"/>
      <c r="H221" s="103"/>
      <c r="I221" s="114">
        <v>2.3858410000000001E-3</v>
      </c>
      <c r="J221" s="269">
        <v>1.838657</v>
      </c>
      <c r="K221" s="272">
        <f t="shared" si="10"/>
        <v>1.8386570000000001E-3</v>
      </c>
      <c r="M221" s="47"/>
      <c r="N221" s="47"/>
      <c r="P221" s="114">
        <v>2.6244250000000001E-3</v>
      </c>
      <c r="Q221" s="269">
        <v>2.0225230000000001</v>
      </c>
      <c r="R221" s="272">
        <f t="shared" si="11"/>
        <v>2.022523E-3</v>
      </c>
    </row>
    <row r="222" spans="2:18" ht="15" customHeight="1" x14ac:dyDescent="0.25">
      <c r="B222" s="114">
        <v>0.17687990000000001</v>
      </c>
      <c r="C222" s="269">
        <v>4.3568350000000002</v>
      </c>
      <c r="D222" s="272">
        <f t="shared" si="9"/>
        <v>4.3568349999999999E-3</v>
      </c>
      <c r="F222" s="47"/>
      <c r="G222" s="47"/>
      <c r="H222" s="103"/>
      <c r="I222" s="114">
        <v>2.3975939999999999E-3</v>
      </c>
      <c r="J222" s="269">
        <v>1.8439779999999999</v>
      </c>
      <c r="K222" s="272">
        <f t="shared" si="10"/>
        <v>1.8439779999999998E-3</v>
      </c>
      <c r="M222" s="47"/>
      <c r="N222" s="47"/>
      <c r="P222" s="114">
        <v>2.6373529999999998E-3</v>
      </c>
      <c r="Q222" s="269">
        <v>2.028375</v>
      </c>
      <c r="R222" s="272">
        <f t="shared" si="11"/>
        <v>2.0283750000000002E-3</v>
      </c>
    </row>
    <row r="223" spans="2:18" ht="15" customHeight="1" x14ac:dyDescent="0.25">
      <c r="B223" s="114">
        <v>0.17774699999999999</v>
      </c>
      <c r="C223" s="269">
        <v>4.3781920000000003</v>
      </c>
      <c r="D223" s="272">
        <f t="shared" si="9"/>
        <v>4.3781920000000004E-3</v>
      </c>
      <c r="F223" s="47"/>
      <c r="G223" s="47"/>
      <c r="H223" s="103"/>
      <c r="I223" s="114">
        <v>2.4093470000000001E-3</v>
      </c>
      <c r="J223" s="269">
        <v>1.8492949999999999</v>
      </c>
      <c r="K223" s="272">
        <f t="shared" si="10"/>
        <v>1.8492949999999999E-3</v>
      </c>
      <c r="M223" s="47"/>
      <c r="N223" s="47"/>
      <c r="P223" s="114">
        <v>2.650281E-3</v>
      </c>
      <c r="Q223" s="269">
        <v>2.0342250000000002</v>
      </c>
      <c r="R223" s="272">
        <f t="shared" si="11"/>
        <v>2.0342250000000002E-3</v>
      </c>
    </row>
    <row r="224" spans="2:18" ht="15" customHeight="1" x14ac:dyDescent="0.25">
      <c r="B224" s="114">
        <v>0.1786141</v>
      </c>
      <c r="C224" s="269">
        <v>4.3995490000000004</v>
      </c>
      <c r="D224" s="272">
        <f t="shared" si="9"/>
        <v>4.399549E-3</v>
      </c>
      <c r="F224" s="47"/>
      <c r="G224" s="47"/>
      <c r="H224" s="103"/>
      <c r="I224" s="114">
        <v>2.4210989999999999E-3</v>
      </c>
      <c r="J224" s="269">
        <v>1.8546100000000001</v>
      </c>
      <c r="K224" s="272">
        <f t="shared" si="10"/>
        <v>1.85461E-3</v>
      </c>
      <c r="M224" s="47"/>
      <c r="N224" s="47"/>
      <c r="P224" s="114">
        <v>2.6632090000000001E-3</v>
      </c>
      <c r="Q224" s="269">
        <v>2.0400710000000002</v>
      </c>
      <c r="R224" s="272">
        <f t="shared" si="11"/>
        <v>2.0400710000000001E-3</v>
      </c>
    </row>
    <row r="225" spans="2:18" ht="15" customHeight="1" x14ac:dyDescent="0.25">
      <c r="B225" s="114">
        <v>0.1794811</v>
      </c>
      <c r="C225" s="269">
        <v>4.4209059999999996</v>
      </c>
      <c r="D225" s="272">
        <f t="shared" si="9"/>
        <v>4.4209059999999996E-3</v>
      </c>
      <c r="F225" s="47"/>
      <c r="G225" s="47"/>
      <c r="H225" s="103"/>
      <c r="I225" s="114">
        <v>2.4328520000000001E-3</v>
      </c>
      <c r="J225" s="269">
        <v>1.8599220000000001</v>
      </c>
      <c r="K225" s="272">
        <f t="shared" si="10"/>
        <v>1.8599220000000002E-3</v>
      </c>
      <c r="M225" s="47"/>
      <c r="N225" s="47"/>
      <c r="P225" s="114">
        <v>2.6761380000000002E-3</v>
      </c>
      <c r="Q225" s="269">
        <v>2.0459139999999998</v>
      </c>
      <c r="R225" s="272">
        <f t="shared" si="11"/>
        <v>2.0459139999999998E-3</v>
      </c>
    </row>
    <row r="226" spans="2:18" ht="15" customHeight="1" x14ac:dyDescent="0.25">
      <c r="B226" s="114">
        <v>0.18034819999999999</v>
      </c>
      <c r="C226" s="269">
        <v>4.4422629999999996</v>
      </c>
      <c r="D226" s="272">
        <f t="shared" si="9"/>
        <v>4.4422629999999992E-3</v>
      </c>
      <c r="F226" s="47"/>
      <c r="G226" s="47"/>
      <c r="H226" s="103"/>
      <c r="I226" s="114">
        <v>2.4446049999999999E-3</v>
      </c>
      <c r="J226" s="269">
        <v>1.8652310000000001</v>
      </c>
      <c r="K226" s="272">
        <f t="shared" si="10"/>
        <v>1.8652310000000002E-3</v>
      </c>
      <c r="M226" s="47"/>
      <c r="N226" s="47"/>
      <c r="P226" s="114">
        <v>2.6890659999999999E-3</v>
      </c>
      <c r="Q226" s="269">
        <v>2.0517539999999999</v>
      </c>
      <c r="R226" s="272">
        <f t="shared" si="11"/>
        <v>2.0517539999999998E-3</v>
      </c>
    </row>
    <row r="227" spans="2:18" ht="15" customHeight="1" x14ac:dyDescent="0.25">
      <c r="B227" s="114">
        <v>0.18121519999999999</v>
      </c>
      <c r="C227" s="269">
        <v>4.4636199999999997</v>
      </c>
      <c r="D227" s="272">
        <f t="shared" si="9"/>
        <v>4.4636199999999997E-3</v>
      </c>
      <c r="F227" s="47"/>
      <c r="G227" s="47"/>
      <c r="H227" s="103"/>
      <c r="I227" s="114">
        <v>2.4563580000000001E-3</v>
      </c>
      <c r="J227" s="269">
        <v>1.8705369999999999</v>
      </c>
      <c r="K227" s="272">
        <f t="shared" si="10"/>
        <v>1.8705369999999998E-3</v>
      </c>
      <c r="M227" s="47"/>
      <c r="N227" s="47"/>
      <c r="P227" s="114">
        <v>2.7019940000000001E-3</v>
      </c>
      <c r="Q227" s="269">
        <v>2.0575899999999998</v>
      </c>
      <c r="R227" s="272">
        <f t="shared" si="11"/>
        <v>2.0575899999999998E-3</v>
      </c>
    </row>
    <row r="228" spans="2:18" ht="15" customHeight="1" x14ac:dyDescent="0.25">
      <c r="B228" s="114">
        <v>0.1820823</v>
      </c>
      <c r="C228" s="269">
        <v>4.4849769999999998</v>
      </c>
      <c r="D228" s="272">
        <f t="shared" si="9"/>
        <v>4.4849769999999994E-3</v>
      </c>
      <c r="F228" s="47"/>
      <c r="G228" s="47"/>
      <c r="H228" s="103"/>
      <c r="I228" s="114">
        <v>2.4681109999999998E-3</v>
      </c>
      <c r="J228" s="269">
        <v>1.87584</v>
      </c>
      <c r="K228" s="272">
        <f t="shared" si="10"/>
        <v>1.8758399999999999E-3</v>
      </c>
      <c r="M228" s="47"/>
      <c r="N228" s="47"/>
      <c r="P228" s="114">
        <v>2.7149219999999998E-3</v>
      </c>
      <c r="Q228" s="269">
        <v>2.0634239999999999</v>
      </c>
      <c r="R228" s="272">
        <f t="shared" si="11"/>
        <v>2.0634239999999999E-3</v>
      </c>
    </row>
    <row r="229" spans="2:18" ht="15" customHeight="1" x14ac:dyDescent="0.25">
      <c r="B229" s="114">
        <v>0.18294930000000001</v>
      </c>
      <c r="C229" s="269">
        <v>4.5063339999999998</v>
      </c>
      <c r="D229" s="272">
        <f t="shared" si="9"/>
        <v>4.5063339999999999E-3</v>
      </c>
      <c r="F229" s="47"/>
      <c r="G229" s="47"/>
      <c r="H229" s="103"/>
      <c r="I229" s="114">
        <v>2.479864E-3</v>
      </c>
      <c r="J229" s="269">
        <v>1.88114</v>
      </c>
      <c r="K229" s="272">
        <f t="shared" si="10"/>
        <v>1.8811400000000001E-3</v>
      </c>
      <c r="M229" s="47"/>
      <c r="N229" s="47"/>
      <c r="P229" s="114">
        <v>2.72785E-3</v>
      </c>
      <c r="Q229" s="269">
        <v>2.0692539999999999</v>
      </c>
      <c r="R229" s="272">
        <f t="shared" si="11"/>
        <v>2.069254E-3</v>
      </c>
    </row>
    <row r="230" spans="2:18" ht="15" customHeight="1" x14ac:dyDescent="0.25">
      <c r="B230" s="114">
        <v>0.18381639999999999</v>
      </c>
      <c r="C230" s="269">
        <v>4.5276909999999999</v>
      </c>
      <c r="D230" s="272">
        <f t="shared" si="9"/>
        <v>4.5276909999999995E-3</v>
      </c>
      <c r="F230" s="47"/>
      <c r="G230" s="47"/>
      <c r="H230" s="103"/>
      <c r="I230" s="114">
        <v>2.4916169999999998E-3</v>
      </c>
      <c r="J230" s="269">
        <v>1.8864380000000001</v>
      </c>
      <c r="K230" s="272">
        <f t="shared" si="10"/>
        <v>1.886438E-3</v>
      </c>
      <c r="M230" s="47"/>
      <c r="N230" s="47"/>
      <c r="P230" s="114">
        <v>2.740779E-3</v>
      </c>
      <c r="Q230" s="269">
        <v>2.0750820000000001</v>
      </c>
      <c r="R230" s="272">
        <f t="shared" si="11"/>
        <v>2.0750820000000002E-3</v>
      </c>
    </row>
    <row r="231" spans="2:18" ht="15" customHeight="1" x14ac:dyDescent="0.25">
      <c r="B231" s="114">
        <v>0.1846835</v>
      </c>
      <c r="C231" s="269">
        <v>4.549048</v>
      </c>
      <c r="D231" s="272">
        <f t="shared" si="9"/>
        <v>4.549048E-3</v>
      </c>
      <c r="F231" s="47"/>
      <c r="G231" s="47"/>
      <c r="H231" s="103"/>
      <c r="I231" s="114">
        <v>2.50337E-3</v>
      </c>
      <c r="J231" s="269">
        <v>1.8917330000000001</v>
      </c>
      <c r="K231" s="272">
        <f t="shared" si="10"/>
        <v>1.891733E-3</v>
      </c>
      <c r="M231" s="47"/>
      <c r="N231" s="47"/>
      <c r="P231" s="114">
        <v>2.7537070000000002E-3</v>
      </c>
      <c r="Q231" s="269">
        <v>2.0809069999999998</v>
      </c>
      <c r="R231" s="272">
        <f t="shared" si="11"/>
        <v>2.0809069999999999E-3</v>
      </c>
    </row>
    <row r="232" spans="2:18" ht="15" customHeight="1" x14ac:dyDescent="0.25">
      <c r="B232" s="114">
        <v>0.18555050000000001</v>
      </c>
      <c r="C232" s="269">
        <v>4.5704050000000001</v>
      </c>
      <c r="D232" s="272">
        <f t="shared" si="9"/>
        <v>4.5704050000000005E-3</v>
      </c>
      <c r="F232" s="47"/>
      <c r="G232" s="47"/>
      <c r="H232" s="103"/>
      <c r="I232" s="114">
        <v>2.5151230000000002E-3</v>
      </c>
      <c r="J232" s="269">
        <v>1.8970260000000001</v>
      </c>
      <c r="K232" s="272">
        <f t="shared" si="10"/>
        <v>1.897026E-3</v>
      </c>
      <c r="M232" s="47"/>
      <c r="N232" s="47"/>
      <c r="P232" s="114">
        <v>2.7666349999999999E-3</v>
      </c>
      <c r="Q232" s="269">
        <v>2.0867279999999999</v>
      </c>
      <c r="R232" s="272">
        <f t="shared" si="11"/>
        <v>2.0867279999999999E-3</v>
      </c>
    </row>
    <row r="233" spans="2:18" ht="15" customHeight="1" x14ac:dyDescent="0.25">
      <c r="B233" s="114">
        <v>0.18641759999999999</v>
      </c>
      <c r="C233" s="269">
        <v>4.5917620000000001</v>
      </c>
      <c r="D233" s="272">
        <f t="shared" si="9"/>
        <v>4.5917620000000001E-3</v>
      </c>
      <c r="F233" s="47"/>
      <c r="G233" s="47"/>
      <c r="H233" s="103"/>
      <c r="I233" s="114">
        <v>2.5268759999999999E-3</v>
      </c>
      <c r="J233" s="269">
        <v>1.9023159999999999</v>
      </c>
      <c r="K233" s="272">
        <f t="shared" si="10"/>
        <v>1.9023159999999998E-3</v>
      </c>
      <c r="M233" s="47"/>
      <c r="N233" s="47"/>
      <c r="P233" s="114">
        <v>2.7795630000000001E-3</v>
      </c>
      <c r="Q233" s="269">
        <v>2.0925470000000002</v>
      </c>
      <c r="R233" s="272">
        <f t="shared" si="11"/>
        <v>2.0925470000000002E-3</v>
      </c>
    </row>
    <row r="234" spans="2:18" ht="15" customHeight="1" x14ac:dyDescent="0.25">
      <c r="B234" s="114">
        <v>0.1872846</v>
      </c>
      <c r="C234" s="269">
        <v>4.6131190000000002</v>
      </c>
      <c r="D234" s="272">
        <f t="shared" si="9"/>
        <v>4.6131190000000006E-3</v>
      </c>
      <c r="F234" s="47"/>
      <c r="G234" s="47"/>
      <c r="H234" s="103"/>
      <c r="I234" s="114">
        <v>2.5386290000000001E-3</v>
      </c>
      <c r="J234" s="269">
        <v>1.9076029999999999</v>
      </c>
      <c r="K234" s="272">
        <f t="shared" si="10"/>
        <v>1.9076029999999999E-3</v>
      </c>
      <c r="M234" s="47"/>
      <c r="N234" s="47"/>
      <c r="P234" s="114">
        <v>2.7924909999999998E-3</v>
      </c>
      <c r="Q234" s="269">
        <v>2.0983640000000001</v>
      </c>
      <c r="R234" s="272">
        <f t="shared" si="11"/>
        <v>2.0983640000000001E-3</v>
      </c>
    </row>
    <row r="235" spans="2:18" ht="15" customHeight="1" x14ac:dyDescent="0.25">
      <c r="B235" s="114">
        <v>0.18815170000000001</v>
      </c>
      <c r="C235" s="269">
        <v>4.6344760000000003</v>
      </c>
      <c r="D235" s="272">
        <f t="shared" si="9"/>
        <v>4.6344760000000002E-3</v>
      </c>
      <c r="F235" s="47"/>
      <c r="G235" s="47"/>
      <c r="H235" s="103"/>
      <c r="I235" s="114">
        <v>2.550381E-3</v>
      </c>
      <c r="J235" s="269">
        <v>1.9128890000000001</v>
      </c>
      <c r="K235" s="272">
        <f t="shared" si="10"/>
        <v>1.9128890000000001E-3</v>
      </c>
      <c r="M235" s="47"/>
      <c r="N235" s="47"/>
      <c r="P235" s="114">
        <v>2.8054199999999999E-3</v>
      </c>
      <c r="Q235" s="269">
        <v>2.1041780000000001</v>
      </c>
      <c r="R235" s="272">
        <f t="shared" si="11"/>
        <v>2.104178E-3</v>
      </c>
    </row>
    <row r="236" spans="2:18" ht="15" customHeight="1" x14ac:dyDescent="0.25">
      <c r="B236" s="114">
        <v>0.18901879999999999</v>
      </c>
      <c r="C236" s="269">
        <v>4.6558330000000003</v>
      </c>
      <c r="D236" s="272">
        <f t="shared" si="9"/>
        <v>4.6558330000000007E-3</v>
      </c>
      <c r="F236" s="47"/>
      <c r="G236" s="47"/>
      <c r="H236" s="103"/>
      <c r="I236" s="114">
        <v>2.5621340000000002E-3</v>
      </c>
      <c r="J236" s="269">
        <v>1.9181710000000001</v>
      </c>
      <c r="K236" s="272">
        <f t="shared" si="10"/>
        <v>1.918171E-3</v>
      </c>
      <c r="M236" s="47"/>
      <c r="N236" s="47"/>
      <c r="P236" s="114">
        <v>2.818348E-3</v>
      </c>
      <c r="Q236" s="269">
        <v>2.1099890000000001</v>
      </c>
      <c r="R236" s="272">
        <f t="shared" si="11"/>
        <v>2.109989E-3</v>
      </c>
    </row>
    <row r="237" spans="2:18" ht="15" customHeight="1" x14ac:dyDescent="0.25">
      <c r="B237" s="114">
        <v>0.18988579999999999</v>
      </c>
      <c r="C237" s="269">
        <v>4.6771909999999997</v>
      </c>
      <c r="D237" s="272">
        <f t="shared" si="9"/>
        <v>4.6771909999999998E-3</v>
      </c>
      <c r="F237" s="47"/>
      <c r="G237" s="47"/>
      <c r="H237" s="103"/>
      <c r="I237" s="114">
        <v>2.573887E-3</v>
      </c>
      <c r="J237" s="269">
        <v>1.9234519999999999</v>
      </c>
      <c r="K237" s="272">
        <f t="shared" si="10"/>
        <v>1.923452E-3</v>
      </c>
      <c r="M237" s="47"/>
      <c r="N237" s="47"/>
      <c r="P237" s="114">
        <v>2.8312760000000002E-3</v>
      </c>
      <c r="Q237" s="269">
        <v>2.1157970000000001</v>
      </c>
      <c r="R237" s="272">
        <f t="shared" si="11"/>
        <v>2.115797E-3</v>
      </c>
    </row>
    <row r="238" spans="2:18" ht="15" customHeight="1" x14ac:dyDescent="0.25">
      <c r="B238" s="114">
        <v>0.1907529</v>
      </c>
      <c r="C238" s="269">
        <v>4.6985479999999997</v>
      </c>
      <c r="D238" s="272">
        <f t="shared" si="9"/>
        <v>4.6985479999999994E-3</v>
      </c>
      <c r="F238" s="47"/>
      <c r="G238" s="47"/>
      <c r="H238" s="103"/>
      <c r="I238" s="114">
        <v>2.5856400000000002E-3</v>
      </c>
      <c r="J238" s="269">
        <v>1.9287300000000001</v>
      </c>
      <c r="K238" s="272">
        <f t="shared" si="10"/>
        <v>1.92873E-3</v>
      </c>
      <c r="M238" s="47"/>
      <c r="N238" s="47"/>
      <c r="P238" s="114">
        <v>2.8442039999999999E-3</v>
      </c>
      <c r="Q238" s="269">
        <v>2.1216029999999999</v>
      </c>
      <c r="R238" s="272">
        <f t="shared" si="11"/>
        <v>2.1216030000000001E-3</v>
      </c>
    </row>
    <row r="239" spans="2:18" ht="15" customHeight="1" x14ac:dyDescent="0.25">
      <c r="B239" s="114">
        <v>0.19161990000000001</v>
      </c>
      <c r="C239" s="269">
        <v>4.7199049999999998</v>
      </c>
      <c r="D239" s="272">
        <f t="shared" si="9"/>
        <v>4.7199049999999999E-3</v>
      </c>
      <c r="F239" s="47"/>
      <c r="G239" s="47"/>
      <c r="H239" s="103"/>
      <c r="I239" s="114">
        <v>2.5973929999999999E-3</v>
      </c>
      <c r="J239" s="269">
        <v>1.9340059999999999</v>
      </c>
      <c r="K239" s="272">
        <f t="shared" si="10"/>
        <v>1.9340059999999998E-3</v>
      </c>
      <c r="M239" s="47"/>
      <c r="N239" s="47"/>
      <c r="P239" s="114">
        <v>2.8571320000000001E-3</v>
      </c>
      <c r="Q239" s="269">
        <v>2.1274069999999998</v>
      </c>
      <c r="R239" s="272">
        <f t="shared" si="11"/>
        <v>2.127407E-3</v>
      </c>
    </row>
    <row r="240" spans="2:18" ht="15" customHeight="1" x14ac:dyDescent="0.25">
      <c r="B240" s="114">
        <v>0.19248699999999999</v>
      </c>
      <c r="C240" s="269">
        <v>4.7412619999999999</v>
      </c>
      <c r="D240" s="272">
        <f t="shared" si="9"/>
        <v>4.7412619999999996E-3</v>
      </c>
      <c r="F240" s="47"/>
      <c r="G240" s="47"/>
      <c r="H240" s="103"/>
      <c r="I240" s="114">
        <v>2.6091460000000001E-3</v>
      </c>
      <c r="J240" s="269">
        <v>1.9392799999999999</v>
      </c>
      <c r="K240" s="272">
        <f t="shared" si="10"/>
        <v>1.9392799999999998E-3</v>
      </c>
      <c r="M240" s="47"/>
      <c r="N240" s="47"/>
      <c r="P240" s="114">
        <v>2.8700610000000001E-3</v>
      </c>
      <c r="Q240" s="269">
        <v>2.1332080000000002</v>
      </c>
      <c r="R240" s="272">
        <f t="shared" si="11"/>
        <v>2.1332080000000002E-3</v>
      </c>
    </row>
    <row r="241" spans="2:18" ht="15" customHeight="1" x14ac:dyDescent="0.25">
      <c r="B241" s="114">
        <v>0.193354</v>
      </c>
      <c r="C241" s="269">
        <v>4.7626189999999999</v>
      </c>
      <c r="D241" s="272">
        <f t="shared" si="9"/>
        <v>4.7626190000000001E-3</v>
      </c>
      <c r="F241" s="47"/>
      <c r="G241" s="47"/>
      <c r="H241" s="103"/>
      <c r="I241" s="114">
        <v>2.6208989999999999E-3</v>
      </c>
      <c r="J241" s="269">
        <v>1.9445509999999999</v>
      </c>
      <c r="K241" s="272">
        <f t="shared" si="10"/>
        <v>1.9445509999999999E-3</v>
      </c>
      <c r="M241" s="47"/>
      <c r="N241" s="47"/>
      <c r="P241" s="114">
        <v>2.8829889999999999E-3</v>
      </c>
      <c r="Q241" s="269">
        <v>2.1390060000000002</v>
      </c>
      <c r="R241" s="272">
        <f t="shared" si="11"/>
        <v>2.1390060000000002E-3</v>
      </c>
    </row>
    <row r="242" spans="2:18" ht="15" customHeight="1" x14ac:dyDescent="0.25">
      <c r="B242" s="114">
        <v>0.19422110000000001</v>
      </c>
      <c r="C242" s="269">
        <v>4.783976</v>
      </c>
      <c r="D242" s="272">
        <f t="shared" si="9"/>
        <v>4.7839759999999997E-3</v>
      </c>
      <c r="F242" s="47"/>
      <c r="G242" s="47"/>
      <c r="H242" s="103"/>
      <c r="I242" s="114">
        <v>2.6326520000000001E-3</v>
      </c>
      <c r="J242" s="269">
        <v>1.949821</v>
      </c>
      <c r="K242" s="272">
        <f t="shared" si="10"/>
        <v>1.949821E-3</v>
      </c>
      <c r="M242" s="47"/>
      <c r="N242" s="47"/>
      <c r="P242" s="114">
        <v>2.895917E-3</v>
      </c>
      <c r="Q242" s="269">
        <v>2.144803</v>
      </c>
      <c r="R242" s="272">
        <f t="shared" si="11"/>
        <v>2.1448029999999998E-3</v>
      </c>
    </row>
    <row r="243" spans="2:18" ht="15" customHeight="1" x14ac:dyDescent="0.25">
      <c r="B243" s="114">
        <v>0.19508819999999999</v>
      </c>
      <c r="C243" s="269">
        <v>4.8053330000000001</v>
      </c>
      <c r="D243" s="272">
        <f t="shared" si="9"/>
        <v>4.8053330000000002E-3</v>
      </c>
      <c r="F243" s="47"/>
      <c r="G243" s="47"/>
      <c r="H243" s="103"/>
      <c r="I243" s="114">
        <v>2.6444049999999998E-3</v>
      </c>
      <c r="J243" s="269">
        <v>1.9550879999999999</v>
      </c>
      <c r="K243" s="272">
        <f t="shared" si="10"/>
        <v>1.9550879999999998E-3</v>
      </c>
      <c r="M243" s="47"/>
      <c r="N243" s="47"/>
      <c r="P243" s="114">
        <v>2.9088450000000002E-3</v>
      </c>
      <c r="Q243" s="269">
        <v>2.1505969999999999</v>
      </c>
      <c r="R243" s="272">
        <f t="shared" si="11"/>
        <v>2.1505969999999998E-3</v>
      </c>
    </row>
    <row r="244" spans="2:18" ht="15" customHeight="1" x14ac:dyDescent="0.25">
      <c r="B244" s="114">
        <v>0.1959552</v>
      </c>
      <c r="C244" s="269">
        <v>4.8266900000000001</v>
      </c>
      <c r="D244" s="272">
        <f t="shared" si="9"/>
        <v>4.8266899999999998E-3</v>
      </c>
      <c r="F244" s="47"/>
      <c r="G244" s="47"/>
      <c r="H244" s="103"/>
      <c r="I244" s="114">
        <v>2.656158E-3</v>
      </c>
      <c r="J244" s="269">
        <v>1.960353</v>
      </c>
      <c r="K244" s="272">
        <f t="shared" si="10"/>
        <v>1.9603530000000002E-3</v>
      </c>
      <c r="M244" s="47"/>
      <c r="N244" s="47"/>
      <c r="P244" s="114">
        <v>2.9217729999999999E-3</v>
      </c>
      <c r="Q244" s="269">
        <v>2.1563889999999999</v>
      </c>
      <c r="R244" s="272">
        <f t="shared" si="11"/>
        <v>2.1563889999999999E-3</v>
      </c>
    </row>
    <row r="245" spans="2:18" ht="15" customHeight="1" x14ac:dyDescent="0.25">
      <c r="B245" s="114">
        <v>0.19682230000000001</v>
      </c>
      <c r="C245" s="269">
        <v>4.8480470000000002</v>
      </c>
      <c r="D245" s="272">
        <f t="shared" si="9"/>
        <v>4.8480470000000003E-3</v>
      </c>
      <c r="F245" s="47"/>
      <c r="G245" s="47"/>
      <c r="H245" s="103"/>
      <c r="I245" s="114">
        <v>2.6679109999999998E-3</v>
      </c>
      <c r="J245" s="269">
        <v>1.9656169999999999</v>
      </c>
      <c r="K245" s="272">
        <f t="shared" si="10"/>
        <v>1.9656169999999998E-3</v>
      </c>
      <c r="M245" s="47"/>
      <c r="N245" s="47"/>
      <c r="P245" s="114">
        <v>2.934702E-3</v>
      </c>
      <c r="Q245" s="269">
        <v>2.1621779999999999</v>
      </c>
      <c r="R245" s="272">
        <f t="shared" si="11"/>
        <v>2.1621779999999998E-3</v>
      </c>
    </row>
    <row r="246" spans="2:18" ht="15" customHeight="1" x14ac:dyDescent="0.25">
      <c r="B246" s="114">
        <v>0.19768930000000001</v>
      </c>
      <c r="C246" s="269">
        <v>4.8694040000000003</v>
      </c>
      <c r="D246" s="272">
        <f t="shared" si="9"/>
        <v>4.8694039999999999E-3</v>
      </c>
      <c r="F246" s="47"/>
      <c r="G246" s="47"/>
      <c r="H246" s="103"/>
      <c r="I246" s="114">
        <v>2.6796630000000001E-3</v>
      </c>
      <c r="J246" s="269">
        <v>1.9708779999999999</v>
      </c>
      <c r="K246" s="272">
        <f t="shared" si="10"/>
        <v>1.9708779999999997E-3</v>
      </c>
      <c r="M246" s="47"/>
      <c r="N246" s="47"/>
      <c r="P246" s="114">
        <v>2.9476300000000001E-3</v>
      </c>
      <c r="Q246" s="269">
        <v>2.1679659999999998</v>
      </c>
      <c r="R246" s="272">
        <f t="shared" si="11"/>
        <v>2.1679659999999999E-3</v>
      </c>
    </row>
    <row r="247" spans="2:18" ht="15" customHeight="1" x14ac:dyDescent="0.25">
      <c r="B247" s="114">
        <v>0.19855639999999999</v>
      </c>
      <c r="C247" s="269">
        <v>4.8907610000000004</v>
      </c>
      <c r="D247" s="272">
        <f t="shared" si="9"/>
        <v>4.8907610000000004E-3</v>
      </c>
      <c r="F247" s="47"/>
      <c r="G247" s="47"/>
      <c r="H247" s="103"/>
      <c r="I247" s="114">
        <v>2.6914159999999999E-3</v>
      </c>
      <c r="J247" s="269">
        <v>1.976137</v>
      </c>
      <c r="K247" s="272">
        <f t="shared" si="10"/>
        <v>1.9761370000000002E-3</v>
      </c>
      <c r="M247" s="47"/>
      <c r="N247" s="47"/>
      <c r="P247" s="114">
        <v>2.9605579999999999E-3</v>
      </c>
      <c r="Q247" s="269">
        <v>2.1737510000000002</v>
      </c>
      <c r="R247" s="272">
        <f t="shared" si="11"/>
        <v>2.1737510000000002E-3</v>
      </c>
    </row>
    <row r="248" spans="2:18" ht="15" customHeight="1" x14ac:dyDescent="0.25">
      <c r="B248" s="114">
        <v>0.1994235</v>
      </c>
      <c r="C248" s="269">
        <v>4.9121180000000004</v>
      </c>
      <c r="D248" s="272">
        <f t="shared" si="9"/>
        <v>4.912118E-3</v>
      </c>
      <c r="F248" s="47"/>
      <c r="G248" s="47"/>
      <c r="H248" s="103"/>
      <c r="I248" s="114">
        <v>2.7031690000000001E-3</v>
      </c>
      <c r="J248" s="269">
        <v>1.981395</v>
      </c>
      <c r="K248" s="272">
        <f t="shared" si="10"/>
        <v>1.9813949999999999E-3</v>
      </c>
      <c r="M248" s="47"/>
      <c r="N248" s="47"/>
      <c r="P248" s="114">
        <v>2.973486E-3</v>
      </c>
      <c r="Q248" s="269">
        <v>2.1795339999999999</v>
      </c>
      <c r="R248" s="272">
        <f t="shared" si="11"/>
        <v>2.1795339999999999E-3</v>
      </c>
    </row>
    <row r="249" spans="2:18" ht="15" customHeight="1" x14ac:dyDescent="0.25">
      <c r="B249" s="114">
        <v>0.20029050000000001</v>
      </c>
      <c r="C249" s="269">
        <v>4.9334749999999996</v>
      </c>
      <c r="D249" s="272">
        <f t="shared" si="9"/>
        <v>4.9334749999999997E-3</v>
      </c>
      <c r="F249" s="47"/>
      <c r="G249" s="47"/>
      <c r="H249" s="103"/>
      <c r="I249" s="114">
        <v>2.7149219999999998E-3</v>
      </c>
      <c r="J249" s="269">
        <v>1.9866509999999999</v>
      </c>
      <c r="K249" s="272">
        <f t="shared" si="10"/>
        <v>1.9866509999999999E-3</v>
      </c>
      <c r="M249" s="47"/>
      <c r="N249" s="47"/>
      <c r="P249" s="114">
        <v>2.9864140000000002E-3</v>
      </c>
      <c r="Q249" s="269">
        <v>2.1853159999999998</v>
      </c>
      <c r="R249" s="272">
        <f t="shared" si="11"/>
        <v>2.1853159999999996E-3</v>
      </c>
    </row>
    <row r="250" spans="2:18" ht="15" customHeight="1" x14ac:dyDescent="0.25">
      <c r="B250" s="114">
        <v>0.20115759999999999</v>
      </c>
      <c r="C250" s="269">
        <v>4.9548319999999997</v>
      </c>
      <c r="D250" s="272">
        <f t="shared" si="9"/>
        <v>4.9548319999999993E-3</v>
      </c>
      <c r="F250" s="47"/>
      <c r="G250" s="47"/>
      <c r="H250" s="103"/>
      <c r="I250" s="114">
        <v>2.726675E-3</v>
      </c>
      <c r="J250" s="269">
        <v>1.9919039999999999</v>
      </c>
      <c r="K250" s="272">
        <f t="shared" si="10"/>
        <v>1.9919040000000001E-3</v>
      </c>
      <c r="M250" s="47"/>
      <c r="N250" s="47"/>
      <c r="P250" s="114">
        <v>2.9993429999999998E-3</v>
      </c>
      <c r="Q250" s="269">
        <v>2.1910949999999998</v>
      </c>
      <c r="R250" s="272">
        <f t="shared" si="11"/>
        <v>2.1910949999999997E-3</v>
      </c>
    </row>
    <row r="251" spans="2:18" ht="15" customHeight="1" x14ac:dyDescent="0.25">
      <c r="B251" s="114">
        <v>0.2020246</v>
      </c>
      <c r="C251" s="269">
        <v>4.9761889999999998</v>
      </c>
      <c r="D251" s="272">
        <f t="shared" si="9"/>
        <v>4.9761889999999998E-3</v>
      </c>
      <c r="F251" s="47"/>
      <c r="G251" s="47"/>
      <c r="H251" s="103"/>
      <c r="I251" s="114">
        <v>2.7384280000000002E-3</v>
      </c>
      <c r="J251" s="269">
        <v>1.9971559999999999</v>
      </c>
      <c r="K251" s="272">
        <f t="shared" si="10"/>
        <v>1.9971559999999999E-3</v>
      </c>
      <c r="M251" s="47"/>
      <c r="N251" s="47"/>
      <c r="P251" s="114">
        <v>3.012271E-3</v>
      </c>
      <c r="Q251" s="269">
        <v>2.1968719999999999</v>
      </c>
      <c r="R251" s="272">
        <f t="shared" si="11"/>
        <v>2.1968719999999999E-3</v>
      </c>
    </row>
    <row r="252" spans="2:18" ht="15" customHeight="1" x14ac:dyDescent="0.25">
      <c r="B252" s="114">
        <v>0.20289170000000001</v>
      </c>
      <c r="C252" s="269">
        <v>4.9975459999999998</v>
      </c>
      <c r="D252" s="272">
        <f t="shared" si="9"/>
        <v>4.9975459999999994E-3</v>
      </c>
      <c r="F252" s="47"/>
      <c r="G252" s="47"/>
      <c r="H252" s="103"/>
      <c r="I252" s="114">
        <v>2.750181E-3</v>
      </c>
      <c r="J252" s="269">
        <v>2.0024069999999998</v>
      </c>
      <c r="K252" s="272">
        <f t="shared" si="10"/>
        <v>2.0024069999999999E-3</v>
      </c>
      <c r="M252" s="47"/>
      <c r="N252" s="47"/>
      <c r="P252" s="114">
        <v>3.0251990000000001E-3</v>
      </c>
      <c r="Q252" s="269">
        <v>2.2026469999999998</v>
      </c>
      <c r="R252" s="272">
        <f t="shared" si="11"/>
        <v>2.2026469999999999E-3</v>
      </c>
    </row>
    <row r="253" spans="2:18" ht="15" customHeight="1" x14ac:dyDescent="0.25">
      <c r="B253" s="114">
        <v>0.20375869999999999</v>
      </c>
      <c r="C253" s="269">
        <v>5.0189029999999999</v>
      </c>
      <c r="D253" s="272">
        <f t="shared" si="9"/>
        <v>5.0189029999999999E-3</v>
      </c>
      <c r="F253" s="47"/>
      <c r="G253" s="47"/>
      <c r="H253" s="103"/>
      <c r="I253" s="114">
        <v>2.7619340000000002E-3</v>
      </c>
      <c r="J253" s="269">
        <v>2.0076550000000002</v>
      </c>
      <c r="K253" s="272">
        <f t="shared" si="10"/>
        <v>2.0076550000000001E-3</v>
      </c>
      <c r="M253" s="47"/>
      <c r="N253" s="47"/>
      <c r="P253" s="114">
        <v>3.0381269999999998E-3</v>
      </c>
      <c r="Q253" s="269">
        <v>2.208421</v>
      </c>
      <c r="R253" s="272">
        <f t="shared" si="11"/>
        <v>2.2084209999999999E-3</v>
      </c>
    </row>
    <row r="254" spans="2:18" ht="15" customHeight="1" x14ac:dyDescent="0.25">
      <c r="B254" s="114">
        <v>0.2046258</v>
      </c>
      <c r="C254" s="269">
        <v>5.04026</v>
      </c>
      <c r="D254" s="272">
        <f t="shared" si="9"/>
        <v>5.0402599999999995E-3</v>
      </c>
      <c r="F254" s="47"/>
      <c r="G254" s="47"/>
      <c r="H254" s="103"/>
      <c r="I254" s="114">
        <v>2.7736869999999999E-3</v>
      </c>
      <c r="J254" s="269">
        <v>2.012902</v>
      </c>
      <c r="K254" s="272">
        <f t="shared" si="10"/>
        <v>2.012902E-3</v>
      </c>
      <c r="M254" s="47"/>
      <c r="N254" s="47"/>
      <c r="P254" s="114">
        <v>3.051055E-3</v>
      </c>
      <c r="Q254" s="269">
        <v>2.2141920000000002</v>
      </c>
      <c r="R254" s="272">
        <f t="shared" si="11"/>
        <v>2.2141920000000002E-3</v>
      </c>
    </row>
    <row r="255" spans="2:18" ht="15" customHeight="1" x14ac:dyDescent="0.25">
      <c r="B255" s="114">
        <v>0.20549290000000001</v>
      </c>
      <c r="C255" s="269">
        <v>5.061617</v>
      </c>
      <c r="D255" s="272">
        <f t="shared" si="9"/>
        <v>5.061617E-3</v>
      </c>
      <c r="F255" s="47"/>
      <c r="G255" s="47"/>
      <c r="H255" s="103"/>
      <c r="I255" s="114">
        <v>2.7854400000000001E-3</v>
      </c>
      <c r="J255" s="269">
        <v>2.0181469999999999</v>
      </c>
      <c r="K255" s="272">
        <f t="shared" si="10"/>
        <v>2.0181470000000001E-3</v>
      </c>
      <c r="M255" s="47"/>
      <c r="N255" s="47"/>
      <c r="P255" s="114">
        <v>3.0639840000000001E-3</v>
      </c>
      <c r="Q255" s="269">
        <v>2.2199620000000002</v>
      </c>
      <c r="R255" s="272">
        <f t="shared" si="11"/>
        <v>2.2199620000000002E-3</v>
      </c>
    </row>
    <row r="256" spans="2:18" ht="15" customHeight="1" x14ac:dyDescent="0.25">
      <c r="B256" s="114">
        <v>0.20635990000000001</v>
      </c>
      <c r="C256" s="269">
        <v>5.0829740000000001</v>
      </c>
      <c r="D256" s="272">
        <f t="shared" si="9"/>
        <v>5.0829740000000005E-3</v>
      </c>
      <c r="F256" s="47"/>
      <c r="G256" s="47"/>
      <c r="H256" s="103"/>
      <c r="I256" s="114">
        <v>2.7971929999999999E-3</v>
      </c>
      <c r="J256" s="269">
        <v>2.02339</v>
      </c>
      <c r="K256" s="272">
        <f t="shared" si="10"/>
        <v>2.0233899999999999E-3</v>
      </c>
      <c r="M256" s="47"/>
      <c r="N256" s="47"/>
      <c r="P256" s="114">
        <v>3.0769119999999998E-3</v>
      </c>
      <c r="Q256" s="269">
        <v>2.22573</v>
      </c>
      <c r="R256" s="272">
        <f t="shared" si="11"/>
        <v>2.22573E-3</v>
      </c>
    </row>
    <row r="257" spans="2:18" ht="15" customHeight="1" x14ac:dyDescent="0.25">
      <c r="B257" s="114">
        <v>0.20722699999999999</v>
      </c>
      <c r="C257" s="269">
        <v>5.1043310000000002</v>
      </c>
      <c r="D257" s="272">
        <f t="shared" si="9"/>
        <v>5.1043310000000001E-3</v>
      </c>
      <c r="F257" s="47"/>
      <c r="G257" s="47"/>
      <c r="H257" s="103"/>
      <c r="I257" s="114">
        <v>2.8089460000000001E-3</v>
      </c>
      <c r="J257" s="269">
        <v>2.028632</v>
      </c>
      <c r="K257" s="272">
        <f t="shared" si="10"/>
        <v>2.0286319999999998E-3</v>
      </c>
      <c r="M257" s="47"/>
      <c r="N257" s="47"/>
      <c r="P257" s="114">
        <v>3.0898399999999999E-3</v>
      </c>
      <c r="Q257" s="269">
        <v>2.2314959999999999</v>
      </c>
      <c r="R257" s="272">
        <f t="shared" si="11"/>
        <v>2.2314959999999999E-3</v>
      </c>
    </row>
    <row r="258" spans="2:18" ht="15" customHeight="1" x14ac:dyDescent="0.25">
      <c r="B258" s="114">
        <v>0.208094</v>
      </c>
      <c r="C258" s="269">
        <v>5.1256880000000002</v>
      </c>
      <c r="D258" s="272">
        <f t="shared" si="9"/>
        <v>5.1256880000000006E-3</v>
      </c>
      <c r="F258" s="47"/>
      <c r="G258" s="47"/>
      <c r="H258" s="103"/>
      <c r="I258" s="114">
        <v>2.820698E-3</v>
      </c>
      <c r="J258" s="269">
        <v>2.0338729999999998</v>
      </c>
      <c r="K258" s="272">
        <f t="shared" si="10"/>
        <v>2.0338729999999998E-3</v>
      </c>
      <c r="M258" s="47"/>
      <c r="N258" s="47"/>
      <c r="P258" s="114">
        <v>3.1027680000000001E-3</v>
      </c>
      <c r="Q258" s="269">
        <v>2.23726</v>
      </c>
      <c r="R258" s="272">
        <f t="shared" si="11"/>
        <v>2.23726E-3</v>
      </c>
    </row>
    <row r="259" spans="2:18" ht="15" customHeight="1" x14ac:dyDescent="0.25">
      <c r="B259" s="114">
        <v>0.20896110000000001</v>
      </c>
      <c r="C259" s="269">
        <v>5.1470450000000003</v>
      </c>
      <c r="D259" s="272">
        <f t="shared" si="9"/>
        <v>5.1470450000000003E-3</v>
      </c>
      <c r="F259" s="47"/>
      <c r="G259" s="47"/>
      <c r="H259" s="103"/>
      <c r="I259" s="114">
        <v>2.8324510000000002E-3</v>
      </c>
      <c r="J259" s="269">
        <v>2.0391110000000001</v>
      </c>
      <c r="K259" s="272">
        <f t="shared" si="10"/>
        <v>2.0391110000000001E-3</v>
      </c>
      <c r="M259" s="47"/>
      <c r="N259" s="47"/>
      <c r="P259" s="114">
        <v>3.1156959999999998E-3</v>
      </c>
      <c r="Q259" s="269">
        <v>2.2430219999999998</v>
      </c>
      <c r="R259" s="272">
        <f t="shared" si="11"/>
        <v>2.2430219999999999E-3</v>
      </c>
    </row>
    <row r="260" spans="2:18" ht="15" customHeight="1" x14ac:dyDescent="0.25">
      <c r="B260" s="114">
        <v>0.20982819999999999</v>
      </c>
      <c r="C260" s="269">
        <v>5.1684020000000004</v>
      </c>
      <c r="D260" s="272">
        <f t="shared" si="9"/>
        <v>5.1684020000000008E-3</v>
      </c>
      <c r="F260" s="47"/>
      <c r="G260" s="47"/>
      <c r="H260" s="103"/>
      <c r="I260" s="114">
        <v>2.8442039999999999E-3</v>
      </c>
      <c r="J260" s="269">
        <v>2.0443479999999998</v>
      </c>
      <c r="K260" s="272">
        <f t="shared" si="10"/>
        <v>2.0443479999999997E-3</v>
      </c>
      <c r="M260" s="47"/>
      <c r="N260" s="47"/>
      <c r="P260" s="114">
        <v>3.1286249999999999E-3</v>
      </c>
      <c r="Q260" s="269">
        <v>2.248783</v>
      </c>
      <c r="R260" s="272">
        <f t="shared" si="11"/>
        <v>2.2487829999999999E-3</v>
      </c>
    </row>
    <row r="261" spans="2:18" ht="15" customHeight="1" x14ac:dyDescent="0.25">
      <c r="B261" s="114">
        <v>0.2106952</v>
      </c>
      <c r="C261" s="269">
        <v>5.1897589999999996</v>
      </c>
      <c r="D261" s="272">
        <f t="shared" si="9"/>
        <v>5.1897589999999995E-3</v>
      </c>
      <c r="F261" s="47"/>
      <c r="G261" s="47"/>
      <c r="H261" s="103"/>
      <c r="I261" s="114">
        <v>2.8559570000000001E-3</v>
      </c>
      <c r="J261" s="269">
        <v>2.0495839999999999</v>
      </c>
      <c r="K261" s="272">
        <f t="shared" si="10"/>
        <v>2.0495839999999997E-3</v>
      </c>
      <c r="M261" s="47"/>
      <c r="N261" s="47"/>
      <c r="P261" s="114">
        <v>3.1415530000000001E-3</v>
      </c>
      <c r="Q261" s="269">
        <v>2.254543</v>
      </c>
      <c r="R261" s="272">
        <f t="shared" si="11"/>
        <v>2.2545429999999999E-3</v>
      </c>
    </row>
    <row r="262" spans="2:18" ht="15" customHeight="1" x14ac:dyDescent="0.25">
      <c r="B262" s="114">
        <v>0.21156230000000001</v>
      </c>
      <c r="C262" s="269">
        <v>5.2111159999999996</v>
      </c>
      <c r="D262" s="272">
        <f t="shared" si="9"/>
        <v>5.211116E-3</v>
      </c>
      <c r="F262" s="47"/>
      <c r="G262" s="47"/>
      <c r="H262" s="103"/>
      <c r="I262" s="114">
        <v>2.8677099999999999E-3</v>
      </c>
      <c r="J262" s="269">
        <v>2.054818</v>
      </c>
      <c r="K262" s="272">
        <f t="shared" si="10"/>
        <v>2.0548179999999999E-3</v>
      </c>
      <c r="M262" s="47"/>
      <c r="N262" s="47"/>
      <c r="P262" s="114">
        <v>3.1544810000000002E-3</v>
      </c>
      <c r="Q262" s="269">
        <v>2.2603</v>
      </c>
      <c r="R262" s="272">
        <f t="shared" si="11"/>
        <v>2.2602999999999998E-3</v>
      </c>
    </row>
    <row r="263" spans="2:18" ht="15" customHeight="1" x14ac:dyDescent="0.25">
      <c r="B263" s="114">
        <v>0.21242929999999999</v>
      </c>
      <c r="C263" s="269">
        <v>5.2324729999999997</v>
      </c>
      <c r="D263" s="272">
        <f t="shared" si="9"/>
        <v>5.2324729999999996E-3</v>
      </c>
      <c r="F263" s="47"/>
      <c r="G263" s="47"/>
      <c r="H263" s="103"/>
      <c r="I263" s="114">
        <v>2.8794630000000001E-3</v>
      </c>
      <c r="J263" s="269">
        <v>2.0600510000000001</v>
      </c>
      <c r="K263" s="272">
        <f t="shared" si="10"/>
        <v>2.0600510000000002E-3</v>
      </c>
      <c r="M263" s="47"/>
      <c r="N263" s="47"/>
      <c r="P263" s="114">
        <v>3.1674089999999999E-3</v>
      </c>
      <c r="Q263" s="269">
        <v>2.2660559999999998</v>
      </c>
      <c r="R263" s="272">
        <f t="shared" si="11"/>
        <v>2.2660559999999998E-3</v>
      </c>
    </row>
    <row r="264" spans="2:18" ht="15" customHeight="1" x14ac:dyDescent="0.25">
      <c r="B264" s="114">
        <v>0.2132964</v>
      </c>
      <c r="C264" s="269">
        <v>5.2538299999999998</v>
      </c>
      <c r="D264" s="272">
        <f t="shared" si="9"/>
        <v>5.2538300000000001E-3</v>
      </c>
      <c r="F264" s="47"/>
      <c r="G264" s="47"/>
      <c r="H264" s="103"/>
      <c r="I264" s="114">
        <v>2.8912159999999998E-3</v>
      </c>
      <c r="J264" s="269">
        <v>2.0652819999999998</v>
      </c>
      <c r="K264" s="272">
        <f t="shared" si="10"/>
        <v>2.0652819999999999E-3</v>
      </c>
      <c r="M264" s="47"/>
      <c r="N264" s="47"/>
      <c r="P264" s="114">
        <v>3.1803370000000001E-3</v>
      </c>
      <c r="Q264" s="269">
        <v>2.271811</v>
      </c>
      <c r="R264" s="272">
        <f t="shared" si="11"/>
        <v>2.2718109999999999E-3</v>
      </c>
    </row>
    <row r="265" spans="2:18" ht="15" customHeight="1" x14ac:dyDescent="0.25">
      <c r="B265" s="114">
        <v>0.2141634</v>
      </c>
      <c r="C265" s="269">
        <v>5.2751869999999998</v>
      </c>
      <c r="D265" s="272">
        <f t="shared" si="9"/>
        <v>5.2751869999999998E-3</v>
      </c>
      <c r="F265" s="47"/>
      <c r="G265" s="47"/>
      <c r="H265" s="103"/>
      <c r="I265" s="114">
        <v>2.902969E-3</v>
      </c>
      <c r="J265" s="269">
        <v>2.0705119999999999</v>
      </c>
      <c r="K265" s="272">
        <f t="shared" si="10"/>
        <v>2.070512E-3</v>
      </c>
      <c r="M265" s="47"/>
      <c r="N265" s="47"/>
      <c r="P265" s="114">
        <v>3.1932660000000002E-3</v>
      </c>
      <c r="Q265" s="269">
        <v>2.2775629999999998</v>
      </c>
      <c r="R265" s="272">
        <f t="shared" si="11"/>
        <v>2.2775629999999998E-3</v>
      </c>
    </row>
    <row r="266" spans="2:18" ht="15" customHeight="1" x14ac:dyDescent="0.25">
      <c r="B266" s="114">
        <v>0.21503050000000001</v>
      </c>
      <c r="C266" s="269">
        <v>5.2965450000000001</v>
      </c>
      <c r="D266" s="272">
        <f t="shared" si="9"/>
        <v>5.2965449999999997E-3</v>
      </c>
      <c r="F266" s="47"/>
      <c r="G266" s="47"/>
      <c r="H266" s="103"/>
      <c r="I266" s="114">
        <v>2.9147219999999998E-3</v>
      </c>
      <c r="J266" s="269">
        <v>2.0757409999999998</v>
      </c>
      <c r="K266" s="272">
        <f t="shared" si="10"/>
        <v>2.0757409999999999E-3</v>
      </c>
      <c r="M266" s="47"/>
      <c r="N266" s="47"/>
      <c r="P266" s="114">
        <v>3.2061939999999999E-3</v>
      </c>
      <c r="Q266" s="269">
        <v>2.283315</v>
      </c>
      <c r="R266" s="272">
        <f t="shared" si="11"/>
        <v>2.2833150000000002E-3</v>
      </c>
    </row>
    <row r="267" spans="2:18" ht="15" customHeight="1" x14ac:dyDescent="0.25">
      <c r="B267" s="114">
        <v>0.2158976</v>
      </c>
      <c r="C267" s="269">
        <v>5.3179020000000001</v>
      </c>
      <c r="D267" s="272">
        <f t="shared" si="9"/>
        <v>5.3179020000000002E-3</v>
      </c>
      <c r="F267" s="47"/>
      <c r="G267" s="47"/>
      <c r="H267" s="103"/>
      <c r="I267" s="114">
        <v>2.926475E-3</v>
      </c>
      <c r="J267" s="269">
        <v>2.0809679999999999</v>
      </c>
      <c r="K267" s="272">
        <f t="shared" si="10"/>
        <v>2.0809679999999999E-3</v>
      </c>
      <c r="M267" s="47"/>
      <c r="N267" s="47"/>
      <c r="P267" s="114">
        <v>3.219122E-3</v>
      </c>
      <c r="Q267" s="269">
        <v>2.2890649999999999</v>
      </c>
      <c r="R267" s="272">
        <f t="shared" si="11"/>
        <v>2.2890649999999998E-3</v>
      </c>
    </row>
    <row r="268" spans="2:18" ht="15" customHeight="1" x14ac:dyDescent="0.25">
      <c r="B268" s="114">
        <v>0.2167646</v>
      </c>
      <c r="C268" s="269">
        <v>5.3392590000000002</v>
      </c>
      <c r="D268" s="272">
        <f t="shared" si="9"/>
        <v>5.3392589999999998E-3</v>
      </c>
      <c r="F268" s="47"/>
      <c r="G268" s="47"/>
      <c r="H268" s="103"/>
      <c r="I268" s="114">
        <v>2.9382280000000002E-3</v>
      </c>
      <c r="J268" s="269">
        <v>2.0861939999999999</v>
      </c>
      <c r="K268" s="272">
        <f t="shared" si="10"/>
        <v>2.086194E-3</v>
      </c>
      <c r="M268" s="47"/>
      <c r="N268" s="47"/>
      <c r="P268" s="114">
        <v>3.2320500000000002E-3</v>
      </c>
      <c r="Q268" s="269">
        <v>2.294813</v>
      </c>
      <c r="R268" s="272">
        <f t="shared" si="11"/>
        <v>2.2948130000000001E-3</v>
      </c>
    </row>
    <row r="269" spans="2:18" ht="15" customHeight="1" x14ac:dyDescent="0.25">
      <c r="B269" s="114">
        <v>0.21763170000000001</v>
      </c>
      <c r="C269" s="269">
        <v>5.3606160000000003</v>
      </c>
      <c r="D269" s="272">
        <f t="shared" si="9"/>
        <v>5.3606160000000003E-3</v>
      </c>
      <c r="F269" s="47"/>
      <c r="G269" s="47"/>
      <c r="H269" s="103"/>
      <c r="I269" s="114">
        <v>2.9499800000000001E-3</v>
      </c>
      <c r="J269" s="269">
        <v>2.0910519999999999</v>
      </c>
      <c r="K269" s="272">
        <f t="shared" si="10"/>
        <v>2.0910519999999999E-3</v>
      </c>
      <c r="M269" s="47"/>
      <c r="N269" s="47"/>
      <c r="P269" s="114">
        <v>3.2449779999999999E-3</v>
      </c>
      <c r="Q269" s="269">
        <v>2.3001580000000001</v>
      </c>
      <c r="R269" s="272">
        <f t="shared" si="11"/>
        <v>2.3001580000000001E-3</v>
      </c>
    </row>
    <row r="270" spans="2:18" ht="15" customHeight="1" x14ac:dyDescent="0.25">
      <c r="B270" s="114">
        <v>0.21849869999999999</v>
      </c>
      <c r="C270" s="269">
        <v>5.3819730000000003</v>
      </c>
      <c r="D270" s="272">
        <f t="shared" si="9"/>
        <v>5.381973E-3</v>
      </c>
      <c r="F270" s="47"/>
      <c r="G270" s="47"/>
      <c r="H270" s="103"/>
      <c r="I270" s="114">
        <v>2.9617329999999998E-3</v>
      </c>
      <c r="J270" s="269">
        <v>2.0956100000000002</v>
      </c>
      <c r="K270" s="272">
        <f t="shared" si="10"/>
        <v>2.0956100000000004E-3</v>
      </c>
      <c r="M270" s="47"/>
      <c r="N270" s="47"/>
      <c r="P270" s="114">
        <v>3.257907E-3</v>
      </c>
      <c r="Q270" s="269">
        <v>2.3051710000000001</v>
      </c>
      <c r="R270" s="272">
        <f t="shared" si="11"/>
        <v>2.305171E-3</v>
      </c>
    </row>
    <row r="271" spans="2:18" ht="15" customHeight="1" x14ac:dyDescent="0.25">
      <c r="B271" s="114">
        <v>0.2193658</v>
      </c>
      <c r="C271" s="269">
        <v>5.4033300000000004</v>
      </c>
      <c r="D271" s="272">
        <f t="shared" si="9"/>
        <v>5.4033300000000005E-3</v>
      </c>
      <c r="F271" s="47"/>
      <c r="G271" s="47"/>
      <c r="I271" s="114">
        <v>2.973486E-3</v>
      </c>
      <c r="J271" s="269">
        <v>2.0999729999999999</v>
      </c>
      <c r="K271" s="272">
        <f t="shared" si="10"/>
        <v>2.0999729999999998E-3</v>
      </c>
      <c r="M271" s="47"/>
      <c r="N271" s="47"/>
      <c r="P271" s="114">
        <v>3.2708350000000001E-3</v>
      </c>
      <c r="Q271" s="269">
        <v>2.3099699999999999</v>
      </c>
      <c r="R271" s="272">
        <f t="shared" si="11"/>
        <v>2.3099699999999997E-3</v>
      </c>
    </row>
    <row r="272" spans="2:18" ht="15" customHeight="1" x14ac:dyDescent="0.25">
      <c r="B272" s="114">
        <v>0.22023290000000001</v>
      </c>
      <c r="C272" s="269">
        <v>5.4246869999999996</v>
      </c>
      <c r="D272" s="272">
        <f t="shared" si="9"/>
        <v>5.4246869999999992E-3</v>
      </c>
      <c r="F272" s="47"/>
      <c r="G272" s="47"/>
      <c r="I272" s="114">
        <v>2.9852390000000002E-3</v>
      </c>
      <c r="J272" s="269">
        <v>2.1041810000000001</v>
      </c>
      <c r="K272" s="272">
        <f t="shared" si="10"/>
        <v>2.1041810000000001E-3</v>
      </c>
      <c r="M272" s="47"/>
      <c r="N272" s="47"/>
      <c r="P272" s="114">
        <v>3.2837629999999999E-3</v>
      </c>
      <c r="Q272" s="269">
        <v>2.3145989999999999</v>
      </c>
      <c r="R272" s="272">
        <f t="shared" si="11"/>
        <v>2.3145989999999996E-3</v>
      </c>
    </row>
    <row r="273" spans="2:18" ht="15" customHeight="1" x14ac:dyDescent="0.25">
      <c r="B273" s="114">
        <v>0.22109989999999999</v>
      </c>
      <c r="C273" s="269">
        <v>5.4460439999999997</v>
      </c>
      <c r="D273" s="272">
        <f t="shared" si="9"/>
        <v>5.4460439999999997E-3</v>
      </c>
      <c r="F273" s="47"/>
      <c r="G273" s="47"/>
      <c r="I273" s="114">
        <v>2.996992E-3</v>
      </c>
      <c r="J273" s="269">
        <v>2.108257</v>
      </c>
      <c r="K273" s="272">
        <f t="shared" si="10"/>
        <v>2.1082570000000001E-3</v>
      </c>
      <c r="M273" s="47"/>
      <c r="N273" s="47"/>
      <c r="P273" s="114">
        <v>3.296691E-3</v>
      </c>
      <c r="Q273" s="269">
        <v>2.319083</v>
      </c>
      <c r="R273" s="272">
        <f t="shared" si="11"/>
        <v>2.319083E-3</v>
      </c>
    </row>
    <row r="274" spans="2:18" ht="15" customHeight="1" x14ac:dyDescent="0.25">
      <c r="B274" s="114">
        <v>0.221967</v>
      </c>
      <c r="C274" s="269">
        <v>5.4674009999999997</v>
      </c>
      <c r="D274" s="272">
        <f t="shared" ref="D274:D337" si="12">C274/1000</f>
        <v>5.4674009999999993E-3</v>
      </c>
      <c r="F274" s="47"/>
      <c r="G274" s="47"/>
      <c r="I274" s="114">
        <v>3.0087450000000002E-3</v>
      </c>
      <c r="J274" s="269">
        <v>2.1122160000000001</v>
      </c>
      <c r="K274" s="272">
        <f t="shared" ref="K274:K337" si="13">J274/1000</f>
        <v>2.1122160000000001E-3</v>
      </c>
      <c r="M274" s="47"/>
      <c r="N274" s="47"/>
      <c r="P274" s="114">
        <v>3.3096190000000002E-3</v>
      </c>
      <c r="Q274" s="269">
        <v>2.3234370000000002</v>
      </c>
      <c r="R274" s="272">
        <f t="shared" ref="R274:R337" si="14">Q274/1000</f>
        <v>2.3234370000000002E-3</v>
      </c>
    </row>
    <row r="275" spans="2:18" ht="15" customHeight="1" x14ac:dyDescent="0.25">
      <c r="B275" s="114">
        <v>0.222834</v>
      </c>
      <c r="C275" s="269">
        <v>5.4887579999999998</v>
      </c>
      <c r="D275" s="272">
        <f t="shared" si="12"/>
        <v>5.4887579999999998E-3</v>
      </c>
      <c r="F275" s="47"/>
      <c r="G275" s="47"/>
      <c r="I275" s="114">
        <v>3.0204979999999999E-3</v>
      </c>
      <c r="J275" s="269">
        <v>2.116069</v>
      </c>
      <c r="K275" s="272">
        <f t="shared" si="13"/>
        <v>2.1160689999999999E-3</v>
      </c>
      <c r="M275" s="47"/>
      <c r="N275" s="47"/>
      <c r="P275" s="114">
        <v>3.3225479999999998E-3</v>
      </c>
      <c r="Q275" s="269">
        <v>2.3276759999999999</v>
      </c>
      <c r="R275" s="272">
        <f t="shared" si="14"/>
        <v>2.3276759999999999E-3</v>
      </c>
    </row>
    <row r="276" spans="2:18" ht="15" customHeight="1" x14ac:dyDescent="0.25">
      <c r="B276" s="114">
        <v>0.22370110000000001</v>
      </c>
      <c r="C276" s="269">
        <v>5.5101149999999999</v>
      </c>
      <c r="D276" s="272">
        <f t="shared" si="12"/>
        <v>5.5101149999999995E-3</v>
      </c>
      <c r="F276" s="47"/>
      <c r="G276" s="47"/>
      <c r="I276" s="114">
        <v>3.0322510000000001E-3</v>
      </c>
      <c r="J276" s="269">
        <v>2.1198269999999999</v>
      </c>
      <c r="K276" s="272">
        <f t="shared" si="13"/>
        <v>2.1198269999999999E-3</v>
      </c>
      <c r="M276" s="47"/>
      <c r="N276" s="47"/>
      <c r="P276" s="114">
        <v>3.335476E-3</v>
      </c>
      <c r="Q276" s="269">
        <v>2.3318089999999998</v>
      </c>
      <c r="R276" s="272">
        <f t="shared" si="14"/>
        <v>2.3318089999999998E-3</v>
      </c>
    </row>
    <row r="277" spans="2:18" ht="15" customHeight="1" x14ac:dyDescent="0.25">
      <c r="B277" s="114">
        <v>0.2245682</v>
      </c>
      <c r="C277" s="269">
        <v>5.5314719999999999</v>
      </c>
      <c r="D277" s="272">
        <f t="shared" si="12"/>
        <v>5.531472E-3</v>
      </c>
      <c r="F277" s="47"/>
      <c r="G277" s="47"/>
      <c r="I277" s="114">
        <v>3.0440039999999999E-3</v>
      </c>
      <c r="J277" s="269">
        <v>2.1234950000000001</v>
      </c>
      <c r="K277" s="272">
        <f t="shared" si="13"/>
        <v>2.123495E-3</v>
      </c>
      <c r="M277" s="47"/>
      <c r="N277" s="47"/>
      <c r="P277" s="114">
        <v>3.3484040000000001E-3</v>
      </c>
      <c r="Q277" s="269">
        <v>2.3358449999999999</v>
      </c>
      <c r="R277" s="272">
        <f t="shared" si="14"/>
        <v>2.335845E-3</v>
      </c>
    </row>
    <row r="278" spans="2:18" ht="15" customHeight="1" x14ac:dyDescent="0.25">
      <c r="B278" s="114">
        <v>0.2254352</v>
      </c>
      <c r="C278" s="269">
        <v>5.552829</v>
      </c>
      <c r="D278" s="272">
        <f t="shared" si="12"/>
        <v>5.5528290000000004E-3</v>
      </c>
      <c r="F278" s="47"/>
      <c r="G278" s="47"/>
      <c r="I278" s="114">
        <v>3.0557570000000001E-3</v>
      </c>
      <c r="J278" s="269">
        <v>2.1270799999999999</v>
      </c>
      <c r="K278" s="272">
        <f t="shared" si="13"/>
        <v>2.1270799999999999E-3</v>
      </c>
      <c r="M278" s="47"/>
      <c r="N278" s="47"/>
      <c r="P278" s="114">
        <v>3.3613319999999999E-3</v>
      </c>
      <c r="Q278" s="269">
        <v>2.339788</v>
      </c>
      <c r="R278" s="272">
        <f t="shared" si="14"/>
        <v>2.3397879999999998E-3</v>
      </c>
    </row>
    <row r="279" spans="2:18" ht="15" customHeight="1" x14ac:dyDescent="0.25">
      <c r="B279" s="114">
        <v>0.22630230000000001</v>
      </c>
      <c r="C279" s="269">
        <v>5.5741860000000001</v>
      </c>
      <c r="D279" s="272">
        <f t="shared" si="12"/>
        <v>5.5741860000000001E-3</v>
      </c>
      <c r="F279" s="47"/>
      <c r="G279" s="47"/>
      <c r="I279" s="114">
        <v>3.0675099999999999E-3</v>
      </c>
      <c r="J279" s="269">
        <v>2.1305879999999999</v>
      </c>
      <c r="K279" s="272">
        <f t="shared" si="13"/>
        <v>2.1305880000000001E-3</v>
      </c>
      <c r="M279" s="47"/>
      <c r="N279" s="47"/>
      <c r="P279" s="114">
        <v>3.37426E-3</v>
      </c>
      <c r="Q279" s="269">
        <v>2.3436469999999998</v>
      </c>
      <c r="R279" s="272">
        <f t="shared" si="14"/>
        <v>2.3436469999999999E-3</v>
      </c>
    </row>
    <row r="280" spans="2:18" ht="15" customHeight="1" x14ac:dyDescent="0.25">
      <c r="B280" s="114">
        <v>0.22716929999999999</v>
      </c>
      <c r="C280" s="269">
        <v>5.5955430000000002</v>
      </c>
      <c r="D280" s="272">
        <f t="shared" si="12"/>
        <v>5.5955430000000006E-3</v>
      </c>
      <c r="F280" s="47"/>
      <c r="G280" s="47"/>
      <c r="I280" s="114">
        <v>3.0792620000000001E-3</v>
      </c>
      <c r="J280" s="269">
        <v>2.134023</v>
      </c>
      <c r="K280" s="272">
        <f t="shared" si="13"/>
        <v>2.1340230000000001E-3</v>
      </c>
      <c r="M280" s="47"/>
      <c r="N280" s="47"/>
      <c r="P280" s="114">
        <v>3.3871890000000001E-3</v>
      </c>
      <c r="Q280" s="269">
        <v>2.3474249999999999</v>
      </c>
      <c r="R280" s="272">
        <f t="shared" si="14"/>
        <v>2.3474249999999998E-3</v>
      </c>
    </row>
    <row r="281" spans="2:18" ht="15" customHeight="1" x14ac:dyDescent="0.25">
      <c r="B281" s="114">
        <v>0.2280364</v>
      </c>
      <c r="C281" s="269">
        <v>5.6169000000000002</v>
      </c>
      <c r="D281" s="272">
        <f t="shared" si="12"/>
        <v>5.6169000000000002E-3</v>
      </c>
      <c r="F281" s="47"/>
      <c r="G281" s="47"/>
      <c r="I281" s="114">
        <v>3.0910149999999999E-3</v>
      </c>
      <c r="J281" s="269">
        <v>2.1373880000000001</v>
      </c>
      <c r="K281" s="272">
        <f t="shared" si="13"/>
        <v>2.137388E-3</v>
      </c>
      <c r="M281" s="47"/>
      <c r="N281" s="47"/>
      <c r="P281" s="114">
        <v>3.4001169999999998E-3</v>
      </c>
      <c r="Q281" s="269">
        <v>2.351127</v>
      </c>
      <c r="R281" s="272">
        <f t="shared" si="14"/>
        <v>2.3511270000000002E-3</v>
      </c>
    </row>
    <row r="282" spans="2:18" ht="15" customHeight="1" x14ac:dyDescent="0.25">
      <c r="B282" s="114">
        <v>0.22890340000000001</v>
      </c>
      <c r="C282" s="269">
        <v>5.6382570000000003</v>
      </c>
      <c r="D282" s="272">
        <f t="shared" si="12"/>
        <v>5.6382570000000007E-3</v>
      </c>
      <c r="F282" s="47"/>
      <c r="G282" s="47"/>
      <c r="I282" s="114">
        <v>3.1027680000000001E-3</v>
      </c>
      <c r="J282" s="269">
        <v>2.1406869999999998</v>
      </c>
      <c r="K282" s="272">
        <f t="shared" si="13"/>
        <v>2.1406869999999996E-3</v>
      </c>
      <c r="M282" s="47"/>
      <c r="N282" s="47"/>
      <c r="P282" s="114">
        <v>3.413045E-3</v>
      </c>
      <c r="Q282" s="269">
        <v>2.3547560000000001</v>
      </c>
      <c r="R282" s="272">
        <f t="shared" si="14"/>
        <v>2.3547559999999999E-3</v>
      </c>
    </row>
    <row r="283" spans="2:18" ht="15" customHeight="1" x14ac:dyDescent="0.25">
      <c r="B283" s="114">
        <v>0.22977049999999999</v>
      </c>
      <c r="C283" s="269">
        <v>5.6596140000000004</v>
      </c>
      <c r="D283" s="272">
        <f t="shared" si="12"/>
        <v>5.6596140000000003E-3</v>
      </c>
      <c r="F283" s="47"/>
      <c r="G283" s="47"/>
      <c r="I283" s="114">
        <v>3.1145209999999999E-3</v>
      </c>
      <c r="J283" s="269">
        <v>2.1439240000000002</v>
      </c>
      <c r="K283" s="272">
        <f t="shared" si="13"/>
        <v>2.1439240000000002E-3</v>
      </c>
      <c r="M283" s="47"/>
      <c r="N283" s="47"/>
      <c r="P283" s="114">
        <v>3.4259730000000001E-3</v>
      </c>
      <c r="Q283" s="269">
        <v>2.3583159999999999</v>
      </c>
      <c r="R283" s="272">
        <f t="shared" si="14"/>
        <v>2.3583160000000001E-3</v>
      </c>
    </row>
    <row r="284" spans="2:18" ht="15" customHeight="1" x14ac:dyDescent="0.25">
      <c r="B284" s="114">
        <v>0.2306376</v>
      </c>
      <c r="C284" s="269">
        <v>5.6809710000000004</v>
      </c>
      <c r="D284" s="272">
        <f t="shared" si="12"/>
        <v>5.6809710000000008E-3</v>
      </c>
      <c r="F284" s="47"/>
      <c r="G284" s="47"/>
      <c r="I284" s="114">
        <v>3.1262740000000001E-3</v>
      </c>
      <c r="J284" s="269">
        <v>2.1471010000000001</v>
      </c>
      <c r="K284" s="272">
        <f t="shared" si="13"/>
        <v>2.1471010000000002E-3</v>
      </c>
      <c r="M284" s="47"/>
      <c r="N284" s="47"/>
      <c r="P284" s="114">
        <v>3.4389009999999999E-3</v>
      </c>
      <c r="Q284" s="269">
        <v>2.3618109999999999</v>
      </c>
      <c r="R284" s="272">
        <f t="shared" si="14"/>
        <v>2.3618109999999997E-3</v>
      </c>
    </row>
    <row r="285" spans="2:18" ht="15" customHeight="1" x14ac:dyDescent="0.25">
      <c r="B285" s="114">
        <v>0.2315046</v>
      </c>
      <c r="C285" s="269">
        <v>5.7023279999999996</v>
      </c>
      <c r="D285" s="272">
        <f t="shared" si="12"/>
        <v>5.7023279999999996E-3</v>
      </c>
      <c r="F285" s="47"/>
      <c r="G285" s="47"/>
      <c r="I285" s="114">
        <v>3.1380269999999998E-3</v>
      </c>
      <c r="J285" s="269">
        <v>2.1502210000000002</v>
      </c>
      <c r="K285" s="272">
        <f t="shared" si="13"/>
        <v>2.1502210000000003E-3</v>
      </c>
      <c r="M285" s="47"/>
      <c r="N285" s="47"/>
      <c r="P285" s="114">
        <v>3.4518299999999999E-3</v>
      </c>
      <c r="Q285" s="269">
        <v>2.365243</v>
      </c>
      <c r="R285" s="272">
        <f t="shared" si="14"/>
        <v>2.3652429999999999E-3</v>
      </c>
    </row>
    <row r="286" spans="2:18" ht="15" customHeight="1" x14ac:dyDescent="0.25">
      <c r="B286" s="114">
        <v>0.23237169999999999</v>
      </c>
      <c r="C286" s="269">
        <v>5.7236849999999997</v>
      </c>
      <c r="D286" s="272">
        <f t="shared" si="12"/>
        <v>5.7236850000000001E-3</v>
      </c>
      <c r="F286" s="47"/>
      <c r="G286" s="47"/>
      <c r="I286" s="114">
        <v>3.14978E-3</v>
      </c>
      <c r="J286" s="269">
        <v>2.153286</v>
      </c>
      <c r="K286" s="272">
        <f t="shared" si="13"/>
        <v>2.1532859999999999E-3</v>
      </c>
      <c r="M286" s="47"/>
      <c r="N286" s="47"/>
      <c r="P286" s="114">
        <v>3.4647580000000001E-3</v>
      </c>
      <c r="Q286" s="269">
        <v>2.368614</v>
      </c>
      <c r="R286" s="272">
        <f t="shared" si="14"/>
        <v>2.3686139999999998E-3</v>
      </c>
    </row>
    <row r="287" spans="2:18" ht="15" customHeight="1" x14ac:dyDescent="0.25">
      <c r="B287" s="114">
        <v>0.23323869999999999</v>
      </c>
      <c r="C287" s="269">
        <v>5.7450419999999998</v>
      </c>
      <c r="D287" s="272">
        <f t="shared" si="12"/>
        <v>5.7450419999999997E-3</v>
      </c>
      <c r="F287" s="47"/>
      <c r="G287" s="47"/>
      <c r="I287" s="114">
        <v>3.1615329999999998E-3</v>
      </c>
      <c r="J287" s="269">
        <v>2.156298</v>
      </c>
      <c r="K287" s="272">
        <f t="shared" si="13"/>
        <v>2.1562980000000001E-3</v>
      </c>
      <c r="M287" s="47"/>
      <c r="N287" s="47"/>
      <c r="P287" s="114">
        <v>3.4776859999999998E-3</v>
      </c>
      <c r="Q287" s="269">
        <v>2.371928</v>
      </c>
      <c r="R287" s="272">
        <f t="shared" si="14"/>
        <v>2.3719280000000001E-3</v>
      </c>
    </row>
    <row r="288" spans="2:18" ht="15" customHeight="1" x14ac:dyDescent="0.25">
      <c r="B288" s="114">
        <v>0.2341058</v>
      </c>
      <c r="C288" s="269">
        <v>5.7663989999999998</v>
      </c>
      <c r="D288" s="272">
        <f t="shared" si="12"/>
        <v>5.7663990000000002E-3</v>
      </c>
      <c r="F288" s="47"/>
      <c r="G288" s="47"/>
      <c r="I288" s="114">
        <v>3.173286E-3</v>
      </c>
      <c r="J288" s="269">
        <v>2.1592600000000002</v>
      </c>
      <c r="K288" s="272">
        <f t="shared" si="13"/>
        <v>2.1592600000000001E-3</v>
      </c>
      <c r="M288" s="47"/>
      <c r="N288" s="47"/>
      <c r="P288" s="114">
        <v>3.490614E-3</v>
      </c>
      <c r="Q288" s="269">
        <v>2.3751859999999998</v>
      </c>
      <c r="R288" s="272">
        <f t="shared" si="14"/>
        <v>2.3751859999999996E-3</v>
      </c>
    </row>
    <row r="289" spans="2:18" ht="15" customHeight="1" x14ac:dyDescent="0.25">
      <c r="B289" s="114">
        <v>0.23497290000000001</v>
      </c>
      <c r="C289" s="269">
        <v>5.7877559999999999</v>
      </c>
      <c r="D289" s="272">
        <f t="shared" si="12"/>
        <v>5.7877559999999998E-3</v>
      </c>
      <c r="F289" s="47"/>
      <c r="G289" s="47"/>
      <c r="I289" s="114">
        <v>3.1850390000000002E-3</v>
      </c>
      <c r="J289" s="269">
        <v>2.1621730000000001</v>
      </c>
      <c r="K289" s="272">
        <f t="shared" si="13"/>
        <v>2.1621730000000003E-3</v>
      </c>
      <c r="M289" s="47"/>
      <c r="N289" s="47"/>
      <c r="P289" s="114">
        <v>3.5035420000000001E-3</v>
      </c>
      <c r="Q289" s="269">
        <v>2.37839</v>
      </c>
      <c r="R289" s="272">
        <f t="shared" si="14"/>
        <v>2.3783900000000002E-3</v>
      </c>
    </row>
    <row r="290" spans="2:18" ht="15" customHeight="1" x14ac:dyDescent="0.25">
      <c r="B290" s="114">
        <v>0.23583989999999999</v>
      </c>
      <c r="C290" s="269">
        <v>5.809113</v>
      </c>
      <c r="D290" s="272">
        <f t="shared" si="12"/>
        <v>5.8091130000000003E-3</v>
      </c>
      <c r="F290" s="47"/>
      <c r="G290" s="47"/>
      <c r="I290" s="114">
        <v>3.1967919999999999E-3</v>
      </c>
      <c r="J290" s="269">
        <v>2.165038</v>
      </c>
      <c r="K290" s="272">
        <f t="shared" si="13"/>
        <v>2.1650380000000002E-3</v>
      </c>
      <c r="M290" s="47"/>
      <c r="N290" s="47"/>
      <c r="P290" s="114">
        <v>3.5164710000000002E-3</v>
      </c>
      <c r="Q290" s="269">
        <v>2.381542</v>
      </c>
      <c r="R290" s="272">
        <f t="shared" si="14"/>
        <v>2.3815419999999999E-3</v>
      </c>
    </row>
    <row r="291" spans="2:18" ht="15" customHeight="1" x14ac:dyDescent="0.25">
      <c r="B291" s="114">
        <v>0.236707</v>
      </c>
      <c r="C291" s="269">
        <v>5.83047</v>
      </c>
      <c r="D291" s="272">
        <f t="shared" si="12"/>
        <v>5.8304699999999999E-3</v>
      </c>
      <c r="F291" s="47"/>
      <c r="G291" s="47"/>
      <c r="I291" s="114">
        <v>3.2085439999999998E-3</v>
      </c>
      <c r="J291" s="269">
        <v>2.1678579999999998</v>
      </c>
      <c r="K291" s="272">
        <f t="shared" si="13"/>
        <v>2.1678579999999999E-3</v>
      </c>
      <c r="M291" s="47"/>
      <c r="N291" s="47"/>
      <c r="P291" s="114">
        <v>3.5293989999999999E-3</v>
      </c>
      <c r="Q291" s="269">
        <v>2.3846440000000002</v>
      </c>
      <c r="R291" s="272">
        <f t="shared" si="14"/>
        <v>2.384644E-3</v>
      </c>
    </row>
    <row r="292" spans="2:18" ht="15" customHeight="1" x14ac:dyDescent="0.25">
      <c r="B292" s="114">
        <v>0.23757400000000001</v>
      </c>
      <c r="C292" s="269">
        <v>5.8518270000000001</v>
      </c>
      <c r="D292" s="272">
        <f t="shared" si="12"/>
        <v>5.8518270000000004E-3</v>
      </c>
      <c r="F292" s="47"/>
      <c r="G292" s="47"/>
      <c r="I292" s="114">
        <v>3.220297E-3</v>
      </c>
      <c r="J292" s="269">
        <v>2.1706349999999999</v>
      </c>
      <c r="K292" s="272">
        <f t="shared" si="13"/>
        <v>2.1706349999999998E-3</v>
      </c>
      <c r="M292" s="47"/>
      <c r="N292" s="47"/>
      <c r="P292" s="114">
        <v>3.5423270000000001E-3</v>
      </c>
      <c r="Q292" s="269">
        <v>2.3876979999999999</v>
      </c>
      <c r="R292" s="272">
        <f t="shared" si="14"/>
        <v>2.3876979999999997E-3</v>
      </c>
    </row>
    <row r="293" spans="2:18" ht="15" customHeight="1" x14ac:dyDescent="0.25">
      <c r="B293" s="114">
        <v>0.23844109999999999</v>
      </c>
      <c r="C293" s="269">
        <v>5.8731840000000002</v>
      </c>
      <c r="D293" s="272">
        <f t="shared" si="12"/>
        <v>5.873184E-3</v>
      </c>
      <c r="F293" s="47"/>
      <c r="G293" s="47"/>
      <c r="I293" s="114">
        <v>3.2320500000000002E-3</v>
      </c>
      <c r="J293" s="269">
        <v>2.173368</v>
      </c>
      <c r="K293" s="272">
        <f t="shared" si="13"/>
        <v>2.1733680000000002E-3</v>
      </c>
      <c r="M293" s="47"/>
      <c r="N293" s="47"/>
      <c r="P293" s="114">
        <v>3.5552549999999998E-3</v>
      </c>
      <c r="Q293" s="269">
        <v>2.3907050000000001</v>
      </c>
      <c r="R293" s="272">
        <f t="shared" si="14"/>
        <v>2.3907049999999999E-3</v>
      </c>
    </row>
    <row r="294" spans="2:18" ht="15" customHeight="1" x14ac:dyDescent="0.25">
      <c r="B294" s="114">
        <v>0.2393081</v>
      </c>
      <c r="C294" s="269">
        <v>5.8945410000000003</v>
      </c>
      <c r="D294" s="272">
        <f t="shared" si="12"/>
        <v>5.8945410000000005E-3</v>
      </c>
      <c r="F294" s="47"/>
      <c r="G294" s="47"/>
      <c r="I294" s="114">
        <v>3.243803E-3</v>
      </c>
      <c r="J294" s="269">
        <v>2.1760609999999998</v>
      </c>
      <c r="K294" s="272">
        <f t="shared" si="13"/>
        <v>2.176061E-3</v>
      </c>
      <c r="M294" s="47"/>
      <c r="N294" s="47"/>
      <c r="P294" s="114">
        <v>3.5681829999999999E-3</v>
      </c>
      <c r="Q294" s="269">
        <v>2.3936670000000002</v>
      </c>
      <c r="R294" s="272">
        <f t="shared" si="14"/>
        <v>2.3936670000000004E-3</v>
      </c>
    </row>
    <row r="295" spans="2:18" ht="15" customHeight="1" x14ac:dyDescent="0.25">
      <c r="B295" s="114">
        <v>0.24017520000000001</v>
      </c>
      <c r="C295" s="269">
        <v>5.9158989999999996</v>
      </c>
      <c r="D295" s="272">
        <f t="shared" si="12"/>
        <v>5.9158989999999996E-3</v>
      </c>
      <c r="F295" s="47"/>
      <c r="G295" s="47"/>
      <c r="I295" s="114">
        <v>3.2555560000000002E-3</v>
      </c>
      <c r="J295" s="269">
        <v>2.1787130000000001</v>
      </c>
      <c r="K295" s="272">
        <f t="shared" si="13"/>
        <v>2.1787130000000001E-3</v>
      </c>
      <c r="M295" s="47"/>
      <c r="N295" s="47"/>
      <c r="P295" s="114">
        <v>3.581112E-3</v>
      </c>
      <c r="Q295" s="269">
        <v>2.396585</v>
      </c>
      <c r="R295" s="272">
        <f t="shared" si="14"/>
        <v>2.3965850000000001E-3</v>
      </c>
    </row>
    <row r="296" spans="2:18" ht="15" customHeight="1" x14ac:dyDescent="0.25">
      <c r="B296" s="114">
        <v>0.24104229999999999</v>
      </c>
      <c r="C296" s="269">
        <v>5.9372559999999996</v>
      </c>
      <c r="D296" s="272">
        <f t="shared" si="12"/>
        <v>5.9372559999999993E-3</v>
      </c>
      <c r="F296" s="47"/>
      <c r="G296" s="47"/>
      <c r="I296" s="114">
        <v>3.2673089999999999E-3</v>
      </c>
      <c r="J296" s="269">
        <v>2.181327</v>
      </c>
      <c r="K296" s="272">
        <f t="shared" si="13"/>
        <v>2.1813269999999998E-3</v>
      </c>
      <c r="M296" s="47"/>
      <c r="N296" s="47"/>
      <c r="P296" s="114">
        <v>3.5940400000000002E-3</v>
      </c>
      <c r="Q296" s="269">
        <v>2.3994599999999999</v>
      </c>
      <c r="R296" s="272">
        <f t="shared" si="14"/>
        <v>2.39946E-3</v>
      </c>
    </row>
    <row r="297" spans="2:18" ht="15" customHeight="1" x14ac:dyDescent="0.25">
      <c r="B297" s="114">
        <v>0.24190929999999999</v>
      </c>
      <c r="C297" s="269">
        <v>5.9586129999999997</v>
      </c>
      <c r="D297" s="272">
        <f t="shared" si="12"/>
        <v>5.9586129999999998E-3</v>
      </c>
      <c r="F297" s="47"/>
      <c r="G297" s="47"/>
      <c r="I297" s="114">
        <v>3.2790620000000001E-3</v>
      </c>
      <c r="J297" s="269">
        <v>2.1839029999999999</v>
      </c>
      <c r="K297" s="272">
        <f t="shared" si="13"/>
        <v>2.1839030000000001E-3</v>
      </c>
      <c r="M297" s="47"/>
      <c r="N297" s="47"/>
      <c r="P297" s="114">
        <v>3.6069679999999999E-3</v>
      </c>
      <c r="Q297" s="269">
        <v>2.4022929999999998</v>
      </c>
      <c r="R297" s="272">
        <f t="shared" si="14"/>
        <v>2.4022929999999998E-3</v>
      </c>
    </row>
    <row r="298" spans="2:18" ht="15" customHeight="1" x14ac:dyDescent="0.25">
      <c r="B298" s="114">
        <v>0.2427764</v>
      </c>
      <c r="C298" s="269">
        <v>5.9799699999999998</v>
      </c>
      <c r="D298" s="272">
        <f t="shared" si="12"/>
        <v>5.9799699999999994E-3</v>
      </c>
      <c r="F298" s="47"/>
      <c r="G298" s="47"/>
      <c r="I298" s="114">
        <v>3.2908149999999999E-3</v>
      </c>
      <c r="J298" s="269">
        <v>2.1864430000000001</v>
      </c>
      <c r="K298" s="272">
        <f t="shared" si="13"/>
        <v>2.1864430000000002E-3</v>
      </c>
      <c r="M298" s="47"/>
      <c r="N298" s="47"/>
      <c r="P298" s="114">
        <v>3.6198960000000001E-3</v>
      </c>
      <c r="Q298" s="269">
        <v>2.405087</v>
      </c>
      <c r="R298" s="272">
        <f t="shared" si="14"/>
        <v>2.4050869999999998E-3</v>
      </c>
    </row>
    <row r="299" spans="2:18" ht="15" customHeight="1" x14ac:dyDescent="0.25">
      <c r="B299" s="114">
        <v>0.24364340000000001</v>
      </c>
      <c r="C299" s="269">
        <v>6.0013269999999999</v>
      </c>
      <c r="D299" s="272">
        <f t="shared" si="12"/>
        <v>6.0013269999999999E-3</v>
      </c>
      <c r="F299" s="47"/>
      <c r="G299" s="47"/>
      <c r="I299" s="114">
        <v>3.3025680000000001E-3</v>
      </c>
      <c r="J299" s="269">
        <v>2.1889470000000002</v>
      </c>
      <c r="K299" s="272">
        <f t="shared" si="13"/>
        <v>2.1889470000000001E-3</v>
      </c>
      <c r="M299" s="47"/>
      <c r="N299" s="47"/>
      <c r="P299" s="114">
        <v>3.6328240000000002E-3</v>
      </c>
      <c r="Q299" s="269">
        <v>2.4078409999999999</v>
      </c>
      <c r="R299" s="272">
        <f t="shared" si="14"/>
        <v>2.407841E-3</v>
      </c>
    </row>
    <row r="300" spans="2:18" ht="15" customHeight="1" x14ac:dyDescent="0.25">
      <c r="B300" s="114">
        <v>0.24451049999999999</v>
      </c>
      <c r="C300" s="269">
        <v>6.0226839999999999</v>
      </c>
      <c r="D300" s="272">
        <f t="shared" si="12"/>
        <v>6.0226839999999995E-3</v>
      </c>
      <c r="F300" s="47"/>
      <c r="G300" s="47"/>
      <c r="I300" s="114">
        <v>3.3143209999999998E-3</v>
      </c>
      <c r="J300" s="269">
        <v>2.1914159999999998</v>
      </c>
      <c r="K300" s="272">
        <f t="shared" si="13"/>
        <v>2.1914159999999999E-3</v>
      </c>
      <c r="M300" s="47"/>
      <c r="N300" s="47"/>
      <c r="P300" s="114">
        <v>3.6457529999999998E-3</v>
      </c>
      <c r="Q300" s="269">
        <v>2.410558</v>
      </c>
      <c r="R300" s="272">
        <f t="shared" si="14"/>
        <v>2.4105580000000001E-3</v>
      </c>
    </row>
    <row r="301" spans="2:18" ht="15" customHeight="1" x14ac:dyDescent="0.25">
      <c r="B301" s="114">
        <v>0.2453776</v>
      </c>
      <c r="C301" s="269">
        <v>6.044041</v>
      </c>
      <c r="D301" s="272">
        <f t="shared" si="12"/>
        <v>6.044041E-3</v>
      </c>
      <c r="F301" s="47"/>
      <c r="G301" s="47"/>
      <c r="I301" s="114">
        <v>3.326074E-3</v>
      </c>
      <c r="J301" s="269">
        <v>2.1938520000000001</v>
      </c>
      <c r="K301" s="272">
        <f t="shared" si="13"/>
        <v>2.193852E-3</v>
      </c>
      <c r="M301" s="47"/>
      <c r="N301" s="47"/>
      <c r="P301" s="114">
        <v>3.658681E-3</v>
      </c>
      <c r="Q301" s="269">
        <v>2.4132370000000001</v>
      </c>
      <c r="R301" s="272">
        <f t="shared" si="14"/>
        <v>2.4132369999999999E-3</v>
      </c>
    </row>
    <row r="302" spans="2:18" ht="15" customHeight="1" x14ac:dyDescent="0.25">
      <c r="B302" s="114">
        <v>0.24624460000000001</v>
      </c>
      <c r="C302" s="269">
        <v>6.0653980000000001</v>
      </c>
      <c r="D302" s="272">
        <f t="shared" si="12"/>
        <v>6.0653980000000005E-3</v>
      </c>
      <c r="F302" s="47"/>
      <c r="G302" s="47"/>
      <c r="I302" s="114">
        <v>3.3378259999999999E-3</v>
      </c>
      <c r="J302" s="269">
        <v>2.1962549999999998</v>
      </c>
      <c r="K302" s="272">
        <f t="shared" si="13"/>
        <v>2.1962549999999998E-3</v>
      </c>
      <c r="M302" s="47"/>
      <c r="N302" s="47"/>
      <c r="P302" s="114">
        <v>3.6716090000000002E-3</v>
      </c>
      <c r="Q302" s="269">
        <v>2.41588</v>
      </c>
      <c r="R302" s="272">
        <f t="shared" si="14"/>
        <v>2.41588E-3</v>
      </c>
    </row>
    <row r="303" spans="2:18" ht="15" customHeight="1" x14ac:dyDescent="0.25">
      <c r="B303" s="114">
        <v>0.24711169999999999</v>
      </c>
      <c r="C303" s="269">
        <v>6.0867550000000001</v>
      </c>
      <c r="D303" s="272">
        <f t="shared" si="12"/>
        <v>6.0867550000000001E-3</v>
      </c>
      <c r="F303" s="47"/>
      <c r="G303" s="47"/>
      <c r="I303" s="114">
        <v>3.3495790000000001E-3</v>
      </c>
      <c r="J303" s="269">
        <v>2.198626</v>
      </c>
      <c r="K303" s="272">
        <f t="shared" si="13"/>
        <v>2.198626E-3</v>
      </c>
      <c r="M303" s="47"/>
      <c r="N303" s="47"/>
      <c r="P303" s="114">
        <v>3.6845369999999999E-3</v>
      </c>
      <c r="Q303" s="269">
        <v>2.4184890000000001</v>
      </c>
      <c r="R303" s="272">
        <f t="shared" si="14"/>
        <v>2.4184890000000002E-3</v>
      </c>
    </row>
    <row r="304" spans="2:18" ht="15" customHeight="1" x14ac:dyDescent="0.25">
      <c r="B304" s="114">
        <v>0.2479787</v>
      </c>
      <c r="C304" s="269">
        <v>6.1081120000000002</v>
      </c>
      <c r="D304" s="272">
        <f t="shared" si="12"/>
        <v>6.1081120000000006E-3</v>
      </c>
      <c r="F304" s="47"/>
      <c r="G304" s="47"/>
      <c r="I304" s="114">
        <v>3.3613319999999999E-3</v>
      </c>
      <c r="J304" s="269">
        <v>2.2009660000000002</v>
      </c>
      <c r="K304" s="272">
        <f t="shared" si="13"/>
        <v>2.2009660000000004E-3</v>
      </c>
      <c r="M304" s="47"/>
      <c r="N304" s="47"/>
      <c r="P304" s="114">
        <v>3.6974659999999999E-3</v>
      </c>
      <c r="Q304" s="269">
        <v>2.4210630000000002</v>
      </c>
      <c r="R304" s="272">
        <f t="shared" si="14"/>
        <v>2.4210630000000002E-3</v>
      </c>
    </row>
    <row r="305" spans="2:18" ht="15" customHeight="1" x14ac:dyDescent="0.25">
      <c r="B305" s="114">
        <v>0.24884580000000001</v>
      </c>
      <c r="C305" s="269">
        <v>6.1294690000000003</v>
      </c>
      <c r="D305" s="272">
        <f t="shared" si="12"/>
        <v>6.1294690000000002E-3</v>
      </c>
      <c r="F305" s="47"/>
      <c r="G305" s="47"/>
      <c r="I305" s="114">
        <v>3.3730850000000001E-3</v>
      </c>
      <c r="J305" s="269">
        <v>2.2032759999999998</v>
      </c>
      <c r="K305" s="272">
        <f t="shared" si="13"/>
        <v>2.2032759999999997E-3</v>
      </c>
      <c r="M305" s="47"/>
      <c r="N305" s="47"/>
      <c r="P305" s="114">
        <v>3.7103940000000001E-3</v>
      </c>
      <c r="Q305" s="269">
        <v>2.423603</v>
      </c>
      <c r="R305" s="272">
        <f t="shared" si="14"/>
        <v>2.4236029999999999E-3</v>
      </c>
    </row>
    <row r="306" spans="2:18" ht="15" customHeight="1" x14ac:dyDescent="0.25">
      <c r="B306" s="114">
        <v>0.24971280000000001</v>
      </c>
      <c r="C306" s="269">
        <v>6.1508260000000003</v>
      </c>
      <c r="D306" s="272">
        <f t="shared" si="12"/>
        <v>6.1508260000000007E-3</v>
      </c>
      <c r="F306" s="47"/>
      <c r="G306" s="47"/>
      <c r="I306" s="114">
        <v>3.3848379999999998E-3</v>
      </c>
      <c r="J306" s="269">
        <v>2.2055560000000001</v>
      </c>
      <c r="K306" s="272">
        <f t="shared" si="13"/>
        <v>2.205556E-3</v>
      </c>
      <c r="M306" s="47"/>
      <c r="N306" s="47"/>
      <c r="P306" s="114">
        <v>3.7233219999999998E-3</v>
      </c>
      <c r="Q306" s="269">
        <v>2.4261119999999998</v>
      </c>
      <c r="R306" s="272">
        <f t="shared" si="14"/>
        <v>2.4261119999999998E-3</v>
      </c>
    </row>
    <row r="307" spans="2:18" ht="15" customHeight="1" x14ac:dyDescent="0.25">
      <c r="B307" s="114">
        <v>0.25057990000000002</v>
      </c>
      <c r="C307" s="269">
        <v>6.1721830000000004</v>
      </c>
      <c r="D307" s="272">
        <f t="shared" si="12"/>
        <v>6.1721830000000004E-3</v>
      </c>
      <c r="F307" s="47"/>
      <c r="G307" s="47"/>
      <c r="I307" s="114">
        <v>3.396591E-3</v>
      </c>
      <c r="J307" s="269">
        <v>2.2078069999999999</v>
      </c>
      <c r="K307" s="272">
        <f t="shared" si="13"/>
        <v>2.207807E-3</v>
      </c>
      <c r="M307" s="47"/>
      <c r="N307" s="47"/>
      <c r="P307" s="114">
        <v>3.73625E-3</v>
      </c>
      <c r="Q307" s="269">
        <v>2.428588</v>
      </c>
      <c r="R307" s="272">
        <f t="shared" si="14"/>
        <v>2.4285879999999998E-3</v>
      </c>
    </row>
    <row r="308" spans="2:18" ht="15" customHeight="1" x14ac:dyDescent="0.25">
      <c r="B308" s="114">
        <v>0.25144699999999998</v>
      </c>
      <c r="C308" s="269">
        <v>6.1935399999999996</v>
      </c>
      <c r="D308" s="272">
        <f t="shared" si="12"/>
        <v>6.19354E-3</v>
      </c>
      <c r="F308" s="47"/>
      <c r="G308" s="47"/>
      <c r="I308" s="114">
        <v>3.4083439999999998E-3</v>
      </c>
      <c r="J308" s="269">
        <v>2.2100300000000002</v>
      </c>
      <c r="K308" s="272">
        <f t="shared" si="13"/>
        <v>2.21003E-3</v>
      </c>
      <c r="M308" s="47"/>
      <c r="N308" s="47"/>
      <c r="P308" s="114">
        <v>3.7491780000000001E-3</v>
      </c>
      <c r="Q308" s="269">
        <v>2.4310339999999999</v>
      </c>
      <c r="R308" s="272">
        <f t="shared" si="14"/>
        <v>2.4310339999999999E-3</v>
      </c>
    </row>
    <row r="309" spans="2:18" ht="15" customHeight="1" x14ac:dyDescent="0.25">
      <c r="B309" s="114">
        <v>0.25231399999999998</v>
      </c>
      <c r="C309" s="269">
        <v>6.2148969999999997</v>
      </c>
      <c r="D309" s="272">
        <f t="shared" si="12"/>
        <v>6.2148969999999996E-3</v>
      </c>
      <c r="F309" s="47"/>
      <c r="G309" s="47"/>
      <c r="I309" s="114">
        <v>3.420097E-3</v>
      </c>
      <c r="J309" s="269">
        <v>2.2122259999999998</v>
      </c>
      <c r="K309" s="272">
        <f t="shared" si="13"/>
        <v>2.2122259999999999E-3</v>
      </c>
      <c r="M309" s="47"/>
      <c r="N309" s="47"/>
      <c r="P309" s="114">
        <v>3.7621070000000002E-3</v>
      </c>
      <c r="Q309" s="269">
        <v>2.433449</v>
      </c>
      <c r="R309" s="272">
        <f t="shared" si="14"/>
        <v>2.4334489999999999E-3</v>
      </c>
    </row>
    <row r="310" spans="2:18" ht="15" customHeight="1" x14ac:dyDescent="0.25">
      <c r="B310" s="114">
        <v>0.25318109999999999</v>
      </c>
      <c r="C310" s="269">
        <v>6.2362539999999997</v>
      </c>
      <c r="D310" s="272">
        <f t="shared" si="12"/>
        <v>6.2362540000000001E-3</v>
      </c>
      <c r="F310" s="47"/>
      <c r="G310" s="47"/>
      <c r="I310" s="114">
        <v>3.4318500000000002E-3</v>
      </c>
      <c r="J310" s="269">
        <v>2.2143950000000001</v>
      </c>
      <c r="K310" s="272">
        <f t="shared" si="13"/>
        <v>2.2143950000000001E-3</v>
      </c>
      <c r="M310" s="47"/>
      <c r="N310" s="47"/>
      <c r="P310" s="114">
        <v>3.7750349999999999E-3</v>
      </c>
      <c r="Q310" s="269">
        <v>2.4358339999999998</v>
      </c>
      <c r="R310" s="272">
        <f t="shared" si="14"/>
        <v>2.435834E-3</v>
      </c>
    </row>
    <row r="311" spans="2:18" ht="15" customHeight="1" x14ac:dyDescent="0.25">
      <c r="B311" s="114">
        <v>0.2540481</v>
      </c>
      <c r="C311" s="269">
        <v>6.2576109999999998</v>
      </c>
      <c r="D311" s="272">
        <f t="shared" si="12"/>
        <v>6.2576109999999997E-3</v>
      </c>
      <c r="F311" s="47"/>
      <c r="G311" s="47"/>
      <c r="I311" s="114">
        <v>3.4436029999999999E-3</v>
      </c>
      <c r="J311" s="269">
        <v>2.2165370000000002</v>
      </c>
      <c r="K311" s="272">
        <f t="shared" si="13"/>
        <v>2.2165370000000002E-3</v>
      </c>
      <c r="M311" s="47"/>
      <c r="N311" s="47"/>
      <c r="P311" s="114">
        <v>3.7879630000000001E-3</v>
      </c>
      <c r="Q311" s="269">
        <v>2.4381910000000002</v>
      </c>
      <c r="R311" s="272">
        <f t="shared" si="14"/>
        <v>2.4381910000000001E-3</v>
      </c>
    </row>
    <row r="312" spans="2:18" ht="15" customHeight="1" x14ac:dyDescent="0.25">
      <c r="B312" s="114">
        <v>0.25491520000000001</v>
      </c>
      <c r="C312" s="269">
        <v>6.2789679999999999</v>
      </c>
      <c r="D312" s="272">
        <f t="shared" si="12"/>
        <v>6.2789680000000002E-3</v>
      </c>
      <c r="F312" s="47"/>
      <c r="G312" s="47"/>
      <c r="I312" s="114">
        <v>3.4553560000000001E-3</v>
      </c>
      <c r="J312" s="269">
        <v>2.2186539999999999</v>
      </c>
      <c r="K312" s="272">
        <f t="shared" si="13"/>
        <v>2.218654E-3</v>
      </c>
      <c r="M312" s="47"/>
      <c r="N312" s="47"/>
      <c r="P312" s="114">
        <v>3.8008909999999998E-3</v>
      </c>
      <c r="Q312" s="269">
        <v>2.4405190000000001</v>
      </c>
      <c r="R312" s="272">
        <f t="shared" si="14"/>
        <v>2.4405189999999999E-3</v>
      </c>
    </row>
    <row r="313" spans="2:18" ht="15" customHeight="1" x14ac:dyDescent="0.25">
      <c r="B313" s="114">
        <v>0.25578230000000002</v>
      </c>
      <c r="C313" s="269">
        <v>6.300325</v>
      </c>
      <c r="D313" s="272">
        <f t="shared" si="12"/>
        <v>6.3003249999999998E-3</v>
      </c>
      <c r="F313" s="47"/>
      <c r="G313" s="47"/>
      <c r="I313" s="114">
        <v>3.467108E-3</v>
      </c>
      <c r="J313" s="269">
        <v>2.2207460000000001</v>
      </c>
      <c r="K313" s="272">
        <f t="shared" si="13"/>
        <v>2.220746E-3</v>
      </c>
      <c r="M313" s="47"/>
      <c r="N313" s="47"/>
      <c r="P313" s="114">
        <v>3.813819E-3</v>
      </c>
      <c r="Q313" s="269">
        <v>2.4428200000000002</v>
      </c>
      <c r="R313" s="272">
        <f t="shared" si="14"/>
        <v>2.4428200000000001E-3</v>
      </c>
    </row>
    <row r="314" spans="2:18" ht="15" customHeight="1" x14ac:dyDescent="0.25">
      <c r="B314" s="114">
        <v>0.25664930000000002</v>
      </c>
      <c r="C314" s="269">
        <v>6.321682</v>
      </c>
      <c r="D314" s="272">
        <f t="shared" si="12"/>
        <v>6.3216820000000003E-3</v>
      </c>
      <c r="F314" s="47"/>
      <c r="G314" s="47"/>
      <c r="I314" s="114">
        <v>3.4788610000000002E-3</v>
      </c>
      <c r="J314" s="269">
        <v>2.2228129999999999</v>
      </c>
      <c r="K314" s="272">
        <f t="shared" si="13"/>
        <v>2.2228130000000001E-3</v>
      </c>
      <c r="M314" s="47"/>
      <c r="N314" s="47"/>
      <c r="P314" s="114">
        <v>3.826748E-3</v>
      </c>
      <c r="Q314" s="269">
        <v>2.4450940000000001</v>
      </c>
      <c r="R314" s="272">
        <f t="shared" si="14"/>
        <v>2.4450940000000001E-3</v>
      </c>
    </row>
    <row r="315" spans="2:18" ht="15" customHeight="1" x14ac:dyDescent="0.25">
      <c r="B315" s="114">
        <v>0.25751639999999998</v>
      </c>
      <c r="C315" s="269">
        <v>6.3430390000000001</v>
      </c>
      <c r="D315" s="272">
        <f t="shared" si="12"/>
        <v>6.343039E-3</v>
      </c>
      <c r="F315" s="47"/>
      <c r="G315" s="47"/>
      <c r="I315" s="114">
        <v>3.490614E-3</v>
      </c>
      <c r="J315" s="269">
        <v>2.2248559999999999</v>
      </c>
      <c r="K315" s="272">
        <f t="shared" si="13"/>
        <v>2.2248559999999999E-3</v>
      </c>
      <c r="M315" s="47"/>
      <c r="N315" s="47"/>
      <c r="P315" s="114">
        <v>3.8396760000000002E-3</v>
      </c>
      <c r="Q315" s="269">
        <v>2.4473410000000002</v>
      </c>
      <c r="R315" s="272">
        <f t="shared" si="14"/>
        <v>2.447341E-3</v>
      </c>
    </row>
    <row r="316" spans="2:18" ht="15" customHeight="1" x14ac:dyDescent="0.25">
      <c r="B316" s="114">
        <v>0.25838339999999999</v>
      </c>
      <c r="C316" s="269">
        <v>6.3643960000000002</v>
      </c>
      <c r="D316" s="272">
        <f t="shared" si="12"/>
        <v>6.3643960000000005E-3</v>
      </c>
      <c r="F316" s="47"/>
      <c r="G316" s="47"/>
      <c r="I316" s="114">
        <v>3.5023670000000002E-3</v>
      </c>
      <c r="J316" s="269">
        <v>2.2268750000000002</v>
      </c>
      <c r="K316" s="272">
        <f t="shared" si="13"/>
        <v>2.2268750000000001E-3</v>
      </c>
      <c r="M316" s="47"/>
      <c r="N316" s="47"/>
      <c r="P316" s="114">
        <v>3.8526039999999999E-3</v>
      </c>
      <c r="Q316" s="269">
        <v>2.4495629999999999</v>
      </c>
      <c r="R316" s="272">
        <f t="shared" si="14"/>
        <v>2.4495630000000001E-3</v>
      </c>
    </row>
    <row r="317" spans="2:18" ht="15" customHeight="1" x14ac:dyDescent="0.25">
      <c r="B317" s="114">
        <v>0.25925049999999999</v>
      </c>
      <c r="C317" s="269">
        <v>6.3857530000000002</v>
      </c>
      <c r="D317" s="272">
        <f t="shared" si="12"/>
        <v>6.3857530000000001E-3</v>
      </c>
      <c r="F317" s="47"/>
      <c r="G317" s="47"/>
      <c r="I317" s="114">
        <v>3.5141199999999999E-3</v>
      </c>
      <c r="J317" s="269">
        <v>2.228872</v>
      </c>
      <c r="K317" s="272">
        <f t="shared" si="13"/>
        <v>2.2288719999999998E-3</v>
      </c>
      <c r="M317" s="47"/>
      <c r="N317" s="47"/>
      <c r="P317" s="114">
        <v>3.8655320000000001E-3</v>
      </c>
      <c r="Q317" s="269">
        <v>2.451759</v>
      </c>
      <c r="R317" s="272">
        <f t="shared" si="14"/>
        <v>2.451759E-3</v>
      </c>
    </row>
    <row r="318" spans="2:18" ht="15" customHeight="1" x14ac:dyDescent="0.25">
      <c r="B318" s="114">
        <v>0.2601175</v>
      </c>
      <c r="C318" s="269">
        <v>6.4071100000000003</v>
      </c>
      <c r="D318" s="272">
        <f t="shared" si="12"/>
        <v>6.4071100000000006E-3</v>
      </c>
      <c r="F318" s="47"/>
      <c r="G318" s="47"/>
      <c r="I318" s="114">
        <v>3.5258730000000001E-3</v>
      </c>
      <c r="J318" s="269">
        <v>2.2308460000000001</v>
      </c>
      <c r="K318" s="272">
        <f t="shared" si="13"/>
        <v>2.2308460000000003E-3</v>
      </c>
      <c r="M318" s="47"/>
      <c r="N318" s="47"/>
      <c r="P318" s="114">
        <v>3.8784599999999998E-3</v>
      </c>
      <c r="Q318" s="269">
        <v>2.4539300000000002</v>
      </c>
      <c r="R318" s="272">
        <f t="shared" si="14"/>
        <v>2.45393E-3</v>
      </c>
    </row>
    <row r="319" spans="2:18" ht="15" customHeight="1" x14ac:dyDescent="0.25">
      <c r="B319" s="114">
        <v>0.26098460000000001</v>
      </c>
      <c r="C319" s="269">
        <v>6.4284670000000004</v>
      </c>
      <c r="D319" s="272">
        <f t="shared" si="12"/>
        <v>6.4284670000000002E-3</v>
      </c>
      <c r="F319" s="47"/>
      <c r="G319" s="47"/>
      <c r="I319" s="114">
        <v>3.5376259999999999E-3</v>
      </c>
      <c r="J319" s="269">
        <v>2.2327979999999998</v>
      </c>
      <c r="K319" s="272">
        <f t="shared" si="13"/>
        <v>2.2327979999999998E-3</v>
      </c>
      <c r="M319" s="47"/>
      <c r="N319" s="47"/>
      <c r="P319" s="114">
        <v>3.8913889999999999E-3</v>
      </c>
      <c r="Q319" s="269">
        <v>2.4560780000000002</v>
      </c>
      <c r="R319" s="272">
        <f t="shared" si="14"/>
        <v>2.456078E-3</v>
      </c>
    </row>
    <row r="320" spans="2:18" ht="15" customHeight="1" x14ac:dyDescent="0.25">
      <c r="B320" s="114">
        <v>0.26185170000000002</v>
      </c>
      <c r="C320" s="269">
        <v>6.4498239999999996</v>
      </c>
      <c r="D320" s="272">
        <f t="shared" si="12"/>
        <v>6.4498239999999998E-3</v>
      </c>
      <c r="F320" s="47"/>
      <c r="G320" s="47"/>
      <c r="I320" s="114">
        <v>3.5493790000000001E-3</v>
      </c>
      <c r="J320" s="269">
        <v>2.234728</v>
      </c>
      <c r="K320" s="272">
        <f t="shared" si="13"/>
        <v>2.2347280000000001E-3</v>
      </c>
      <c r="M320" s="47"/>
      <c r="N320" s="47"/>
      <c r="P320" s="114">
        <v>3.904317E-3</v>
      </c>
      <c r="Q320" s="269">
        <v>2.4582009999999999</v>
      </c>
      <c r="R320" s="272">
        <f t="shared" si="14"/>
        <v>2.4582009999999997E-3</v>
      </c>
    </row>
    <row r="321" spans="2:18" ht="15" customHeight="1" x14ac:dyDescent="0.25">
      <c r="B321" s="114">
        <v>0.26271870000000003</v>
      </c>
      <c r="C321" s="269">
        <v>6.4711809999999996</v>
      </c>
      <c r="D321" s="272">
        <f t="shared" si="12"/>
        <v>6.4711809999999995E-3</v>
      </c>
      <c r="F321" s="47"/>
      <c r="G321" s="47"/>
      <c r="I321" s="114">
        <v>3.5611319999999998E-3</v>
      </c>
      <c r="J321" s="269">
        <v>2.236637</v>
      </c>
      <c r="K321" s="272">
        <f t="shared" si="13"/>
        <v>2.2366370000000001E-3</v>
      </c>
      <c r="M321" s="47"/>
      <c r="N321" s="47"/>
      <c r="P321" s="114">
        <v>3.9172449999999998E-3</v>
      </c>
      <c r="Q321" s="269">
        <v>2.4603009999999998</v>
      </c>
      <c r="R321" s="272">
        <f t="shared" si="14"/>
        <v>2.4603009999999998E-3</v>
      </c>
    </row>
    <row r="322" spans="2:18" ht="15" customHeight="1" x14ac:dyDescent="0.25">
      <c r="B322" s="114">
        <v>0.26358579999999998</v>
      </c>
      <c r="C322" s="269">
        <v>6.4925379999999997</v>
      </c>
      <c r="D322" s="272">
        <f t="shared" si="12"/>
        <v>6.492538E-3</v>
      </c>
      <c r="F322" s="47"/>
      <c r="G322" s="47"/>
      <c r="I322" s="114">
        <v>3.572885E-3</v>
      </c>
      <c r="J322" s="269">
        <v>2.2385250000000001</v>
      </c>
      <c r="K322" s="272">
        <f t="shared" si="13"/>
        <v>2.2385249999999999E-3</v>
      </c>
      <c r="M322" s="47"/>
      <c r="N322" s="47"/>
      <c r="P322" s="114">
        <v>3.9301730000000003E-3</v>
      </c>
      <c r="Q322" s="269">
        <v>2.4623780000000002</v>
      </c>
      <c r="R322" s="272">
        <f t="shared" si="14"/>
        <v>2.4623780000000003E-3</v>
      </c>
    </row>
    <row r="323" spans="2:18" ht="15" customHeight="1" x14ac:dyDescent="0.25">
      <c r="B323" s="114">
        <v>0.26445279999999999</v>
      </c>
      <c r="C323" s="269">
        <v>6.5138949999999998</v>
      </c>
      <c r="D323" s="272">
        <f t="shared" si="12"/>
        <v>6.5138949999999996E-3</v>
      </c>
      <c r="F323" s="47"/>
      <c r="G323" s="47"/>
      <c r="I323" s="114">
        <v>3.5846379999999998E-3</v>
      </c>
      <c r="J323" s="269">
        <v>2.2403930000000001</v>
      </c>
      <c r="K323" s="272">
        <f t="shared" si="13"/>
        <v>2.2403930000000002E-3</v>
      </c>
      <c r="M323" s="47"/>
      <c r="N323" s="47"/>
      <c r="P323" s="114">
        <v>3.9431010000000001E-3</v>
      </c>
      <c r="Q323" s="269">
        <v>2.4644330000000001</v>
      </c>
      <c r="R323" s="272">
        <f t="shared" si="14"/>
        <v>2.4644330000000002E-3</v>
      </c>
    </row>
    <row r="324" spans="2:18" ht="15" customHeight="1" x14ac:dyDescent="0.25">
      <c r="B324" s="114">
        <v>0.2653199</v>
      </c>
      <c r="C324" s="269">
        <v>6.535253</v>
      </c>
      <c r="D324" s="272">
        <f t="shared" si="12"/>
        <v>6.5352529999999995E-3</v>
      </c>
      <c r="F324" s="47"/>
      <c r="G324" s="47"/>
      <c r="I324" s="114">
        <v>3.5963900000000001E-3</v>
      </c>
      <c r="J324" s="269">
        <v>2.2422409999999999</v>
      </c>
      <c r="K324" s="272">
        <f t="shared" si="13"/>
        <v>2.2422409999999999E-3</v>
      </c>
      <c r="M324" s="47"/>
      <c r="N324" s="47"/>
      <c r="P324" s="114">
        <v>3.9560300000000001E-3</v>
      </c>
      <c r="Q324" s="269">
        <v>2.4664649999999999</v>
      </c>
      <c r="R324" s="272">
        <f t="shared" si="14"/>
        <v>2.4664649999999997E-3</v>
      </c>
    </row>
    <row r="325" spans="2:18" ht="15" customHeight="1" x14ac:dyDescent="0.25">
      <c r="B325" s="114">
        <v>0.26618700000000001</v>
      </c>
      <c r="C325" s="269">
        <v>6.55661</v>
      </c>
      <c r="D325" s="272">
        <f t="shared" si="12"/>
        <v>6.55661E-3</v>
      </c>
      <c r="F325" s="47"/>
      <c r="G325" s="47"/>
      <c r="I325" s="114">
        <v>3.6081429999999999E-3</v>
      </c>
      <c r="J325" s="269">
        <v>2.2440699999999998</v>
      </c>
      <c r="K325" s="272">
        <f t="shared" si="13"/>
        <v>2.2440699999999999E-3</v>
      </c>
      <c r="M325" s="47"/>
      <c r="N325" s="47"/>
      <c r="P325" s="114">
        <v>3.9689579999999999E-3</v>
      </c>
      <c r="Q325" s="269">
        <v>2.468477</v>
      </c>
      <c r="R325" s="272">
        <f t="shared" si="14"/>
        <v>2.4684770000000002E-3</v>
      </c>
    </row>
    <row r="326" spans="2:18" ht="15" customHeight="1" x14ac:dyDescent="0.25">
      <c r="B326" s="114">
        <v>0.26705400000000001</v>
      </c>
      <c r="C326" s="269">
        <v>6.5779670000000001</v>
      </c>
      <c r="D326" s="272">
        <f t="shared" si="12"/>
        <v>6.5779670000000005E-3</v>
      </c>
      <c r="F326" s="47"/>
      <c r="G326" s="47"/>
      <c r="I326" s="114">
        <v>3.6198960000000001E-3</v>
      </c>
      <c r="J326" s="269">
        <v>2.245879</v>
      </c>
      <c r="K326" s="272">
        <f t="shared" si="13"/>
        <v>2.2458790000000001E-3</v>
      </c>
      <c r="M326" s="47"/>
      <c r="N326" s="47"/>
      <c r="P326" s="114">
        <v>3.9818859999999996E-3</v>
      </c>
      <c r="Q326" s="269">
        <v>2.4704670000000002</v>
      </c>
      <c r="R326" s="272">
        <f t="shared" si="14"/>
        <v>2.4704670000000001E-3</v>
      </c>
    </row>
    <row r="327" spans="2:18" ht="15" customHeight="1" x14ac:dyDescent="0.25">
      <c r="B327" s="114">
        <v>0.26792110000000002</v>
      </c>
      <c r="C327" s="269">
        <v>6.5993240000000002</v>
      </c>
      <c r="D327" s="272">
        <f t="shared" si="12"/>
        <v>6.5993240000000002E-3</v>
      </c>
      <c r="F327" s="47"/>
      <c r="G327" s="47"/>
      <c r="I327" s="114">
        <v>3.6316489999999998E-3</v>
      </c>
      <c r="J327" s="269">
        <v>2.2476690000000001</v>
      </c>
      <c r="K327" s="272">
        <f t="shared" si="13"/>
        <v>2.2476690000000003E-3</v>
      </c>
      <c r="M327" s="47"/>
      <c r="N327" s="47"/>
      <c r="P327" s="114">
        <v>3.9948140000000002E-3</v>
      </c>
      <c r="Q327" s="269">
        <v>2.4724360000000001</v>
      </c>
      <c r="R327" s="272">
        <f t="shared" si="14"/>
        <v>2.4724360000000002E-3</v>
      </c>
    </row>
    <row r="328" spans="2:18" ht="15" customHeight="1" x14ac:dyDescent="0.25">
      <c r="B328" s="114">
        <v>0.26878809999999997</v>
      </c>
      <c r="C328" s="269">
        <v>6.6206810000000003</v>
      </c>
      <c r="D328" s="272">
        <f t="shared" si="12"/>
        <v>6.6206810000000007E-3</v>
      </c>
      <c r="F328" s="47"/>
      <c r="G328" s="47"/>
      <c r="I328" s="114">
        <v>3.643402E-3</v>
      </c>
      <c r="J328" s="269">
        <v>2.249441</v>
      </c>
      <c r="K328" s="272">
        <f t="shared" si="13"/>
        <v>2.249441E-3</v>
      </c>
      <c r="M328" s="47"/>
      <c r="N328" s="47"/>
      <c r="P328" s="114">
        <v>4.0077419999999999E-3</v>
      </c>
      <c r="Q328" s="269">
        <v>2.4743849999999998</v>
      </c>
      <c r="R328" s="272">
        <f t="shared" si="14"/>
        <v>2.474385E-3</v>
      </c>
    </row>
    <row r="329" spans="2:18" ht="15" customHeight="1" x14ac:dyDescent="0.25">
      <c r="B329" s="114">
        <v>0.26965519999999998</v>
      </c>
      <c r="C329" s="269">
        <v>6.6420380000000003</v>
      </c>
      <c r="D329" s="272">
        <f t="shared" si="12"/>
        <v>6.6420380000000003E-3</v>
      </c>
      <c r="F329" s="47"/>
      <c r="G329" s="47"/>
      <c r="I329" s="114">
        <v>3.6551550000000002E-3</v>
      </c>
      <c r="J329" s="269">
        <v>2.2511950000000001</v>
      </c>
      <c r="K329" s="272">
        <f t="shared" si="13"/>
        <v>2.2511950000000001E-3</v>
      </c>
      <c r="M329" s="47"/>
      <c r="N329" s="47"/>
      <c r="P329" s="114">
        <v>4.020671E-3</v>
      </c>
      <c r="Q329" s="269">
        <v>2.4763139999999999</v>
      </c>
      <c r="R329" s="272">
        <f t="shared" si="14"/>
        <v>2.4763139999999999E-3</v>
      </c>
    </row>
    <row r="330" spans="2:18" ht="15" customHeight="1" x14ac:dyDescent="0.25">
      <c r="B330" s="114">
        <v>0.27052229999999999</v>
      </c>
      <c r="C330" s="269">
        <v>6.6633950000000004</v>
      </c>
      <c r="D330" s="272">
        <f t="shared" si="12"/>
        <v>6.6633950000000008E-3</v>
      </c>
      <c r="F330" s="47"/>
      <c r="G330" s="47"/>
      <c r="I330" s="114">
        <v>3.666908E-3</v>
      </c>
      <c r="J330" s="269">
        <v>2.2529309999999998</v>
      </c>
      <c r="K330" s="272">
        <f t="shared" si="13"/>
        <v>2.2529309999999997E-3</v>
      </c>
      <c r="M330" s="47"/>
      <c r="N330" s="47"/>
      <c r="P330" s="114">
        <v>4.0335989999999997E-3</v>
      </c>
      <c r="Q330" s="269">
        <v>2.478224</v>
      </c>
      <c r="R330" s="272">
        <f t="shared" si="14"/>
        <v>2.4782239999999998E-3</v>
      </c>
    </row>
    <row r="331" spans="2:18" ht="15" customHeight="1" x14ac:dyDescent="0.25">
      <c r="B331" s="114">
        <v>0.2713893</v>
      </c>
      <c r="C331" s="269">
        <v>6.6847519999999996</v>
      </c>
      <c r="D331" s="272">
        <f t="shared" si="12"/>
        <v>6.6847519999999995E-3</v>
      </c>
      <c r="F331" s="47"/>
      <c r="G331" s="47"/>
      <c r="I331" s="114">
        <v>3.6786610000000002E-3</v>
      </c>
      <c r="J331" s="269">
        <v>2.2546490000000001</v>
      </c>
      <c r="K331" s="272">
        <f t="shared" si="13"/>
        <v>2.2546490000000001E-3</v>
      </c>
      <c r="M331" s="47"/>
      <c r="N331" s="47"/>
      <c r="P331" s="114">
        <v>4.0465270000000003E-3</v>
      </c>
      <c r="Q331" s="269">
        <v>2.4801139999999999</v>
      </c>
      <c r="R331" s="272">
        <f t="shared" si="14"/>
        <v>2.4801139999999998E-3</v>
      </c>
    </row>
    <row r="332" spans="2:18" ht="15" customHeight="1" x14ac:dyDescent="0.25">
      <c r="B332" s="114">
        <v>0.27225640000000001</v>
      </c>
      <c r="C332" s="269">
        <v>6.7061089999999997</v>
      </c>
      <c r="D332" s="272">
        <f t="shared" si="12"/>
        <v>6.706109E-3</v>
      </c>
      <c r="F332" s="47"/>
      <c r="G332" s="47"/>
      <c r="I332" s="114">
        <v>3.6904139999999999E-3</v>
      </c>
      <c r="J332" s="269">
        <v>2.256351</v>
      </c>
      <c r="K332" s="272">
        <f t="shared" si="13"/>
        <v>2.2563510000000002E-3</v>
      </c>
      <c r="M332" s="47"/>
      <c r="N332" s="47"/>
      <c r="P332" s="114">
        <v>4.059455E-3</v>
      </c>
      <c r="Q332" s="269">
        <v>2.481986</v>
      </c>
      <c r="R332" s="272">
        <f t="shared" si="14"/>
        <v>2.4819859999999998E-3</v>
      </c>
    </row>
    <row r="333" spans="2:18" ht="15" customHeight="1" x14ac:dyDescent="0.25">
      <c r="B333" s="114">
        <v>0.27312340000000002</v>
      </c>
      <c r="C333" s="269">
        <v>6.7274659999999997</v>
      </c>
      <c r="D333" s="272">
        <f t="shared" si="12"/>
        <v>6.7274659999999997E-3</v>
      </c>
      <c r="F333" s="47"/>
      <c r="G333" s="47"/>
      <c r="I333" s="114">
        <v>3.7021670000000001E-3</v>
      </c>
      <c r="J333" s="269">
        <v>2.258035</v>
      </c>
      <c r="K333" s="272">
        <f t="shared" si="13"/>
        <v>2.2580349999999998E-3</v>
      </c>
      <c r="M333" s="47"/>
      <c r="N333" s="47"/>
      <c r="P333" s="114">
        <v>4.0723829999999997E-3</v>
      </c>
      <c r="Q333" s="269">
        <v>2.4838390000000001</v>
      </c>
      <c r="R333" s="272">
        <f t="shared" si="14"/>
        <v>2.4838390000000003E-3</v>
      </c>
    </row>
    <row r="334" spans="2:18" ht="15" customHeight="1" x14ac:dyDescent="0.25">
      <c r="B334" s="114">
        <v>0.27399050000000003</v>
      </c>
      <c r="C334" s="269">
        <v>6.7488229999999998</v>
      </c>
      <c r="D334" s="272">
        <f t="shared" si="12"/>
        <v>6.7488230000000001E-3</v>
      </c>
      <c r="F334" s="47"/>
      <c r="G334" s="47"/>
      <c r="I334" s="114">
        <v>3.7139199999999999E-3</v>
      </c>
      <c r="J334" s="269">
        <v>2.259703</v>
      </c>
      <c r="K334" s="272">
        <f t="shared" si="13"/>
        <v>2.2597030000000001E-3</v>
      </c>
      <c r="M334" s="47"/>
      <c r="N334" s="47"/>
      <c r="P334" s="114">
        <v>4.0853119999999998E-3</v>
      </c>
      <c r="Q334" s="269">
        <v>2.4856729999999998</v>
      </c>
      <c r="R334" s="272">
        <f t="shared" si="14"/>
        <v>2.4856729999999999E-3</v>
      </c>
    </row>
    <row r="335" spans="2:18" ht="15" customHeight="1" x14ac:dyDescent="0.25">
      <c r="B335" s="114">
        <v>0.27485749999999998</v>
      </c>
      <c r="C335" s="269">
        <v>6.7701799999999999</v>
      </c>
      <c r="D335" s="272">
        <f t="shared" si="12"/>
        <v>6.7701799999999998E-3</v>
      </c>
      <c r="F335" s="47"/>
      <c r="G335" s="47"/>
      <c r="I335" s="114">
        <v>3.7256720000000002E-3</v>
      </c>
      <c r="J335" s="269">
        <v>2.261355</v>
      </c>
      <c r="K335" s="272">
        <f t="shared" si="13"/>
        <v>2.261355E-3</v>
      </c>
      <c r="M335" s="47"/>
      <c r="N335" s="47"/>
      <c r="P335" s="114">
        <v>4.0982400000000004E-3</v>
      </c>
      <c r="Q335" s="269">
        <v>2.4874900000000002</v>
      </c>
      <c r="R335" s="272">
        <f t="shared" si="14"/>
        <v>2.4874900000000002E-3</v>
      </c>
    </row>
    <row r="336" spans="2:18" ht="15" customHeight="1" x14ac:dyDescent="0.25">
      <c r="B336" s="114">
        <v>0.27572459999999999</v>
      </c>
      <c r="C336" s="269">
        <v>6.7915369999999999</v>
      </c>
      <c r="D336" s="272">
        <f t="shared" si="12"/>
        <v>6.7915370000000003E-3</v>
      </c>
      <c r="F336" s="47"/>
      <c r="G336" s="47"/>
      <c r="I336" s="114">
        <v>3.7374249999999999E-3</v>
      </c>
      <c r="J336" s="269">
        <v>2.2629899999999998</v>
      </c>
      <c r="K336" s="272">
        <f t="shared" si="13"/>
        <v>2.2629899999999999E-3</v>
      </c>
      <c r="M336" s="47"/>
      <c r="N336" s="47"/>
      <c r="P336" s="114">
        <v>4.1111680000000001E-3</v>
      </c>
      <c r="Q336" s="269">
        <v>2.48929</v>
      </c>
      <c r="R336" s="272">
        <f t="shared" si="14"/>
        <v>2.4892899999999999E-3</v>
      </c>
    </row>
    <row r="337" spans="2:18" ht="15" customHeight="1" x14ac:dyDescent="0.25">
      <c r="B337" s="114">
        <v>0.2765917</v>
      </c>
      <c r="C337" s="269">
        <v>6.812894</v>
      </c>
      <c r="D337" s="272">
        <f t="shared" si="12"/>
        <v>6.8128939999999999E-3</v>
      </c>
      <c r="F337" s="47"/>
      <c r="G337" s="47"/>
      <c r="I337" s="114">
        <v>3.7491780000000001E-3</v>
      </c>
      <c r="J337" s="269">
        <v>2.2646099999999998</v>
      </c>
      <c r="K337" s="272">
        <f t="shared" si="13"/>
        <v>2.2646099999999998E-3</v>
      </c>
      <c r="M337" s="47"/>
      <c r="N337" s="47"/>
      <c r="P337" s="114">
        <v>4.1240959999999998E-3</v>
      </c>
      <c r="Q337" s="269">
        <v>2.491072</v>
      </c>
      <c r="R337" s="272">
        <f t="shared" si="14"/>
        <v>2.491072E-3</v>
      </c>
    </row>
    <row r="338" spans="2:18" ht="15" customHeight="1" x14ac:dyDescent="0.25">
      <c r="B338" s="114">
        <v>0.2774587</v>
      </c>
      <c r="C338" s="269">
        <v>6.8342510000000001</v>
      </c>
      <c r="D338" s="272">
        <f t="shared" ref="D338:D401" si="15">C338/1000</f>
        <v>6.8342510000000004E-3</v>
      </c>
      <c r="F338" s="47"/>
      <c r="G338" s="47"/>
      <c r="I338" s="114">
        <v>3.7609309999999999E-3</v>
      </c>
      <c r="J338" s="269">
        <v>2.2662149999999999</v>
      </c>
      <c r="K338" s="272">
        <f t="shared" ref="K338:K401" si="16">J338/1000</f>
        <v>2.2662149999999998E-3</v>
      </c>
      <c r="M338" s="47"/>
      <c r="N338" s="47"/>
      <c r="P338" s="114">
        <v>4.1370240000000004E-3</v>
      </c>
      <c r="Q338" s="269">
        <v>2.4928370000000002</v>
      </c>
      <c r="R338" s="272">
        <f t="shared" ref="R338:R401" si="17">Q338/1000</f>
        <v>2.4928370000000004E-3</v>
      </c>
    </row>
    <row r="339" spans="2:18" ht="15" customHeight="1" x14ac:dyDescent="0.25">
      <c r="B339" s="114">
        <v>0.27832580000000001</v>
      </c>
      <c r="C339" s="269">
        <v>6.8556080000000001</v>
      </c>
      <c r="D339" s="272">
        <f t="shared" si="15"/>
        <v>6.855608E-3</v>
      </c>
      <c r="F339" s="47"/>
      <c r="G339" s="47"/>
      <c r="I339" s="114">
        <v>3.7726840000000001E-3</v>
      </c>
      <c r="J339" s="269">
        <v>2.2678039999999999</v>
      </c>
      <c r="K339" s="272">
        <f t="shared" si="16"/>
        <v>2.267804E-3</v>
      </c>
      <c r="M339" s="47"/>
      <c r="N339" s="47"/>
      <c r="P339" s="114">
        <v>4.1499529999999996E-3</v>
      </c>
      <c r="Q339" s="269">
        <v>2.4945849999999998</v>
      </c>
      <c r="R339" s="272">
        <f t="shared" si="17"/>
        <v>2.4945849999999997E-3</v>
      </c>
    </row>
    <row r="340" spans="2:18" ht="15" customHeight="1" x14ac:dyDescent="0.25">
      <c r="B340" s="114">
        <v>0.27919280000000002</v>
      </c>
      <c r="C340" s="269">
        <v>6.8769650000000002</v>
      </c>
      <c r="D340" s="272">
        <f t="shared" si="15"/>
        <v>6.8769650000000005E-3</v>
      </c>
      <c r="F340" s="47"/>
      <c r="G340" s="47"/>
      <c r="I340" s="114">
        <v>3.7844369999999999E-3</v>
      </c>
      <c r="J340" s="269">
        <v>2.2693789999999998</v>
      </c>
      <c r="K340" s="272">
        <f t="shared" si="16"/>
        <v>2.2693789999999998E-3</v>
      </c>
      <c r="M340" s="47"/>
      <c r="N340" s="47"/>
      <c r="P340" s="114">
        <v>4.1628810000000002E-3</v>
      </c>
      <c r="Q340" s="269">
        <v>2.4963169999999999</v>
      </c>
      <c r="R340" s="272">
        <f t="shared" si="17"/>
        <v>2.4963170000000001E-3</v>
      </c>
    </row>
    <row r="341" spans="2:18" ht="15" customHeight="1" x14ac:dyDescent="0.25">
      <c r="B341" s="114">
        <v>0.28005989999999997</v>
      </c>
      <c r="C341" s="269">
        <v>6.8983220000000003</v>
      </c>
      <c r="D341" s="272">
        <f t="shared" si="15"/>
        <v>6.8983220000000001E-3</v>
      </c>
      <c r="F341" s="47"/>
      <c r="G341" s="47"/>
      <c r="I341" s="114">
        <v>3.7961900000000001E-3</v>
      </c>
      <c r="J341" s="269">
        <v>2.2709389999999998</v>
      </c>
      <c r="K341" s="272">
        <f t="shared" si="16"/>
        <v>2.270939E-3</v>
      </c>
      <c r="M341" s="47"/>
      <c r="N341" s="47"/>
      <c r="P341" s="114">
        <v>4.1758089999999999E-3</v>
      </c>
      <c r="Q341" s="269">
        <v>2.4980329999999999</v>
      </c>
      <c r="R341" s="272">
        <f t="shared" si="17"/>
        <v>2.4980329999999998E-3</v>
      </c>
    </row>
    <row r="342" spans="2:18" ht="15" customHeight="1" x14ac:dyDescent="0.25">
      <c r="B342" s="114">
        <v>0.28092699999999998</v>
      </c>
      <c r="C342" s="269">
        <v>6.9196790000000004</v>
      </c>
      <c r="D342" s="272">
        <f t="shared" si="15"/>
        <v>6.9196790000000006E-3</v>
      </c>
      <c r="F342" s="47"/>
      <c r="G342" s="47"/>
      <c r="I342" s="114">
        <v>3.8079429999999998E-3</v>
      </c>
      <c r="J342" s="269">
        <v>2.2724839999999999</v>
      </c>
      <c r="K342" s="272">
        <f t="shared" si="16"/>
        <v>2.272484E-3</v>
      </c>
      <c r="M342" s="47"/>
      <c r="N342" s="47"/>
      <c r="P342" s="114">
        <v>4.1887369999999997E-3</v>
      </c>
      <c r="Q342" s="269">
        <v>2.499733</v>
      </c>
      <c r="R342" s="272">
        <f t="shared" si="17"/>
        <v>2.4997330000000001E-3</v>
      </c>
    </row>
    <row r="343" spans="2:18" ht="15" customHeight="1" x14ac:dyDescent="0.25">
      <c r="B343" s="114">
        <v>0.28179399999999999</v>
      </c>
      <c r="C343" s="269">
        <v>6.9410360000000004</v>
      </c>
      <c r="D343" s="272">
        <f t="shared" si="15"/>
        <v>6.9410360000000003E-3</v>
      </c>
      <c r="F343" s="47"/>
      <c r="G343" s="47"/>
      <c r="I343" s="114">
        <v>3.819696E-3</v>
      </c>
      <c r="J343" s="269">
        <v>2.274016</v>
      </c>
      <c r="K343" s="272">
        <f t="shared" si="16"/>
        <v>2.2740160000000002E-3</v>
      </c>
      <c r="M343" s="47"/>
      <c r="N343" s="47"/>
      <c r="P343" s="114">
        <v>4.2016650000000003E-3</v>
      </c>
      <c r="Q343" s="269">
        <v>2.501417</v>
      </c>
      <c r="R343" s="272">
        <f t="shared" si="17"/>
        <v>2.5014170000000001E-3</v>
      </c>
    </row>
    <row r="344" spans="2:18" ht="15" customHeight="1" x14ac:dyDescent="0.25">
      <c r="B344" s="114">
        <v>0.2826611</v>
      </c>
      <c r="C344" s="269">
        <v>6.9623929999999996</v>
      </c>
      <c r="D344" s="272">
        <f t="shared" si="15"/>
        <v>6.9623929999999999E-3</v>
      </c>
      <c r="F344" s="47"/>
      <c r="G344" s="47"/>
      <c r="I344" s="114">
        <v>3.8314489999999998E-3</v>
      </c>
      <c r="J344" s="269">
        <v>2.2755329999999998</v>
      </c>
      <c r="K344" s="272">
        <f t="shared" si="16"/>
        <v>2.2755329999999997E-3</v>
      </c>
      <c r="M344" s="47"/>
      <c r="N344" s="47"/>
      <c r="P344" s="114">
        <v>4.2145940000000003E-3</v>
      </c>
      <c r="Q344" s="269">
        <v>2.5030860000000001</v>
      </c>
      <c r="R344" s="272">
        <f t="shared" si="17"/>
        <v>2.5030860000000003E-3</v>
      </c>
    </row>
    <row r="345" spans="2:18" ht="15" customHeight="1" x14ac:dyDescent="0.25">
      <c r="B345" s="114">
        <v>0.28352810000000001</v>
      </c>
      <c r="C345" s="269">
        <v>6.9837499999999997</v>
      </c>
      <c r="D345" s="272">
        <f t="shared" si="15"/>
        <v>6.9837499999999995E-3</v>
      </c>
      <c r="F345" s="47"/>
      <c r="G345" s="47"/>
      <c r="I345" s="114">
        <v>3.843202E-3</v>
      </c>
      <c r="J345" s="269">
        <v>2.277037</v>
      </c>
      <c r="K345" s="272">
        <f t="shared" si="16"/>
        <v>2.277037E-3</v>
      </c>
      <c r="M345" s="47"/>
      <c r="N345" s="47"/>
      <c r="P345" s="114">
        <v>4.2275220000000001E-3</v>
      </c>
      <c r="Q345" s="269">
        <v>2.50474</v>
      </c>
      <c r="R345" s="272">
        <f t="shared" si="17"/>
        <v>2.5047400000000001E-3</v>
      </c>
    </row>
    <row r="346" spans="2:18" ht="15" customHeight="1" x14ac:dyDescent="0.25">
      <c r="B346" s="114">
        <v>0.28439520000000001</v>
      </c>
      <c r="C346" s="269">
        <v>7.0051069999999998</v>
      </c>
      <c r="D346" s="272">
        <f t="shared" si="15"/>
        <v>7.005107E-3</v>
      </c>
      <c r="F346" s="47"/>
      <c r="G346" s="47"/>
      <c r="I346" s="114">
        <v>3.8549539999999998E-3</v>
      </c>
      <c r="J346" s="269">
        <v>2.278527</v>
      </c>
      <c r="K346" s="272">
        <f t="shared" si="16"/>
        <v>2.2785269999999998E-3</v>
      </c>
      <c r="M346" s="47"/>
      <c r="N346" s="47"/>
      <c r="P346" s="114">
        <v>4.2404499999999998E-3</v>
      </c>
      <c r="Q346" s="269">
        <v>2.5063800000000001</v>
      </c>
      <c r="R346" s="272">
        <f t="shared" si="17"/>
        <v>2.5063799999999999E-3</v>
      </c>
    </row>
    <row r="347" spans="2:18" ht="15" customHeight="1" x14ac:dyDescent="0.25">
      <c r="B347" s="114">
        <v>0.28526220000000002</v>
      </c>
      <c r="C347" s="269">
        <v>7.0264639999999998</v>
      </c>
      <c r="D347" s="272">
        <f t="shared" si="15"/>
        <v>7.0264639999999996E-3</v>
      </c>
      <c r="F347" s="47"/>
      <c r="G347" s="47"/>
      <c r="I347" s="114">
        <v>3.866707E-3</v>
      </c>
      <c r="J347" s="269">
        <v>2.2800039999999999</v>
      </c>
      <c r="K347" s="272">
        <f t="shared" si="16"/>
        <v>2.280004E-3</v>
      </c>
      <c r="M347" s="47"/>
      <c r="N347" s="47"/>
      <c r="P347" s="114">
        <v>4.2533780000000004E-3</v>
      </c>
      <c r="Q347" s="269">
        <v>2.5080040000000001</v>
      </c>
      <c r="R347" s="272">
        <f t="shared" si="17"/>
        <v>2.5080040000000003E-3</v>
      </c>
    </row>
    <row r="348" spans="2:18" ht="15" customHeight="1" x14ac:dyDescent="0.25">
      <c r="B348" s="114">
        <v>0.28612929999999998</v>
      </c>
      <c r="C348" s="269">
        <v>7.0478209999999999</v>
      </c>
      <c r="D348" s="272">
        <f t="shared" si="15"/>
        <v>7.0478210000000001E-3</v>
      </c>
      <c r="F348" s="47"/>
      <c r="G348" s="47"/>
      <c r="I348" s="114">
        <v>3.8784599999999998E-3</v>
      </c>
      <c r="J348" s="269">
        <v>2.2814679999999998</v>
      </c>
      <c r="K348" s="272">
        <f t="shared" si="16"/>
        <v>2.281468E-3</v>
      </c>
      <c r="M348" s="47"/>
      <c r="N348" s="47"/>
      <c r="P348" s="114">
        <v>4.2663060000000001E-3</v>
      </c>
      <c r="Q348" s="269">
        <v>2.5096150000000002</v>
      </c>
      <c r="R348" s="272">
        <f t="shared" si="17"/>
        <v>2.5096150000000002E-3</v>
      </c>
    </row>
    <row r="349" spans="2:18" ht="15" customHeight="1" x14ac:dyDescent="0.25">
      <c r="B349" s="114">
        <v>0.28699639999999998</v>
      </c>
      <c r="C349" s="269">
        <v>7.069178</v>
      </c>
      <c r="D349" s="272">
        <f t="shared" si="15"/>
        <v>7.0691779999999997E-3</v>
      </c>
      <c r="F349" s="47"/>
      <c r="G349" s="47"/>
      <c r="I349" s="114">
        <v>3.890213E-3</v>
      </c>
      <c r="J349" s="269">
        <v>2.2829190000000001</v>
      </c>
      <c r="K349" s="272">
        <f t="shared" si="16"/>
        <v>2.282919E-3</v>
      </c>
      <c r="M349" s="47"/>
      <c r="N349" s="47"/>
      <c r="P349" s="114">
        <v>4.2792350000000002E-3</v>
      </c>
      <c r="Q349" s="269">
        <v>2.5112109999999999</v>
      </c>
      <c r="R349" s="272">
        <f t="shared" si="17"/>
        <v>2.5112109999999997E-3</v>
      </c>
    </row>
    <row r="350" spans="2:18" ht="15" customHeight="1" x14ac:dyDescent="0.25">
      <c r="B350" s="114">
        <v>0.28786339999999999</v>
      </c>
      <c r="C350" s="269">
        <v>7.090535</v>
      </c>
      <c r="D350" s="272">
        <f t="shared" si="15"/>
        <v>7.0905350000000002E-3</v>
      </c>
      <c r="F350" s="47"/>
      <c r="G350" s="47"/>
      <c r="I350" s="114">
        <v>3.9019660000000002E-3</v>
      </c>
      <c r="J350" s="269">
        <v>2.2843580000000001</v>
      </c>
      <c r="K350" s="272">
        <f t="shared" si="16"/>
        <v>2.2843580000000002E-3</v>
      </c>
      <c r="M350" s="47"/>
      <c r="N350" s="47"/>
      <c r="P350" s="114">
        <v>4.2921629999999999E-3</v>
      </c>
      <c r="Q350" s="269">
        <v>2.5127929999999998</v>
      </c>
      <c r="R350" s="272">
        <f t="shared" si="17"/>
        <v>2.5127929999999997E-3</v>
      </c>
    </row>
    <row r="351" spans="2:18" ht="15" customHeight="1" x14ac:dyDescent="0.25">
      <c r="B351" s="114">
        <v>0.2887305</v>
      </c>
      <c r="C351" s="269">
        <v>7.1118920000000001</v>
      </c>
      <c r="D351" s="272">
        <f t="shared" si="15"/>
        <v>7.1118919999999999E-3</v>
      </c>
      <c r="F351" s="47"/>
      <c r="G351" s="47"/>
      <c r="I351" s="114">
        <v>3.9137190000000004E-3</v>
      </c>
      <c r="J351" s="269">
        <v>2.285784</v>
      </c>
      <c r="K351" s="272">
        <f t="shared" si="16"/>
        <v>2.2857839999999999E-3</v>
      </c>
      <c r="M351" s="47"/>
      <c r="N351" s="47"/>
      <c r="P351" s="114">
        <v>4.3050909999999996E-3</v>
      </c>
      <c r="Q351" s="269">
        <v>2.5143620000000002</v>
      </c>
      <c r="R351" s="272">
        <f t="shared" si="17"/>
        <v>2.514362E-3</v>
      </c>
    </row>
    <row r="352" spans="2:18" ht="15" customHeight="1" x14ac:dyDescent="0.25">
      <c r="B352" s="114">
        <v>0.28959750000000001</v>
      </c>
      <c r="C352" s="269">
        <v>7.1332490000000002</v>
      </c>
      <c r="D352" s="272">
        <f t="shared" si="15"/>
        <v>7.1332490000000004E-3</v>
      </c>
      <c r="F352" s="47"/>
      <c r="G352" s="47"/>
      <c r="I352" s="114">
        <v>3.9254720000000002E-3</v>
      </c>
      <c r="J352" s="269">
        <v>2.2871969999999999</v>
      </c>
      <c r="K352" s="272">
        <f t="shared" si="16"/>
        <v>2.2871969999999999E-3</v>
      </c>
      <c r="M352" s="47"/>
      <c r="N352" s="47"/>
      <c r="P352" s="114">
        <v>4.3180190000000002E-3</v>
      </c>
      <c r="Q352" s="269">
        <v>2.515917</v>
      </c>
      <c r="R352" s="272">
        <f t="shared" si="17"/>
        <v>2.5159169999999999E-3</v>
      </c>
    </row>
    <row r="353" spans="2:18" ht="15" customHeight="1" x14ac:dyDescent="0.25">
      <c r="B353" s="114">
        <v>0.29046460000000002</v>
      </c>
      <c r="C353" s="269">
        <v>7.1546060000000002</v>
      </c>
      <c r="D353" s="272">
        <f t="shared" si="15"/>
        <v>7.154606E-3</v>
      </c>
      <c r="F353" s="47"/>
      <c r="G353" s="47"/>
      <c r="I353" s="114">
        <v>3.9372249999999999E-3</v>
      </c>
      <c r="J353" s="269">
        <v>2.288599</v>
      </c>
      <c r="K353" s="272">
        <f t="shared" si="16"/>
        <v>2.2885990000000001E-3</v>
      </c>
      <c r="M353" s="47"/>
      <c r="N353" s="47"/>
      <c r="P353" s="114">
        <v>4.3309469999999999E-3</v>
      </c>
      <c r="Q353" s="269">
        <v>2.5174590000000001</v>
      </c>
      <c r="R353" s="272">
        <f t="shared" si="17"/>
        <v>2.5174590000000001E-3</v>
      </c>
    </row>
    <row r="354" spans="2:18" ht="15" customHeight="1" x14ac:dyDescent="0.25">
      <c r="B354" s="114">
        <v>0.29133170000000003</v>
      </c>
      <c r="C354" s="269">
        <v>7.1759639999999996</v>
      </c>
      <c r="D354" s="272">
        <f t="shared" si="15"/>
        <v>7.175964E-3</v>
      </c>
      <c r="F354" s="47"/>
      <c r="G354" s="47"/>
      <c r="I354" s="114">
        <v>3.9489779999999997E-3</v>
      </c>
      <c r="J354" s="269">
        <v>2.2899889999999998</v>
      </c>
      <c r="K354" s="272">
        <f t="shared" si="16"/>
        <v>2.2899889999999997E-3</v>
      </c>
      <c r="M354" s="47"/>
      <c r="N354" s="47"/>
      <c r="P354" s="114">
        <v>4.343876E-3</v>
      </c>
      <c r="Q354" s="269">
        <v>2.5189879999999998</v>
      </c>
      <c r="R354" s="272">
        <f t="shared" si="17"/>
        <v>2.5189879999999998E-3</v>
      </c>
    </row>
    <row r="355" spans="2:18" ht="15" customHeight="1" x14ac:dyDescent="0.25">
      <c r="B355" s="114">
        <v>0.29219869999999998</v>
      </c>
      <c r="C355" s="269">
        <v>7.1973209999999996</v>
      </c>
      <c r="D355" s="272">
        <f t="shared" si="15"/>
        <v>7.1973209999999996E-3</v>
      </c>
      <c r="F355" s="47"/>
      <c r="G355" s="47"/>
      <c r="I355" s="114">
        <v>3.9607310000000003E-3</v>
      </c>
      <c r="J355" s="269">
        <v>2.2913670000000002</v>
      </c>
      <c r="K355" s="272">
        <f t="shared" si="16"/>
        <v>2.2913670000000003E-3</v>
      </c>
      <c r="M355" s="47"/>
      <c r="N355" s="47"/>
      <c r="P355" s="114">
        <v>4.3568039999999997E-3</v>
      </c>
      <c r="Q355" s="269">
        <v>2.5205039999999999</v>
      </c>
      <c r="R355" s="272">
        <f t="shared" si="17"/>
        <v>2.5205039999999998E-3</v>
      </c>
    </row>
    <row r="356" spans="2:18" ht="15" customHeight="1" x14ac:dyDescent="0.25">
      <c r="B356" s="114">
        <v>0.29306579999999999</v>
      </c>
      <c r="C356" s="269">
        <v>7.2186779999999997</v>
      </c>
      <c r="D356" s="272">
        <f t="shared" si="15"/>
        <v>7.2186780000000001E-3</v>
      </c>
      <c r="F356" s="47"/>
      <c r="G356" s="47"/>
      <c r="I356" s="114">
        <v>3.9724840000000001E-3</v>
      </c>
      <c r="J356" s="269">
        <v>2.2927339999999998</v>
      </c>
      <c r="K356" s="272">
        <f t="shared" si="16"/>
        <v>2.2927339999999998E-3</v>
      </c>
      <c r="M356" s="47"/>
      <c r="N356" s="47"/>
      <c r="P356" s="114">
        <v>4.3697320000000003E-3</v>
      </c>
      <c r="Q356" s="269">
        <v>2.522008</v>
      </c>
      <c r="R356" s="272">
        <f t="shared" si="17"/>
        <v>2.5220080000000001E-3</v>
      </c>
    </row>
    <row r="357" spans="2:18" ht="15" customHeight="1" x14ac:dyDescent="0.25">
      <c r="B357" s="114">
        <v>0.29393279999999999</v>
      </c>
      <c r="C357" s="269">
        <v>7.2400349999999998</v>
      </c>
      <c r="D357" s="272">
        <f t="shared" si="15"/>
        <v>7.2400349999999997E-3</v>
      </c>
      <c r="F357" s="47"/>
      <c r="G357" s="47"/>
      <c r="I357" s="114">
        <v>3.9842369999999998E-3</v>
      </c>
      <c r="J357" s="269">
        <v>2.2940900000000002</v>
      </c>
      <c r="K357" s="272">
        <f t="shared" si="16"/>
        <v>2.2940900000000004E-3</v>
      </c>
      <c r="M357" s="47"/>
      <c r="N357" s="47"/>
      <c r="P357" s="114">
        <v>4.38266E-3</v>
      </c>
      <c r="Q357" s="269">
        <v>2.5234990000000002</v>
      </c>
      <c r="R357" s="272">
        <f t="shared" si="17"/>
        <v>2.5234990000000002E-3</v>
      </c>
    </row>
    <row r="358" spans="2:18" ht="15" customHeight="1" x14ac:dyDescent="0.25">
      <c r="B358" s="114">
        <v>0.2947999</v>
      </c>
      <c r="C358" s="269">
        <v>7.2613919999999998</v>
      </c>
      <c r="D358" s="272">
        <f t="shared" si="15"/>
        <v>7.2613920000000002E-3</v>
      </c>
      <c r="F358" s="47"/>
      <c r="G358" s="47"/>
      <c r="I358" s="114">
        <v>3.9959890000000001E-3</v>
      </c>
      <c r="J358" s="269">
        <v>2.2954340000000002</v>
      </c>
      <c r="K358" s="272">
        <f t="shared" si="16"/>
        <v>2.2954340000000003E-3</v>
      </c>
      <c r="M358" s="47"/>
      <c r="N358" s="47"/>
      <c r="P358" s="114">
        <v>4.3955879999999998E-3</v>
      </c>
      <c r="Q358" s="269">
        <v>2.5249769999999998</v>
      </c>
      <c r="R358" s="272">
        <f t="shared" si="17"/>
        <v>2.5249769999999999E-3</v>
      </c>
    </row>
    <row r="359" spans="2:18" ht="15" customHeight="1" x14ac:dyDescent="0.25">
      <c r="B359" s="114">
        <v>0.29566690000000001</v>
      </c>
      <c r="C359" s="269">
        <v>7.2827489999999999</v>
      </c>
      <c r="D359" s="272">
        <f t="shared" si="15"/>
        <v>7.2827489999999998E-3</v>
      </c>
      <c r="F359" s="47"/>
      <c r="G359" s="47"/>
      <c r="I359" s="114">
        <v>4.0077419999999999E-3</v>
      </c>
      <c r="J359" s="269">
        <v>2.296767</v>
      </c>
      <c r="K359" s="272">
        <f t="shared" si="16"/>
        <v>2.2967669999999999E-3</v>
      </c>
      <c r="M359" s="47"/>
      <c r="N359" s="47"/>
      <c r="P359" s="114">
        <v>4.4085169999999998E-3</v>
      </c>
      <c r="Q359" s="269">
        <v>2.5264440000000001</v>
      </c>
      <c r="R359" s="272">
        <f t="shared" si="17"/>
        <v>2.5264440000000001E-3</v>
      </c>
    </row>
    <row r="360" spans="2:18" ht="15" customHeight="1" x14ac:dyDescent="0.25">
      <c r="B360" s="114">
        <v>0.29653400000000002</v>
      </c>
      <c r="C360" s="269">
        <v>7.304106</v>
      </c>
      <c r="D360" s="272">
        <f t="shared" si="15"/>
        <v>7.3041060000000003E-3</v>
      </c>
      <c r="F360" s="47"/>
      <c r="G360" s="47"/>
      <c r="I360" s="114">
        <v>4.0194949999999997E-3</v>
      </c>
      <c r="J360" s="269">
        <v>2.2980900000000002</v>
      </c>
      <c r="K360" s="272">
        <f t="shared" si="16"/>
        <v>2.29809E-3</v>
      </c>
      <c r="M360" s="47"/>
      <c r="N360" s="47"/>
      <c r="P360" s="114">
        <v>4.4214450000000004E-3</v>
      </c>
      <c r="Q360" s="269">
        <v>2.5278990000000001</v>
      </c>
      <c r="R360" s="272">
        <f t="shared" si="17"/>
        <v>2.5278990000000001E-3</v>
      </c>
    </row>
    <row r="361" spans="2:18" ht="15" customHeight="1" x14ac:dyDescent="0.25">
      <c r="B361" s="114">
        <v>0.29740109999999997</v>
      </c>
      <c r="C361" s="269">
        <v>7.3254630000000001</v>
      </c>
      <c r="D361" s="272">
        <f t="shared" si="15"/>
        <v>7.3254629999999999E-3</v>
      </c>
      <c r="F361" s="47"/>
      <c r="G361" s="47"/>
      <c r="I361" s="114">
        <v>4.0312480000000003E-3</v>
      </c>
      <c r="J361" s="269">
        <v>2.299401</v>
      </c>
      <c r="K361" s="272">
        <f t="shared" si="16"/>
        <v>2.299401E-3</v>
      </c>
      <c r="M361" s="47"/>
      <c r="N361" s="47"/>
      <c r="P361" s="114">
        <v>4.4343730000000001E-3</v>
      </c>
      <c r="Q361" s="269">
        <v>2.5293420000000002</v>
      </c>
      <c r="R361" s="272">
        <f t="shared" si="17"/>
        <v>2.5293420000000004E-3</v>
      </c>
    </row>
    <row r="362" spans="2:18" ht="15" customHeight="1" x14ac:dyDescent="0.25">
      <c r="B362" s="114">
        <v>0.29826809999999998</v>
      </c>
      <c r="C362" s="269">
        <v>7.3468200000000001</v>
      </c>
      <c r="D362" s="272">
        <f t="shared" si="15"/>
        <v>7.3468200000000004E-3</v>
      </c>
      <c r="F362" s="47"/>
      <c r="G362" s="47"/>
      <c r="I362" s="114">
        <v>4.0430010000000001E-3</v>
      </c>
      <c r="J362" s="269">
        <v>2.3007029999999999</v>
      </c>
      <c r="K362" s="272">
        <f t="shared" si="16"/>
        <v>2.3007029999999999E-3</v>
      </c>
      <c r="M362" s="47"/>
      <c r="N362" s="47"/>
      <c r="P362" s="114">
        <v>4.4473009999999999E-3</v>
      </c>
      <c r="Q362" s="269">
        <v>2.5307729999999999</v>
      </c>
      <c r="R362" s="272">
        <f t="shared" si="17"/>
        <v>2.5307730000000001E-3</v>
      </c>
    </row>
    <row r="363" spans="2:18" ht="15" customHeight="1" x14ac:dyDescent="0.25">
      <c r="B363" s="114">
        <v>0.29913519999999999</v>
      </c>
      <c r="C363" s="269">
        <v>7.3681770000000002</v>
      </c>
      <c r="D363" s="272">
        <f t="shared" si="15"/>
        <v>7.3681770000000001E-3</v>
      </c>
      <c r="F363" s="47"/>
      <c r="G363" s="47"/>
      <c r="I363" s="114">
        <v>4.0547539999999998E-3</v>
      </c>
      <c r="J363" s="269">
        <v>2.3019940000000001</v>
      </c>
      <c r="K363" s="272">
        <f t="shared" si="16"/>
        <v>2.3019939999999999E-3</v>
      </c>
      <c r="M363" s="47"/>
      <c r="N363" s="47"/>
      <c r="P363" s="114">
        <v>4.4602289999999996E-3</v>
      </c>
      <c r="Q363" s="269">
        <v>2.5321929999999999</v>
      </c>
      <c r="R363" s="272">
        <f t="shared" si="17"/>
        <v>2.5321929999999999E-3</v>
      </c>
    </row>
    <row r="364" spans="2:18" ht="15" customHeight="1" x14ac:dyDescent="0.25">
      <c r="B364" s="114">
        <v>0.3000022</v>
      </c>
      <c r="C364" s="269">
        <v>7.3895340000000003</v>
      </c>
      <c r="D364" s="272">
        <f t="shared" si="15"/>
        <v>7.3895340000000006E-3</v>
      </c>
      <c r="F364" s="47"/>
      <c r="G364" s="47"/>
      <c r="I364" s="114">
        <v>4.0665069999999996E-3</v>
      </c>
      <c r="J364" s="269">
        <v>2.3032750000000002</v>
      </c>
      <c r="K364" s="272">
        <f t="shared" si="16"/>
        <v>2.303275E-3</v>
      </c>
      <c r="M364" s="47"/>
      <c r="N364" s="47"/>
      <c r="P364" s="114">
        <v>4.4731579999999996E-3</v>
      </c>
      <c r="Q364" s="269">
        <v>2.5336020000000001</v>
      </c>
      <c r="R364" s="272">
        <f t="shared" si="17"/>
        <v>2.5336020000000002E-3</v>
      </c>
    </row>
    <row r="365" spans="2:18" ht="15" customHeight="1" x14ac:dyDescent="0.25">
      <c r="B365" s="114">
        <v>0.30086930000000001</v>
      </c>
      <c r="C365" s="269">
        <v>7.4108910000000003</v>
      </c>
      <c r="D365" s="272">
        <f t="shared" si="15"/>
        <v>7.4108910000000002E-3</v>
      </c>
      <c r="F365" s="47"/>
      <c r="G365" s="47"/>
      <c r="I365" s="114">
        <v>4.0782600000000002E-3</v>
      </c>
      <c r="J365" s="269">
        <v>2.3045450000000001</v>
      </c>
      <c r="K365" s="272">
        <f t="shared" si="16"/>
        <v>2.3045449999999999E-3</v>
      </c>
      <c r="M365" s="47"/>
      <c r="N365" s="47"/>
      <c r="P365" s="114">
        <v>4.4860860000000002E-3</v>
      </c>
      <c r="Q365" s="269">
        <v>2.5350000000000001</v>
      </c>
      <c r="R365" s="272">
        <f t="shared" si="17"/>
        <v>2.5349999999999999E-3</v>
      </c>
    </row>
    <row r="366" spans="2:18" ht="15" customHeight="1" x14ac:dyDescent="0.25">
      <c r="B366" s="114">
        <v>0.30173640000000002</v>
      </c>
      <c r="C366" s="269">
        <v>7.4322480000000004</v>
      </c>
      <c r="D366" s="272">
        <f t="shared" si="15"/>
        <v>7.4322480000000007E-3</v>
      </c>
      <c r="F366" s="47"/>
      <c r="G366" s="47"/>
      <c r="I366" s="114">
        <v>4.090013E-3</v>
      </c>
      <c r="J366" s="269">
        <v>2.305806</v>
      </c>
      <c r="K366" s="272">
        <f t="shared" si="16"/>
        <v>2.3058060000000001E-3</v>
      </c>
      <c r="M366" s="47"/>
      <c r="N366" s="47"/>
      <c r="P366" s="114">
        <v>4.499014E-3</v>
      </c>
      <c r="Q366" s="269">
        <v>2.5363869999999999</v>
      </c>
      <c r="R366" s="272">
        <f t="shared" si="17"/>
        <v>2.5363869999999998E-3</v>
      </c>
    </row>
    <row r="367" spans="2:18" ht="15" customHeight="1" x14ac:dyDescent="0.25">
      <c r="B367" s="114">
        <v>0.30260340000000002</v>
      </c>
      <c r="C367" s="269">
        <v>7.4536049999999996</v>
      </c>
      <c r="D367" s="272">
        <f t="shared" si="15"/>
        <v>7.4536049999999994E-3</v>
      </c>
      <c r="F367" s="47"/>
      <c r="G367" s="47"/>
      <c r="I367" s="114">
        <v>4.1017659999999997E-3</v>
      </c>
      <c r="J367" s="269">
        <v>2.3070569999999999</v>
      </c>
      <c r="K367" s="272">
        <f t="shared" si="16"/>
        <v>2.3070569999999999E-3</v>
      </c>
      <c r="M367" s="47"/>
      <c r="N367" s="47"/>
      <c r="P367" s="114">
        <v>4.5119419999999997E-3</v>
      </c>
      <c r="Q367" s="269">
        <v>2.537763</v>
      </c>
      <c r="R367" s="272">
        <f t="shared" si="17"/>
        <v>2.5377630000000002E-3</v>
      </c>
    </row>
    <row r="368" spans="2:18" ht="15" customHeight="1" x14ac:dyDescent="0.25">
      <c r="B368" s="114">
        <v>0.30347049999999998</v>
      </c>
      <c r="C368" s="269">
        <v>7.4749619999999997</v>
      </c>
      <c r="D368" s="272">
        <f t="shared" si="15"/>
        <v>7.4749619999999999E-3</v>
      </c>
      <c r="F368" s="47"/>
      <c r="G368" s="47"/>
      <c r="I368" s="114">
        <v>4.1135190000000004E-3</v>
      </c>
      <c r="J368" s="269">
        <v>2.3082989999999999</v>
      </c>
      <c r="K368" s="272">
        <f t="shared" si="16"/>
        <v>2.3082989999999998E-3</v>
      </c>
      <c r="M368" s="47"/>
      <c r="N368" s="47"/>
      <c r="P368" s="114">
        <v>4.5248700000000003E-3</v>
      </c>
      <c r="Q368" s="269">
        <v>2.539129</v>
      </c>
      <c r="R368" s="272">
        <f t="shared" si="17"/>
        <v>2.5391289999999998E-3</v>
      </c>
    </row>
    <row r="369" spans="2:18" ht="15" customHeight="1" x14ac:dyDescent="0.25">
      <c r="B369" s="114">
        <v>0.30433749999999998</v>
      </c>
      <c r="C369" s="269">
        <v>7.4963189999999997</v>
      </c>
      <c r="D369" s="272">
        <f t="shared" si="15"/>
        <v>7.4963189999999996E-3</v>
      </c>
      <c r="I369" s="114">
        <v>4.1252709999999998E-3</v>
      </c>
      <c r="J369" s="269">
        <v>2.3095309999999998</v>
      </c>
      <c r="K369" s="272">
        <f t="shared" si="16"/>
        <v>2.3095309999999997E-3</v>
      </c>
      <c r="P369" s="114">
        <v>4.5377990000000003E-3</v>
      </c>
      <c r="Q369" s="269">
        <v>2.5404840000000002</v>
      </c>
      <c r="R369" s="272">
        <f t="shared" si="17"/>
        <v>2.540484E-3</v>
      </c>
    </row>
    <row r="370" spans="2:18" ht="15" customHeight="1" x14ac:dyDescent="0.25">
      <c r="B370" s="114">
        <v>0.30520459999999999</v>
      </c>
      <c r="C370" s="269">
        <v>7.5176759999999998</v>
      </c>
      <c r="D370" s="272">
        <f t="shared" si="15"/>
        <v>7.517676E-3</v>
      </c>
      <c r="I370" s="114">
        <v>4.1370240000000004E-3</v>
      </c>
      <c r="J370" s="269">
        <v>2.3107530000000001</v>
      </c>
      <c r="K370" s="272">
        <f t="shared" si="16"/>
        <v>2.310753E-3</v>
      </c>
      <c r="P370" s="114">
        <v>4.5507270000000001E-3</v>
      </c>
      <c r="Q370" s="269">
        <v>2.5418289999999999</v>
      </c>
      <c r="R370" s="272">
        <f t="shared" si="17"/>
        <v>2.5418289999999998E-3</v>
      </c>
    </row>
    <row r="371" spans="2:18" ht="15" customHeight="1" x14ac:dyDescent="0.25">
      <c r="B371" s="114">
        <v>0.3060716</v>
      </c>
      <c r="C371" s="269">
        <v>7.5390329999999999</v>
      </c>
      <c r="D371" s="272">
        <f t="shared" si="15"/>
        <v>7.5390329999999997E-3</v>
      </c>
      <c r="I371" s="114">
        <v>4.1487770000000002E-3</v>
      </c>
      <c r="J371" s="269">
        <v>2.3119670000000001</v>
      </c>
      <c r="K371" s="272">
        <f t="shared" si="16"/>
        <v>2.3119670000000003E-3</v>
      </c>
      <c r="P371" s="114">
        <v>4.5636549999999998E-3</v>
      </c>
      <c r="Q371" s="269">
        <v>2.543164</v>
      </c>
      <c r="R371" s="272">
        <f t="shared" si="17"/>
        <v>2.5431640000000001E-3</v>
      </c>
    </row>
    <row r="372" spans="2:18" ht="15" customHeight="1" x14ac:dyDescent="0.25">
      <c r="B372" s="114">
        <v>0.30693870000000001</v>
      </c>
      <c r="C372" s="269">
        <v>7.5603899999999999</v>
      </c>
      <c r="D372" s="272">
        <f t="shared" si="15"/>
        <v>7.5603900000000002E-3</v>
      </c>
      <c r="I372" s="114">
        <v>4.16053E-3</v>
      </c>
      <c r="J372" s="269">
        <v>2.3131710000000001</v>
      </c>
      <c r="K372" s="272">
        <f t="shared" si="16"/>
        <v>2.3131710000000002E-3</v>
      </c>
      <c r="P372" s="114">
        <v>4.5765830000000004E-3</v>
      </c>
      <c r="Q372" s="269">
        <v>2.5444879999999999</v>
      </c>
      <c r="R372" s="272">
        <f t="shared" si="17"/>
        <v>2.5444879999999997E-3</v>
      </c>
    </row>
    <row r="373" spans="2:18" ht="15" customHeight="1" x14ac:dyDescent="0.25">
      <c r="B373" s="114">
        <v>0.30780580000000002</v>
      </c>
      <c r="C373" s="269">
        <v>7.581747</v>
      </c>
      <c r="D373" s="272">
        <f t="shared" si="15"/>
        <v>7.5817469999999998E-3</v>
      </c>
      <c r="I373" s="114">
        <v>4.1722829999999997E-3</v>
      </c>
      <c r="J373" s="269">
        <v>2.3143669999999998</v>
      </c>
      <c r="K373" s="272">
        <f t="shared" si="16"/>
        <v>2.3143669999999999E-3</v>
      </c>
      <c r="P373" s="114">
        <v>4.5895110000000001E-3</v>
      </c>
      <c r="Q373" s="269">
        <v>2.5458029999999998</v>
      </c>
      <c r="R373" s="272">
        <f t="shared" si="17"/>
        <v>2.5458029999999997E-3</v>
      </c>
    </row>
    <row r="374" spans="2:18" ht="15" customHeight="1" x14ac:dyDescent="0.25">
      <c r="B374" s="114">
        <v>0.30867280000000002</v>
      </c>
      <c r="C374" s="269">
        <v>7.6031040000000001</v>
      </c>
      <c r="D374" s="272">
        <f t="shared" si="15"/>
        <v>7.6031040000000003E-3</v>
      </c>
      <c r="I374" s="114">
        <v>4.1840360000000004E-3</v>
      </c>
      <c r="J374" s="269">
        <v>2.315553</v>
      </c>
      <c r="K374" s="272">
        <f t="shared" si="16"/>
        <v>2.3155530000000001E-3</v>
      </c>
      <c r="P374" s="114">
        <v>4.6024400000000002E-3</v>
      </c>
      <c r="Q374" s="269">
        <v>2.5471089999999998</v>
      </c>
      <c r="R374" s="272">
        <f t="shared" si="17"/>
        <v>2.5471089999999997E-3</v>
      </c>
    </row>
    <row r="375" spans="2:18" ht="15" customHeight="1" x14ac:dyDescent="0.25">
      <c r="B375" s="114">
        <v>0.30953989999999998</v>
      </c>
      <c r="C375" s="269">
        <v>7.6244610000000002</v>
      </c>
      <c r="D375" s="272">
        <f t="shared" si="15"/>
        <v>7.6244609999999999E-3</v>
      </c>
      <c r="I375" s="114">
        <v>4.1957890000000001E-3</v>
      </c>
      <c r="J375" s="269">
        <v>2.3167309999999999</v>
      </c>
      <c r="K375" s="272">
        <f t="shared" si="16"/>
        <v>2.3167309999999998E-3</v>
      </c>
      <c r="P375" s="114">
        <v>4.6153679999999999E-3</v>
      </c>
      <c r="Q375" s="269">
        <v>2.5484040000000001</v>
      </c>
      <c r="R375" s="272">
        <f t="shared" si="17"/>
        <v>2.5484040000000002E-3</v>
      </c>
    </row>
    <row r="376" spans="2:18" ht="15" customHeight="1" x14ac:dyDescent="0.25">
      <c r="B376" s="114">
        <v>0.31040689999999999</v>
      </c>
      <c r="C376" s="269">
        <v>7.6458180000000002</v>
      </c>
      <c r="D376" s="272">
        <f t="shared" si="15"/>
        <v>7.6458180000000004E-3</v>
      </c>
      <c r="I376" s="114">
        <v>4.2075419999999999E-3</v>
      </c>
      <c r="J376" s="269">
        <v>2.3178999999999998</v>
      </c>
      <c r="K376" s="272">
        <f t="shared" si="16"/>
        <v>2.3178999999999999E-3</v>
      </c>
      <c r="P376" s="114">
        <v>4.6282959999999996E-3</v>
      </c>
      <c r="Q376" s="269">
        <v>2.54969</v>
      </c>
      <c r="R376" s="272">
        <f t="shared" si="17"/>
        <v>2.5496899999999999E-3</v>
      </c>
    </row>
    <row r="377" spans="2:18" ht="15" customHeight="1" x14ac:dyDescent="0.25">
      <c r="B377" s="114">
        <v>0.311274</v>
      </c>
      <c r="C377" s="269">
        <v>7.6671750000000003</v>
      </c>
      <c r="D377" s="272">
        <f t="shared" si="15"/>
        <v>7.667175E-3</v>
      </c>
      <c r="I377" s="114">
        <v>4.2192949999999996E-3</v>
      </c>
      <c r="J377" s="269">
        <v>2.319061</v>
      </c>
      <c r="K377" s="272">
        <f t="shared" si="16"/>
        <v>2.3190609999999999E-3</v>
      </c>
      <c r="P377" s="114">
        <v>4.6412240000000002E-3</v>
      </c>
      <c r="Q377" s="269">
        <v>2.550967</v>
      </c>
      <c r="R377" s="272">
        <f t="shared" si="17"/>
        <v>2.5509669999999999E-3</v>
      </c>
    </row>
    <row r="378" spans="2:18" ht="15" customHeight="1" x14ac:dyDescent="0.25">
      <c r="B378" s="114">
        <v>0.3121411</v>
      </c>
      <c r="C378" s="269">
        <v>7.6885320000000004</v>
      </c>
      <c r="D378" s="272">
        <f t="shared" si="15"/>
        <v>7.6885320000000005E-3</v>
      </c>
      <c r="I378" s="114">
        <v>4.2310480000000003E-3</v>
      </c>
      <c r="J378" s="269">
        <v>2.320214</v>
      </c>
      <c r="K378" s="272">
        <f t="shared" si="16"/>
        <v>2.3202140000000001E-3</v>
      </c>
      <c r="P378" s="114">
        <v>4.6541519999999999E-3</v>
      </c>
      <c r="Q378" s="269">
        <v>2.552235</v>
      </c>
      <c r="R378" s="272">
        <f t="shared" si="17"/>
        <v>2.5522349999999999E-3</v>
      </c>
    </row>
    <row r="379" spans="2:18" ht="15" customHeight="1" x14ac:dyDescent="0.25">
      <c r="B379" s="114">
        <v>0.31300810000000001</v>
      </c>
      <c r="C379" s="269">
        <v>7.7098890000000004</v>
      </c>
      <c r="D379" s="272">
        <f t="shared" si="15"/>
        <v>7.7098890000000002E-3</v>
      </c>
      <c r="I379" s="114">
        <v>4.242801E-3</v>
      </c>
      <c r="J379" s="269">
        <v>2.321358</v>
      </c>
      <c r="K379" s="272">
        <f t="shared" si="16"/>
        <v>2.3213579999999999E-3</v>
      </c>
      <c r="P379" s="114">
        <v>4.667081E-3</v>
      </c>
      <c r="Q379" s="269">
        <v>2.5534940000000002</v>
      </c>
      <c r="R379" s="272">
        <f t="shared" si="17"/>
        <v>2.5534940000000003E-3</v>
      </c>
    </row>
    <row r="380" spans="2:18" ht="15" customHeight="1" x14ac:dyDescent="0.25">
      <c r="B380" s="114">
        <v>0.31387520000000002</v>
      </c>
      <c r="C380" s="269">
        <v>7.7312459999999996</v>
      </c>
      <c r="D380" s="272">
        <f t="shared" si="15"/>
        <v>7.7312459999999998E-3</v>
      </c>
      <c r="I380" s="114">
        <v>4.2545530000000003E-3</v>
      </c>
      <c r="J380" s="269">
        <v>2.3224939999999998</v>
      </c>
      <c r="K380" s="272">
        <f t="shared" si="16"/>
        <v>2.322494E-3</v>
      </c>
      <c r="P380" s="114">
        <v>4.6800089999999997E-3</v>
      </c>
      <c r="Q380" s="269">
        <v>2.5547430000000002</v>
      </c>
      <c r="R380" s="272">
        <f t="shared" si="17"/>
        <v>2.5547430000000004E-3</v>
      </c>
    </row>
    <row r="381" spans="2:18" ht="15" customHeight="1" x14ac:dyDescent="0.25">
      <c r="B381" s="114">
        <v>0.31474220000000003</v>
      </c>
      <c r="C381" s="269">
        <v>7.7526029999999997</v>
      </c>
      <c r="D381" s="272">
        <f t="shared" si="15"/>
        <v>7.7526029999999994E-3</v>
      </c>
      <c r="I381" s="114">
        <v>4.2663060000000001E-3</v>
      </c>
      <c r="J381" s="269">
        <v>2.3236219999999999</v>
      </c>
      <c r="K381" s="272">
        <f t="shared" si="16"/>
        <v>2.323622E-3</v>
      </c>
      <c r="P381" s="114">
        <v>4.6929370000000003E-3</v>
      </c>
      <c r="Q381" s="269">
        <v>2.555984</v>
      </c>
      <c r="R381" s="272">
        <f t="shared" si="17"/>
        <v>2.5559839999999999E-3</v>
      </c>
    </row>
    <row r="382" spans="2:18" ht="15" customHeight="1" x14ac:dyDescent="0.25">
      <c r="B382" s="114">
        <v>0.31560929999999998</v>
      </c>
      <c r="C382" s="269">
        <v>7.7739599999999998</v>
      </c>
      <c r="D382" s="272">
        <f t="shared" si="15"/>
        <v>7.7739599999999999E-3</v>
      </c>
      <c r="I382" s="114">
        <v>4.2780589999999999E-3</v>
      </c>
      <c r="J382" s="269">
        <v>2.3247420000000001</v>
      </c>
      <c r="K382" s="272">
        <f t="shared" si="16"/>
        <v>2.3247420000000003E-3</v>
      </c>
      <c r="P382" s="114">
        <v>4.705865E-3</v>
      </c>
      <c r="Q382" s="269">
        <v>2.5572159999999999</v>
      </c>
      <c r="R382" s="272">
        <f t="shared" si="17"/>
        <v>2.5572159999999997E-3</v>
      </c>
    </row>
    <row r="383" spans="2:18" ht="15" customHeight="1" x14ac:dyDescent="0.25">
      <c r="B383" s="114">
        <v>0.31647639999999999</v>
      </c>
      <c r="C383" s="269">
        <v>7.795318</v>
      </c>
      <c r="D383" s="272">
        <f t="shared" si="15"/>
        <v>7.7953179999999999E-3</v>
      </c>
      <c r="I383" s="114">
        <v>4.2898119999999996E-3</v>
      </c>
      <c r="J383" s="269">
        <v>2.3258540000000001</v>
      </c>
      <c r="K383" s="272">
        <f t="shared" si="16"/>
        <v>2.325854E-3</v>
      </c>
      <c r="P383" s="114">
        <v>4.7187929999999998E-3</v>
      </c>
      <c r="Q383" s="269">
        <v>2.55844</v>
      </c>
      <c r="R383" s="272">
        <f t="shared" si="17"/>
        <v>2.5584399999999999E-3</v>
      </c>
    </row>
    <row r="384" spans="2:18" ht="15" customHeight="1" x14ac:dyDescent="0.25">
      <c r="B384" s="114">
        <v>0.3173434</v>
      </c>
      <c r="C384" s="269">
        <v>7.816675</v>
      </c>
      <c r="D384" s="272">
        <f t="shared" si="15"/>
        <v>7.8166750000000004E-3</v>
      </c>
      <c r="I384" s="114">
        <v>4.3015650000000002E-3</v>
      </c>
      <c r="J384" s="269">
        <v>2.326959</v>
      </c>
      <c r="K384" s="272">
        <f t="shared" si="16"/>
        <v>2.326959E-3</v>
      </c>
      <c r="P384" s="114">
        <v>4.7317219999999998E-3</v>
      </c>
      <c r="Q384" s="269">
        <v>2.5596549999999998</v>
      </c>
      <c r="R384" s="272">
        <f t="shared" si="17"/>
        <v>2.5596549999999997E-3</v>
      </c>
    </row>
    <row r="385" spans="2:18" ht="15" customHeight="1" x14ac:dyDescent="0.25">
      <c r="B385" s="114">
        <v>0.31821050000000001</v>
      </c>
      <c r="C385" s="269">
        <v>7.8380320000000001</v>
      </c>
      <c r="D385" s="272">
        <f t="shared" si="15"/>
        <v>7.838032E-3</v>
      </c>
      <c r="I385" s="114">
        <v>4.313318E-3</v>
      </c>
      <c r="J385" s="269">
        <v>2.3280560000000001</v>
      </c>
      <c r="K385" s="272">
        <f t="shared" si="16"/>
        <v>2.3280560000000002E-3</v>
      </c>
      <c r="P385" s="114">
        <v>4.7446500000000004E-3</v>
      </c>
      <c r="Q385" s="269">
        <v>2.5608620000000002</v>
      </c>
      <c r="R385" s="272">
        <f t="shared" si="17"/>
        <v>2.5608620000000001E-3</v>
      </c>
    </row>
    <row r="386" spans="2:18" ht="15" customHeight="1" x14ac:dyDescent="0.25">
      <c r="B386" s="114">
        <v>0.31907750000000001</v>
      </c>
      <c r="C386" s="269">
        <v>7.8593890000000002</v>
      </c>
      <c r="D386" s="272">
        <f t="shared" si="15"/>
        <v>7.8593889999999996E-3</v>
      </c>
      <c r="I386" s="114">
        <v>4.3250709999999998E-3</v>
      </c>
      <c r="J386" s="269">
        <v>2.3291460000000002</v>
      </c>
      <c r="K386" s="272">
        <f t="shared" si="16"/>
        <v>2.3291460000000003E-3</v>
      </c>
      <c r="P386" s="114">
        <v>4.7575780000000002E-3</v>
      </c>
      <c r="Q386" s="269">
        <v>2.5620599999999998</v>
      </c>
      <c r="R386" s="272">
        <f t="shared" si="17"/>
        <v>2.5620599999999997E-3</v>
      </c>
    </row>
    <row r="387" spans="2:18" ht="15" customHeight="1" x14ac:dyDescent="0.25">
      <c r="B387" s="114">
        <v>0.31994460000000002</v>
      </c>
      <c r="C387" s="269">
        <v>7.8807460000000003</v>
      </c>
      <c r="D387" s="272">
        <f t="shared" si="15"/>
        <v>7.880746000000001E-3</v>
      </c>
      <c r="I387" s="114">
        <v>4.3368240000000004E-3</v>
      </c>
      <c r="J387" s="269">
        <v>2.330228</v>
      </c>
      <c r="K387" s="272">
        <f t="shared" si="16"/>
        <v>2.3302280000000002E-3</v>
      </c>
      <c r="P387" s="114">
        <v>4.7705059999999999E-3</v>
      </c>
      <c r="Q387" s="269">
        <v>2.56325</v>
      </c>
      <c r="R387" s="272">
        <f t="shared" si="17"/>
        <v>2.56325E-3</v>
      </c>
    </row>
    <row r="388" spans="2:18" ht="15" customHeight="1" x14ac:dyDescent="0.25">
      <c r="B388" s="114">
        <v>0.32081159999999997</v>
      </c>
      <c r="C388" s="269">
        <v>7.9021030000000003</v>
      </c>
      <c r="D388" s="272">
        <f t="shared" si="15"/>
        <v>7.9021030000000006E-3</v>
      </c>
      <c r="I388" s="114">
        <v>4.3485770000000002E-3</v>
      </c>
      <c r="J388" s="269">
        <v>2.331302</v>
      </c>
      <c r="K388" s="272">
        <f t="shared" si="16"/>
        <v>2.3313019999999999E-3</v>
      </c>
      <c r="P388" s="114">
        <v>4.7834339999999996E-3</v>
      </c>
      <c r="Q388" s="269">
        <v>2.5644330000000002</v>
      </c>
      <c r="R388" s="272">
        <f t="shared" si="17"/>
        <v>2.5644330000000001E-3</v>
      </c>
    </row>
    <row r="389" spans="2:18" ht="15" customHeight="1" x14ac:dyDescent="0.25">
      <c r="B389" s="114">
        <v>0.32167869999999998</v>
      </c>
      <c r="C389" s="269">
        <v>7.9234600000000004</v>
      </c>
      <c r="D389" s="272">
        <f t="shared" si="15"/>
        <v>7.9234600000000002E-3</v>
      </c>
      <c r="I389" s="114">
        <v>4.3603299999999999E-3</v>
      </c>
      <c r="J389" s="269">
        <v>2.3323700000000001</v>
      </c>
      <c r="K389" s="272">
        <f t="shared" si="16"/>
        <v>2.3323699999999998E-3</v>
      </c>
      <c r="P389" s="114">
        <v>4.7963629999999997E-3</v>
      </c>
      <c r="Q389" s="269">
        <v>2.565607</v>
      </c>
      <c r="R389" s="272">
        <f t="shared" si="17"/>
        <v>2.5656070000000001E-3</v>
      </c>
    </row>
    <row r="390" spans="2:18" ht="15" customHeight="1" x14ac:dyDescent="0.25">
      <c r="B390" s="114">
        <v>0.32254579999999999</v>
      </c>
      <c r="C390" s="269">
        <v>7.9448169999999996</v>
      </c>
      <c r="D390" s="272">
        <f t="shared" si="15"/>
        <v>7.9448169999999999E-3</v>
      </c>
      <c r="I390" s="114">
        <v>4.3720829999999997E-3</v>
      </c>
      <c r="J390" s="269">
        <v>2.3334299999999999</v>
      </c>
      <c r="K390" s="272">
        <f t="shared" si="16"/>
        <v>2.3334300000000001E-3</v>
      </c>
      <c r="P390" s="114">
        <v>4.8092910000000003E-3</v>
      </c>
      <c r="Q390" s="269">
        <v>2.566773</v>
      </c>
      <c r="R390" s="272">
        <f t="shared" si="17"/>
        <v>2.5667730000000001E-3</v>
      </c>
    </row>
    <row r="391" spans="2:18" ht="15" customHeight="1" x14ac:dyDescent="0.25">
      <c r="B391" s="114">
        <v>0.3234128</v>
      </c>
      <c r="C391" s="269">
        <v>7.9661739999999996</v>
      </c>
      <c r="D391" s="272">
        <f t="shared" si="15"/>
        <v>7.9661739999999995E-3</v>
      </c>
      <c r="I391" s="114">
        <v>4.383835E-3</v>
      </c>
      <c r="J391" s="269">
        <v>2.3344839999999998</v>
      </c>
      <c r="K391" s="272">
        <f t="shared" si="16"/>
        <v>2.334484E-3</v>
      </c>
      <c r="P391" s="114">
        <v>4.822219E-3</v>
      </c>
      <c r="Q391" s="269">
        <v>2.5679319999999999</v>
      </c>
      <c r="R391" s="272">
        <f t="shared" si="17"/>
        <v>2.5679319999999998E-3</v>
      </c>
    </row>
    <row r="392" spans="2:18" ht="15" customHeight="1" x14ac:dyDescent="0.25">
      <c r="B392" s="114">
        <v>0.32427990000000001</v>
      </c>
      <c r="C392" s="269">
        <v>7.9875309999999997</v>
      </c>
      <c r="D392" s="272">
        <f t="shared" si="15"/>
        <v>7.9875309999999991E-3</v>
      </c>
      <c r="I392" s="114">
        <v>4.3955879999999998E-3</v>
      </c>
      <c r="J392" s="269">
        <v>2.3355299999999999</v>
      </c>
      <c r="K392" s="272">
        <f t="shared" si="16"/>
        <v>2.3355299999999997E-3</v>
      </c>
      <c r="P392" s="114">
        <v>4.8351469999999997E-3</v>
      </c>
      <c r="Q392" s="269">
        <v>2.569083</v>
      </c>
      <c r="R392" s="272">
        <f t="shared" si="17"/>
        <v>2.5690830000000002E-3</v>
      </c>
    </row>
    <row r="393" spans="2:18" ht="15" customHeight="1" x14ac:dyDescent="0.25">
      <c r="B393" s="114">
        <v>0.32514690000000002</v>
      </c>
      <c r="C393" s="269">
        <v>8.0088880000000007</v>
      </c>
      <c r="D393" s="272">
        <f t="shared" si="15"/>
        <v>8.0088880000000005E-3</v>
      </c>
      <c r="I393" s="114">
        <v>4.4073410000000004E-3</v>
      </c>
      <c r="J393" s="269">
        <v>2.33657</v>
      </c>
      <c r="K393" s="272">
        <f t="shared" si="16"/>
        <v>2.3365700000000001E-3</v>
      </c>
      <c r="P393" s="114">
        <v>4.8480750000000003E-3</v>
      </c>
      <c r="Q393" s="269">
        <v>2.570227</v>
      </c>
      <c r="R393" s="272">
        <f t="shared" si="17"/>
        <v>2.570227E-3</v>
      </c>
    </row>
    <row r="394" spans="2:18" ht="15" customHeight="1" x14ac:dyDescent="0.25">
      <c r="B394" s="114">
        <v>0.32601400000000003</v>
      </c>
      <c r="C394" s="269">
        <v>8.0302450000000007</v>
      </c>
      <c r="D394" s="272">
        <f t="shared" si="15"/>
        <v>8.0302450000000001E-3</v>
      </c>
      <c r="I394" s="114">
        <v>4.4190940000000001E-3</v>
      </c>
      <c r="J394" s="269">
        <v>2.3376030000000001</v>
      </c>
      <c r="K394" s="272">
        <f t="shared" si="16"/>
        <v>2.3376030000000002E-3</v>
      </c>
      <c r="P394" s="114">
        <v>4.8610040000000004E-3</v>
      </c>
      <c r="Q394" s="269">
        <v>2.5713629999999998</v>
      </c>
      <c r="R394" s="272">
        <f t="shared" si="17"/>
        <v>2.5713629999999997E-3</v>
      </c>
    </row>
    <row r="395" spans="2:18" ht="15" customHeight="1" x14ac:dyDescent="0.25">
      <c r="B395" s="114">
        <v>0.32688109999999998</v>
      </c>
      <c r="C395" s="269">
        <v>8.0516020000000008</v>
      </c>
      <c r="D395" s="272">
        <f t="shared" si="15"/>
        <v>8.0516020000000015E-3</v>
      </c>
      <c r="I395" s="114">
        <v>4.4308469999999999E-3</v>
      </c>
      <c r="J395" s="269">
        <v>2.3386290000000001</v>
      </c>
      <c r="K395" s="272">
        <f t="shared" si="16"/>
        <v>2.3386290000000001E-3</v>
      </c>
      <c r="P395" s="114">
        <v>4.8739320000000001E-3</v>
      </c>
      <c r="Q395" s="269">
        <v>2.572492</v>
      </c>
      <c r="R395" s="272">
        <f t="shared" si="17"/>
        <v>2.572492E-3</v>
      </c>
    </row>
    <row r="396" spans="2:18" ht="15" customHeight="1" x14ac:dyDescent="0.25">
      <c r="B396" s="114">
        <v>0.32774809999999999</v>
      </c>
      <c r="C396" s="269">
        <v>8.0729590000000009</v>
      </c>
      <c r="D396" s="272">
        <f t="shared" si="15"/>
        <v>8.0729590000000011E-3</v>
      </c>
      <c r="I396" s="114">
        <v>4.4425999999999997E-3</v>
      </c>
      <c r="J396" s="269">
        <v>2.3396479999999999</v>
      </c>
      <c r="K396" s="272">
        <f t="shared" si="16"/>
        <v>2.3396480000000002E-3</v>
      </c>
      <c r="P396" s="114">
        <v>4.8868599999999998E-3</v>
      </c>
      <c r="Q396" s="269">
        <v>2.5736129999999999</v>
      </c>
      <c r="R396" s="272">
        <f t="shared" si="17"/>
        <v>2.5736129999999998E-3</v>
      </c>
    </row>
    <row r="397" spans="2:18" ht="15" customHeight="1" x14ac:dyDescent="0.25">
      <c r="B397" s="114">
        <v>0.3286152</v>
      </c>
      <c r="C397" s="269">
        <v>8.0943159999999992</v>
      </c>
      <c r="D397" s="272">
        <f t="shared" si="15"/>
        <v>8.094315999999999E-3</v>
      </c>
      <c r="I397" s="114">
        <v>4.4543530000000003E-3</v>
      </c>
      <c r="J397" s="269">
        <v>2.3406609999999999</v>
      </c>
      <c r="K397" s="272">
        <f t="shared" si="16"/>
        <v>2.340661E-3</v>
      </c>
      <c r="P397" s="114">
        <v>4.8997880000000004E-3</v>
      </c>
      <c r="Q397" s="269">
        <v>2.5747270000000002</v>
      </c>
      <c r="R397" s="272">
        <f t="shared" si="17"/>
        <v>2.5747270000000002E-3</v>
      </c>
    </row>
    <row r="398" spans="2:18" ht="15" customHeight="1" x14ac:dyDescent="0.25">
      <c r="B398" s="114">
        <v>0.3294822</v>
      </c>
      <c r="C398" s="269">
        <v>8.1156729999999992</v>
      </c>
      <c r="D398" s="272">
        <f t="shared" si="15"/>
        <v>8.1156729999999986E-3</v>
      </c>
      <c r="I398" s="114">
        <v>4.4661060000000001E-3</v>
      </c>
      <c r="J398" s="269">
        <v>2.3416679999999999</v>
      </c>
      <c r="K398" s="272">
        <f t="shared" si="16"/>
        <v>2.3416679999999999E-3</v>
      </c>
      <c r="P398" s="114">
        <v>4.9127160000000001E-3</v>
      </c>
      <c r="Q398" s="269">
        <v>2.5758350000000001</v>
      </c>
      <c r="R398" s="272">
        <f t="shared" si="17"/>
        <v>2.5758350000000003E-3</v>
      </c>
    </row>
    <row r="399" spans="2:18" ht="15" customHeight="1" x14ac:dyDescent="0.25">
      <c r="B399" s="114">
        <v>0.33034930000000001</v>
      </c>
      <c r="C399" s="269">
        <v>8.1370299999999993</v>
      </c>
      <c r="D399" s="272">
        <f t="shared" si="15"/>
        <v>8.13703E-3</v>
      </c>
      <c r="I399" s="114">
        <v>4.4778589999999998E-3</v>
      </c>
      <c r="J399" s="269">
        <v>2.3426680000000002</v>
      </c>
      <c r="K399" s="272">
        <f t="shared" si="16"/>
        <v>2.342668E-3</v>
      </c>
      <c r="P399" s="114">
        <v>4.9256450000000002E-3</v>
      </c>
      <c r="Q399" s="269">
        <v>2.5769350000000002</v>
      </c>
      <c r="R399" s="272">
        <f t="shared" si="17"/>
        <v>2.5769350000000002E-3</v>
      </c>
    </row>
    <row r="400" spans="2:18" ht="15" customHeight="1" x14ac:dyDescent="0.25">
      <c r="B400" s="114">
        <v>0.33121630000000002</v>
      </c>
      <c r="C400" s="269">
        <v>8.1583869999999994</v>
      </c>
      <c r="D400" s="272">
        <f t="shared" si="15"/>
        <v>8.1583869999999996E-3</v>
      </c>
      <c r="I400" s="114">
        <v>4.4896119999999996E-3</v>
      </c>
      <c r="J400" s="269">
        <v>2.3436620000000001</v>
      </c>
      <c r="K400" s="272">
        <f t="shared" si="16"/>
        <v>2.3436620000000003E-3</v>
      </c>
      <c r="P400" s="114">
        <v>4.9385729999999999E-3</v>
      </c>
      <c r="Q400" s="269">
        <v>2.5780280000000002</v>
      </c>
      <c r="R400" s="272">
        <f t="shared" si="17"/>
        <v>2.578028E-3</v>
      </c>
    </row>
    <row r="401" spans="2:18" ht="15" customHeight="1" x14ac:dyDescent="0.25">
      <c r="B401" s="114">
        <v>0.33208339999999997</v>
      </c>
      <c r="C401" s="269">
        <v>8.1797439999999995</v>
      </c>
      <c r="D401" s="272">
        <f t="shared" si="15"/>
        <v>8.1797439999999992E-3</v>
      </c>
      <c r="I401" s="114">
        <v>4.5013650000000002E-3</v>
      </c>
      <c r="J401" s="269">
        <v>2.3446500000000001</v>
      </c>
      <c r="K401" s="272">
        <f t="shared" si="16"/>
        <v>2.3446500000000002E-3</v>
      </c>
      <c r="P401" s="114">
        <v>4.9515009999999996E-3</v>
      </c>
      <c r="Q401" s="269">
        <v>2.5791149999999998</v>
      </c>
      <c r="R401" s="272">
        <f t="shared" si="17"/>
        <v>2.5791149999999999E-3</v>
      </c>
    </row>
    <row r="402" spans="2:18" ht="15" customHeight="1" x14ac:dyDescent="0.25">
      <c r="B402" s="114">
        <v>0.33295049999999998</v>
      </c>
      <c r="C402" s="269">
        <v>8.2011009999999995</v>
      </c>
      <c r="D402" s="272">
        <f t="shared" ref="D402:D465" si="18">C402/1000</f>
        <v>8.2011009999999988E-3</v>
      </c>
      <c r="I402" s="114">
        <v>4.5131169999999996E-3</v>
      </c>
      <c r="J402" s="269">
        <v>2.345631</v>
      </c>
      <c r="K402" s="272">
        <f t="shared" ref="K402:K465" si="19">J402/1000</f>
        <v>2.3456309999999999E-3</v>
      </c>
      <c r="P402" s="114">
        <v>4.9644290000000002E-3</v>
      </c>
      <c r="Q402" s="269">
        <v>2.5801949999999998</v>
      </c>
      <c r="R402" s="272">
        <f t="shared" ref="R402:R465" si="20">Q402/1000</f>
        <v>2.580195E-3</v>
      </c>
    </row>
    <row r="403" spans="2:18" ht="15" customHeight="1" x14ac:dyDescent="0.25">
      <c r="B403" s="114">
        <v>0.33381749999999999</v>
      </c>
      <c r="C403" s="269">
        <v>8.2224579999999996</v>
      </c>
      <c r="D403" s="272">
        <f t="shared" si="18"/>
        <v>8.2224580000000002E-3</v>
      </c>
      <c r="I403" s="114">
        <v>4.5248700000000003E-3</v>
      </c>
      <c r="J403" s="269">
        <v>2.3466070000000001</v>
      </c>
      <c r="K403" s="272">
        <f t="shared" si="19"/>
        <v>2.3466070000000001E-3</v>
      </c>
      <c r="P403" s="114">
        <v>4.977357E-3</v>
      </c>
      <c r="Q403" s="269">
        <v>2.5812680000000001</v>
      </c>
      <c r="R403" s="272">
        <f t="shared" si="20"/>
        <v>2.5812680000000003E-3</v>
      </c>
    </row>
    <row r="404" spans="2:18" ht="15" customHeight="1" x14ac:dyDescent="0.25">
      <c r="B404" s="114">
        <v>0.3346846</v>
      </c>
      <c r="C404" s="269">
        <v>8.2438149999999997</v>
      </c>
      <c r="D404" s="272">
        <f t="shared" si="18"/>
        <v>8.2438149999999998E-3</v>
      </c>
      <c r="I404" s="114">
        <v>4.536623E-3</v>
      </c>
      <c r="J404" s="269">
        <v>2.3475769999999998</v>
      </c>
      <c r="K404" s="272">
        <f t="shared" si="19"/>
        <v>2.347577E-3</v>
      </c>
      <c r="P404" s="114">
        <v>4.990286E-3</v>
      </c>
      <c r="Q404" s="269">
        <v>2.5823339999999999</v>
      </c>
      <c r="R404" s="272">
        <f t="shared" si="20"/>
        <v>2.5823339999999999E-3</v>
      </c>
    </row>
    <row r="405" spans="2:18" ht="15" customHeight="1" x14ac:dyDescent="0.25">
      <c r="B405" s="114">
        <v>0.33555160000000001</v>
      </c>
      <c r="C405" s="269">
        <v>8.2651719999999997</v>
      </c>
      <c r="D405" s="272">
        <f t="shared" si="18"/>
        <v>8.2651719999999994E-3</v>
      </c>
      <c r="I405" s="114">
        <v>4.5483759999999998E-3</v>
      </c>
      <c r="J405" s="269">
        <v>2.3485399999999998</v>
      </c>
      <c r="K405" s="272">
        <f t="shared" si="19"/>
        <v>2.3485399999999997E-3</v>
      </c>
      <c r="P405" s="114">
        <v>5.0032139999999998E-3</v>
      </c>
      <c r="Q405" s="269">
        <v>2.5833940000000002</v>
      </c>
      <c r="R405" s="272">
        <f t="shared" si="20"/>
        <v>2.5833940000000001E-3</v>
      </c>
    </row>
    <row r="406" spans="2:18" ht="15" customHeight="1" x14ac:dyDescent="0.25">
      <c r="B406" s="114">
        <v>0.33641870000000001</v>
      </c>
      <c r="C406" s="269">
        <v>8.2865289999999998</v>
      </c>
      <c r="D406" s="272">
        <f t="shared" si="18"/>
        <v>8.2865289999999991E-3</v>
      </c>
      <c r="I406" s="114">
        <v>4.5601289999999996E-3</v>
      </c>
      <c r="J406" s="269">
        <v>2.3494980000000001</v>
      </c>
      <c r="K406" s="272">
        <f t="shared" si="19"/>
        <v>2.3494980000000002E-3</v>
      </c>
      <c r="P406" s="114">
        <v>5.0161420000000003E-3</v>
      </c>
      <c r="Q406" s="269">
        <v>2.5844480000000001</v>
      </c>
      <c r="R406" s="272">
        <f t="shared" si="20"/>
        <v>2.584448E-3</v>
      </c>
    </row>
    <row r="407" spans="2:18" ht="15" customHeight="1" x14ac:dyDescent="0.25">
      <c r="B407" s="114">
        <v>0.33728580000000002</v>
      </c>
      <c r="C407" s="269">
        <v>8.3078859999999999</v>
      </c>
      <c r="D407" s="272">
        <f t="shared" si="18"/>
        <v>8.3078860000000004E-3</v>
      </c>
      <c r="I407" s="114">
        <v>4.5718820000000002E-3</v>
      </c>
      <c r="J407" s="269">
        <v>2.3504499999999999</v>
      </c>
      <c r="K407" s="272">
        <f t="shared" si="19"/>
        <v>2.35045E-3</v>
      </c>
      <c r="P407" s="114">
        <v>5.0290700000000001E-3</v>
      </c>
      <c r="Q407" s="269">
        <v>2.5854949999999999</v>
      </c>
      <c r="R407" s="272">
        <f t="shared" si="20"/>
        <v>2.5854949999999997E-3</v>
      </c>
    </row>
    <row r="408" spans="2:18" ht="15" customHeight="1" x14ac:dyDescent="0.25">
      <c r="B408" s="114">
        <v>0.33815279999999998</v>
      </c>
      <c r="C408" s="269">
        <v>8.329243</v>
      </c>
      <c r="D408" s="272">
        <f t="shared" si="18"/>
        <v>8.3292430000000001E-3</v>
      </c>
      <c r="I408" s="114">
        <v>4.583635E-3</v>
      </c>
      <c r="J408" s="269">
        <v>2.351397</v>
      </c>
      <c r="K408" s="272">
        <f t="shared" si="19"/>
        <v>2.3513969999999999E-3</v>
      </c>
      <c r="P408" s="114">
        <v>5.0419979999999998E-3</v>
      </c>
      <c r="Q408" s="269">
        <v>2.5865369999999999</v>
      </c>
      <c r="R408" s="272">
        <f t="shared" si="20"/>
        <v>2.5865369999999999E-3</v>
      </c>
    </row>
    <row r="409" spans="2:18" ht="15" customHeight="1" x14ac:dyDescent="0.25">
      <c r="B409" s="114">
        <v>0.33901989999999999</v>
      </c>
      <c r="C409" s="269">
        <v>8.3506</v>
      </c>
      <c r="D409" s="272">
        <f t="shared" si="18"/>
        <v>8.3505999999999997E-3</v>
      </c>
      <c r="I409" s="114">
        <v>4.5953879999999997E-3</v>
      </c>
      <c r="J409" s="269">
        <v>2.352338</v>
      </c>
      <c r="K409" s="272">
        <f t="shared" si="19"/>
        <v>2.3523379999999998E-3</v>
      </c>
      <c r="P409" s="114">
        <v>5.0549269999999999E-3</v>
      </c>
      <c r="Q409" s="269">
        <v>2.5875710000000001</v>
      </c>
      <c r="R409" s="272">
        <f t="shared" si="20"/>
        <v>2.5875709999999999E-3</v>
      </c>
    </row>
    <row r="410" spans="2:18" ht="15" customHeight="1" x14ac:dyDescent="0.25">
      <c r="B410" s="114">
        <v>0.33988689999999999</v>
      </c>
      <c r="C410" s="269">
        <v>8.3719570000000001</v>
      </c>
      <c r="D410" s="272">
        <f t="shared" si="18"/>
        <v>8.3719569999999993E-3</v>
      </c>
      <c r="I410" s="114">
        <v>4.6071410000000004E-3</v>
      </c>
      <c r="J410" s="269">
        <v>2.3532730000000002</v>
      </c>
      <c r="K410" s="272">
        <f t="shared" si="19"/>
        <v>2.3532730000000003E-3</v>
      </c>
      <c r="P410" s="114">
        <v>5.0678549999999996E-3</v>
      </c>
      <c r="Q410" s="269">
        <v>2.5886</v>
      </c>
      <c r="R410" s="272">
        <f t="shared" si="20"/>
        <v>2.5885999999999999E-3</v>
      </c>
    </row>
    <row r="411" spans="2:18" ht="15" customHeight="1" x14ac:dyDescent="0.25">
      <c r="B411" s="114">
        <v>0.340754</v>
      </c>
      <c r="C411" s="269">
        <v>8.3933140000000002</v>
      </c>
      <c r="D411" s="272">
        <f t="shared" si="18"/>
        <v>8.3933140000000007E-3</v>
      </c>
      <c r="I411" s="114">
        <v>4.6188940000000001E-3</v>
      </c>
      <c r="J411" s="269">
        <v>2.354203</v>
      </c>
      <c r="K411" s="272">
        <f t="shared" si="19"/>
        <v>2.354203E-3</v>
      </c>
      <c r="P411" s="114">
        <v>5.0807830000000002E-3</v>
      </c>
      <c r="Q411" s="269">
        <v>2.589623</v>
      </c>
      <c r="R411" s="272">
        <f t="shared" si="20"/>
        <v>2.5896230000000001E-3</v>
      </c>
    </row>
    <row r="412" spans="2:18" ht="15" customHeight="1" x14ac:dyDescent="0.25">
      <c r="B412" s="114">
        <v>0.34162100000000001</v>
      </c>
      <c r="C412" s="269">
        <v>8.4146719999999995</v>
      </c>
      <c r="D412" s="272">
        <f t="shared" si="18"/>
        <v>8.4146719999999998E-3</v>
      </c>
      <c r="I412" s="114">
        <v>4.6306469999999999E-3</v>
      </c>
      <c r="J412" s="269">
        <v>2.355127</v>
      </c>
      <c r="K412" s="272">
        <f t="shared" si="19"/>
        <v>2.3551269999999998E-3</v>
      </c>
      <c r="P412" s="114">
        <v>5.0937109999999999E-3</v>
      </c>
      <c r="Q412" s="269">
        <v>2.5906400000000001</v>
      </c>
      <c r="R412" s="272">
        <f t="shared" si="20"/>
        <v>2.59064E-3</v>
      </c>
    </row>
    <row r="413" spans="2:18" ht="15" customHeight="1" x14ac:dyDescent="0.25">
      <c r="B413" s="114">
        <v>0.34248810000000002</v>
      </c>
      <c r="C413" s="269">
        <v>8.4360289999999996</v>
      </c>
      <c r="D413" s="272">
        <f t="shared" si="18"/>
        <v>8.4360289999999994E-3</v>
      </c>
      <c r="I413" s="114">
        <v>4.6423990000000002E-3</v>
      </c>
      <c r="J413" s="269">
        <v>2.3560460000000001</v>
      </c>
      <c r="K413" s="272">
        <f t="shared" si="19"/>
        <v>2.3560460000000001E-3</v>
      </c>
      <c r="P413" s="114">
        <v>5.1066389999999996E-3</v>
      </c>
      <c r="Q413" s="269">
        <v>2.5916510000000001</v>
      </c>
      <c r="R413" s="272">
        <f t="shared" si="20"/>
        <v>2.5916509999999999E-3</v>
      </c>
    </row>
    <row r="414" spans="2:18" ht="15" customHeight="1" x14ac:dyDescent="0.25">
      <c r="B414" s="114">
        <v>0.34335520000000003</v>
      </c>
      <c r="C414" s="269">
        <v>8.4573859999999996</v>
      </c>
      <c r="D414" s="272">
        <f t="shared" si="18"/>
        <v>8.457385999999999E-3</v>
      </c>
      <c r="I414" s="114">
        <v>4.6541519999999999E-3</v>
      </c>
      <c r="J414" s="269">
        <v>2.3569599999999999</v>
      </c>
      <c r="K414" s="272">
        <f t="shared" si="19"/>
        <v>2.35696E-3</v>
      </c>
      <c r="P414" s="114">
        <v>5.1195679999999997E-3</v>
      </c>
      <c r="Q414" s="269">
        <v>2.5926559999999998</v>
      </c>
      <c r="R414" s="272">
        <f t="shared" si="20"/>
        <v>2.592656E-3</v>
      </c>
    </row>
    <row r="415" spans="2:18" ht="15" customHeight="1" x14ac:dyDescent="0.25">
      <c r="B415" s="114">
        <v>0.34422219999999998</v>
      </c>
      <c r="C415" s="269">
        <v>8.4787429999999997</v>
      </c>
      <c r="D415" s="272">
        <f t="shared" si="18"/>
        <v>8.4787430000000004E-3</v>
      </c>
      <c r="I415" s="114">
        <v>4.6659049999999997E-3</v>
      </c>
      <c r="J415" s="269">
        <v>2.3578679999999999</v>
      </c>
      <c r="K415" s="272">
        <f t="shared" si="19"/>
        <v>2.3578679999999999E-3</v>
      </c>
      <c r="P415" s="114">
        <v>5.1324960000000003E-3</v>
      </c>
      <c r="Q415" s="269">
        <v>2.593655</v>
      </c>
      <c r="R415" s="272">
        <f t="shared" si="20"/>
        <v>2.5936549999999998E-3</v>
      </c>
    </row>
    <row r="416" spans="2:18" ht="15" customHeight="1" x14ac:dyDescent="0.25">
      <c r="B416" s="114">
        <v>0.34508929999999999</v>
      </c>
      <c r="C416" s="269">
        <v>8.5000999999999998</v>
      </c>
      <c r="D416" s="272">
        <f t="shared" si="18"/>
        <v>8.5001E-3</v>
      </c>
      <c r="I416" s="114">
        <v>4.6776580000000003E-3</v>
      </c>
      <c r="J416" s="269">
        <v>2.358771</v>
      </c>
      <c r="K416" s="272">
        <f t="shared" si="19"/>
        <v>2.358771E-3</v>
      </c>
      <c r="P416" s="114">
        <v>5.145424E-3</v>
      </c>
      <c r="Q416" s="269">
        <v>2.5946479999999998</v>
      </c>
      <c r="R416" s="272">
        <f t="shared" si="20"/>
        <v>2.5946479999999997E-3</v>
      </c>
    </row>
    <row r="417" spans="2:18" ht="15" customHeight="1" x14ac:dyDescent="0.25">
      <c r="B417" s="114">
        <v>0.34595629999999999</v>
      </c>
      <c r="C417" s="269">
        <v>8.5214569999999998</v>
      </c>
      <c r="D417" s="272">
        <f t="shared" si="18"/>
        <v>8.5214569999999996E-3</v>
      </c>
      <c r="I417" s="114">
        <v>4.6894110000000001E-3</v>
      </c>
      <c r="J417" s="269">
        <v>2.3596689999999998</v>
      </c>
      <c r="K417" s="272">
        <f t="shared" si="19"/>
        <v>2.359669E-3</v>
      </c>
      <c r="P417" s="114">
        <v>5.1583519999999997E-3</v>
      </c>
      <c r="Q417" s="269">
        <v>2.5956359999999998</v>
      </c>
      <c r="R417" s="272">
        <f t="shared" si="20"/>
        <v>2.5956359999999997E-3</v>
      </c>
    </row>
    <row r="418" spans="2:18" ht="15" customHeight="1" x14ac:dyDescent="0.25">
      <c r="B418" s="114">
        <v>0.3468234</v>
      </c>
      <c r="C418" s="269">
        <v>8.5428139999999999</v>
      </c>
      <c r="D418" s="272">
        <f t="shared" si="18"/>
        <v>8.5428139999999993E-3</v>
      </c>
      <c r="I418" s="114">
        <v>4.7011639999999999E-3</v>
      </c>
      <c r="J418" s="269">
        <v>2.3605619999999998</v>
      </c>
      <c r="K418" s="272">
        <f t="shared" si="19"/>
        <v>2.3605619999999996E-3</v>
      </c>
      <c r="P418" s="114">
        <v>5.1712800000000003E-3</v>
      </c>
      <c r="Q418" s="269">
        <v>2.596619</v>
      </c>
      <c r="R418" s="272">
        <f t="shared" si="20"/>
        <v>2.5966190000000001E-3</v>
      </c>
    </row>
    <row r="419" spans="2:18" ht="15" customHeight="1" x14ac:dyDescent="0.25">
      <c r="B419" s="114">
        <v>0.34769050000000001</v>
      </c>
      <c r="C419" s="269">
        <v>8.564171</v>
      </c>
      <c r="D419" s="272">
        <f t="shared" si="18"/>
        <v>8.5641710000000006E-3</v>
      </c>
      <c r="I419" s="114">
        <v>4.7129169999999996E-3</v>
      </c>
      <c r="J419" s="269">
        <v>2.3614510000000002</v>
      </c>
      <c r="K419" s="272">
        <f t="shared" si="19"/>
        <v>2.3614510000000001E-3</v>
      </c>
      <c r="P419" s="114">
        <v>5.1842090000000004E-3</v>
      </c>
      <c r="Q419" s="269">
        <v>2.5975959999999998</v>
      </c>
      <c r="R419" s="272">
        <f t="shared" si="20"/>
        <v>2.5975959999999998E-3</v>
      </c>
    </row>
    <row r="420" spans="2:18" ht="15" customHeight="1" x14ac:dyDescent="0.25">
      <c r="B420" s="114">
        <v>0.34855750000000002</v>
      </c>
      <c r="C420" s="269">
        <v>8.585528</v>
      </c>
      <c r="D420" s="272">
        <f t="shared" si="18"/>
        <v>8.5855280000000003E-3</v>
      </c>
      <c r="I420" s="114">
        <v>4.7246700000000003E-3</v>
      </c>
      <c r="J420" s="269">
        <v>2.3623340000000002</v>
      </c>
      <c r="K420" s="272">
        <f t="shared" si="19"/>
        <v>2.3623340000000002E-3</v>
      </c>
      <c r="P420" s="114">
        <v>5.1971370000000001E-3</v>
      </c>
      <c r="Q420" s="269">
        <v>2.5985670000000001</v>
      </c>
      <c r="R420" s="272">
        <f t="shared" si="20"/>
        <v>2.598567E-3</v>
      </c>
    </row>
    <row r="421" spans="2:18" ht="15" customHeight="1" x14ac:dyDescent="0.25">
      <c r="B421" s="114">
        <v>0.34942459999999997</v>
      </c>
      <c r="C421" s="269">
        <v>8.6068850000000001</v>
      </c>
      <c r="D421" s="272">
        <f t="shared" si="18"/>
        <v>8.6068849999999999E-3</v>
      </c>
      <c r="I421" s="114">
        <v>4.736423E-3</v>
      </c>
      <c r="J421" s="269">
        <v>2.3632119999999999</v>
      </c>
      <c r="K421" s="272">
        <f t="shared" si="19"/>
        <v>2.363212E-3</v>
      </c>
      <c r="P421" s="114">
        <v>5.2100649999999998E-3</v>
      </c>
      <c r="Q421" s="269">
        <v>2.5995330000000001</v>
      </c>
      <c r="R421" s="272">
        <f t="shared" si="20"/>
        <v>2.5995330000000002E-3</v>
      </c>
    </row>
    <row r="422" spans="2:18" ht="15" customHeight="1" x14ac:dyDescent="0.25">
      <c r="B422" s="114">
        <v>0.35029159999999998</v>
      </c>
      <c r="C422" s="269">
        <v>8.6282420000000002</v>
      </c>
      <c r="D422" s="272">
        <f t="shared" si="18"/>
        <v>8.6282419999999995E-3</v>
      </c>
      <c r="I422" s="114">
        <v>4.7481759999999998E-3</v>
      </c>
      <c r="J422" s="269">
        <v>2.3640850000000002</v>
      </c>
      <c r="K422" s="272">
        <f t="shared" si="19"/>
        <v>2.3640850000000001E-3</v>
      </c>
      <c r="P422" s="114">
        <v>5.2229930000000004E-3</v>
      </c>
      <c r="Q422" s="269">
        <v>2.6004939999999999</v>
      </c>
      <c r="R422" s="272">
        <f t="shared" si="20"/>
        <v>2.6004940000000001E-3</v>
      </c>
    </row>
    <row r="423" spans="2:18" ht="15" customHeight="1" x14ac:dyDescent="0.25">
      <c r="B423" s="114">
        <v>0.35115869999999999</v>
      </c>
      <c r="C423" s="269">
        <v>8.6495990000000003</v>
      </c>
      <c r="D423" s="272">
        <f t="shared" si="18"/>
        <v>8.6495990000000009E-3</v>
      </c>
      <c r="I423" s="114">
        <v>4.7599290000000004E-3</v>
      </c>
      <c r="J423" s="269">
        <v>2.364954</v>
      </c>
      <c r="K423" s="272">
        <f t="shared" si="19"/>
        <v>2.3649539999999998E-3</v>
      </c>
      <c r="P423" s="114">
        <v>5.2359210000000002E-3</v>
      </c>
      <c r="Q423" s="269">
        <v>2.6014490000000001</v>
      </c>
      <c r="R423" s="272">
        <f t="shared" si="20"/>
        <v>2.601449E-3</v>
      </c>
    </row>
    <row r="424" spans="2:18" ht="15" customHeight="1" x14ac:dyDescent="0.25">
      <c r="B424" s="114">
        <v>0.3520257</v>
      </c>
      <c r="C424" s="269">
        <v>8.6709560000000003</v>
      </c>
      <c r="D424" s="272">
        <f t="shared" si="18"/>
        <v>8.6709560000000005E-3</v>
      </c>
      <c r="I424" s="114">
        <v>4.7716809999999998E-3</v>
      </c>
      <c r="J424" s="269">
        <v>2.365818</v>
      </c>
      <c r="K424" s="272">
        <f t="shared" si="19"/>
        <v>2.365818E-3</v>
      </c>
      <c r="P424" s="114">
        <v>5.2488500000000002E-3</v>
      </c>
      <c r="Q424" s="269">
        <v>2.6023999999999998</v>
      </c>
      <c r="R424" s="272">
        <f t="shared" si="20"/>
        <v>2.6023999999999999E-3</v>
      </c>
    </row>
    <row r="425" spans="2:18" ht="15" customHeight="1" x14ac:dyDescent="0.25">
      <c r="B425" s="114">
        <v>0.35289280000000001</v>
      </c>
      <c r="C425" s="269">
        <v>8.6923130000000004</v>
      </c>
      <c r="D425" s="272">
        <f t="shared" si="18"/>
        <v>8.6923130000000001E-3</v>
      </c>
      <c r="I425" s="114">
        <v>4.7834339999999996E-3</v>
      </c>
      <c r="J425" s="269">
        <v>2.3666770000000001</v>
      </c>
      <c r="K425" s="272">
        <f t="shared" si="19"/>
        <v>2.3666770000000002E-3</v>
      </c>
      <c r="P425" s="114">
        <v>5.2617779999999999E-3</v>
      </c>
      <c r="Q425" s="269">
        <v>2.603345</v>
      </c>
      <c r="R425" s="272">
        <f t="shared" si="20"/>
        <v>2.603345E-3</v>
      </c>
    </row>
    <row r="426" spans="2:18" ht="15" customHeight="1" x14ac:dyDescent="0.25">
      <c r="B426" s="114">
        <v>0.35375990000000002</v>
      </c>
      <c r="C426" s="269">
        <v>8.7136700000000005</v>
      </c>
      <c r="D426" s="272">
        <f t="shared" si="18"/>
        <v>8.7136699999999997E-3</v>
      </c>
      <c r="I426" s="114">
        <v>4.7951870000000002E-3</v>
      </c>
      <c r="J426" s="269">
        <v>2.3675320000000002</v>
      </c>
      <c r="K426" s="272">
        <f t="shared" si="19"/>
        <v>2.3675320000000003E-3</v>
      </c>
      <c r="P426" s="114">
        <v>5.2747059999999997E-3</v>
      </c>
      <c r="Q426" s="269">
        <v>2.604285</v>
      </c>
      <c r="R426" s="272">
        <f t="shared" si="20"/>
        <v>2.604285E-3</v>
      </c>
    </row>
    <row r="427" spans="2:18" ht="15" customHeight="1" x14ac:dyDescent="0.25">
      <c r="B427" s="114">
        <v>0.35462690000000002</v>
      </c>
      <c r="C427" s="269">
        <v>8.7350270000000005</v>
      </c>
      <c r="D427" s="272">
        <f t="shared" si="18"/>
        <v>8.7350270000000011E-3</v>
      </c>
      <c r="I427" s="114">
        <v>4.80694E-3</v>
      </c>
      <c r="J427" s="269">
        <v>2.368382</v>
      </c>
      <c r="K427" s="272">
        <f t="shared" si="19"/>
        <v>2.368382E-3</v>
      </c>
      <c r="P427" s="114">
        <v>5.2876340000000003E-3</v>
      </c>
      <c r="Q427" s="269">
        <v>2.6052200000000001</v>
      </c>
      <c r="R427" s="272">
        <f t="shared" si="20"/>
        <v>2.6052200000000001E-3</v>
      </c>
    </row>
    <row r="428" spans="2:18" ht="15" customHeight="1" x14ac:dyDescent="0.25">
      <c r="B428" s="114">
        <v>0.35549399999999998</v>
      </c>
      <c r="C428" s="269">
        <v>8.7563840000000006</v>
      </c>
      <c r="D428" s="272">
        <f t="shared" si="18"/>
        <v>8.7563840000000007E-3</v>
      </c>
      <c r="I428" s="114">
        <v>4.8186929999999998E-3</v>
      </c>
      <c r="J428" s="269">
        <v>2.369227</v>
      </c>
      <c r="K428" s="272">
        <f t="shared" si="19"/>
        <v>2.3692269999999998E-3</v>
      </c>
      <c r="P428" s="114">
        <v>5.300562E-3</v>
      </c>
      <c r="Q428" s="269">
        <v>2.60615</v>
      </c>
      <c r="R428" s="272">
        <f t="shared" si="20"/>
        <v>2.6061499999999998E-3</v>
      </c>
    </row>
    <row r="429" spans="2:18" ht="15" customHeight="1" x14ac:dyDescent="0.25">
      <c r="B429" s="114">
        <v>0.35636099999999998</v>
      </c>
      <c r="C429" s="269">
        <v>8.7777410000000007</v>
      </c>
      <c r="D429" s="272">
        <f t="shared" si="18"/>
        <v>8.7777410000000004E-3</v>
      </c>
      <c r="I429" s="114">
        <v>4.8304460000000004E-3</v>
      </c>
      <c r="J429" s="269">
        <v>2.3700679999999998</v>
      </c>
      <c r="K429" s="272">
        <f t="shared" si="19"/>
        <v>2.3700679999999999E-3</v>
      </c>
      <c r="P429" s="114">
        <v>5.313491E-3</v>
      </c>
      <c r="Q429" s="269">
        <v>2.607075</v>
      </c>
      <c r="R429" s="272">
        <f t="shared" si="20"/>
        <v>2.6070749999999999E-3</v>
      </c>
    </row>
    <row r="430" spans="2:18" ht="15" customHeight="1" x14ac:dyDescent="0.25">
      <c r="B430" s="114">
        <v>0.35722809999999999</v>
      </c>
      <c r="C430" s="269">
        <v>8.7990980000000008</v>
      </c>
      <c r="D430" s="272">
        <f t="shared" si="18"/>
        <v>8.799098E-3</v>
      </c>
      <c r="I430" s="114">
        <v>4.8421990000000002E-3</v>
      </c>
      <c r="J430" s="269">
        <v>2.370905</v>
      </c>
      <c r="K430" s="272">
        <f t="shared" si="19"/>
        <v>2.370905E-3</v>
      </c>
      <c r="P430" s="114">
        <v>5.3264189999999998E-3</v>
      </c>
      <c r="Q430" s="269">
        <v>2.607996</v>
      </c>
      <c r="R430" s="272">
        <f t="shared" si="20"/>
        <v>2.607996E-3</v>
      </c>
    </row>
    <row r="431" spans="2:18" ht="15" customHeight="1" x14ac:dyDescent="0.25">
      <c r="B431" s="114">
        <v>0.3580952</v>
      </c>
      <c r="C431" s="269">
        <v>8.8204550000000008</v>
      </c>
      <c r="D431" s="272">
        <f t="shared" si="18"/>
        <v>8.8204550000000013E-3</v>
      </c>
      <c r="I431" s="114">
        <v>4.8539519999999999E-3</v>
      </c>
      <c r="J431" s="269">
        <v>2.371737</v>
      </c>
      <c r="K431" s="272">
        <f t="shared" si="19"/>
        <v>2.3717370000000001E-3</v>
      </c>
      <c r="P431" s="114">
        <v>5.3393470000000004E-3</v>
      </c>
      <c r="Q431" s="269">
        <v>2.608911</v>
      </c>
      <c r="R431" s="272">
        <f t="shared" si="20"/>
        <v>2.6089109999999998E-3</v>
      </c>
    </row>
    <row r="432" spans="2:18" ht="15" customHeight="1" x14ac:dyDescent="0.25">
      <c r="B432" s="114">
        <v>0.35896220000000001</v>
      </c>
      <c r="C432" s="269">
        <v>8.8418119999999991</v>
      </c>
      <c r="D432" s="272">
        <f t="shared" si="18"/>
        <v>8.8418119999999992E-3</v>
      </c>
      <c r="I432" s="114">
        <v>4.8657049999999997E-3</v>
      </c>
      <c r="J432" s="269">
        <v>2.3725649999999998</v>
      </c>
      <c r="K432" s="272">
        <f t="shared" si="19"/>
        <v>2.3725649999999997E-3</v>
      </c>
      <c r="P432" s="114">
        <v>5.3522750000000001E-3</v>
      </c>
      <c r="Q432" s="269">
        <v>2.6098219999999999</v>
      </c>
      <c r="R432" s="272">
        <f t="shared" si="20"/>
        <v>2.6098219999999999E-3</v>
      </c>
    </row>
    <row r="433" spans="2:18" ht="15" customHeight="1" x14ac:dyDescent="0.25">
      <c r="B433" s="114">
        <v>0.35982930000000002</v>
      </c>
      <c r="C433" s="269">
        <v>8.8631689999999992</v>
      </c>
      <c r="D433" s="272">
        <f t="shared" si="18"/>
        <v>8.8631689999999989E-3</v>
      </c>
      <c r="I433" s="114">
        <v>4.8774580000000003E-3</v>
      </c>
      <c r="J433" s="269">
        <v>2.373389</v>
      </c>
      <c r="K433" s="272">
        <f t="shared" si="19"/>
        <v>2.3733890000000001E-3</v>
      </c>
      <c r="P433" s="114">
        <v>5.3652029999999998E-3</v>
      </c>
      <c r="Q433" s="269">
        <v>2.6107279999999999</v>
      </c>
      <c r="R433" s="272">
        <f t="shared" si="20"/>
        <v>2.6107280000000001E-3</v>
      </c>
    </row>
    <row r="434" spans="2:18" ht="15" customHeight="1" x14ac:dyDescent="0.25">
      <c r="B434" s="114">
        <v>0.36069630000000003</v>
      </c>
      <c r="C434" s="269">
        <v>8.8845259999999993</v>
      </c>
      <c r="D434" s="272">
        <f t="shared" si="18"/>
        <v>8.8845259999999985E-3</v>
      </c>
      <c r="I434" s="114">
        <v>4.8892110000000001E-3</v>
      </c>
      <c r="J434" s="269">
        <v>2.374209</v>
      </c>
      <c r="K434" s="272">
        <f t="shared" si="19"/>
        <v>2.374209E-3</v>
      </c>
      <c r="P434" s="114">
        <v>5.3781319999999999E-3</v>
      </c>
      <c r="Q434" s="269">
        <v>2.6116299999999999</v>
      </c>
      <c r="R434" s="272">
        <f t="shared" si="20"/>
        <v>2.6116299999999998E-3</v>
      </c>
    </row>
    <row r="435" spans="2:18" ht="15" customHeight="1" x14ac:dyDescent="0.25">
      <c r="B435" s="114">
        <v>0.36156339999999998</v>
      </c>
      <c r="C435" s="269">
        <v>8.9058829999999993</v>
      </c>
      <c r="D435" s="272">
        <f t="shared" si="18"/>
        <v>8.9058829999999999E-3</v>
      </c>
      <c r="I435" s="114">
        <v>4.9009630000000004E-3</v>
      </c>
      <c r="J435" s="269">
        <v>2.3750239999999998</v>
      </c>
      <c r="K435" s="272">
        <f t="shared" si="19"/>
        <v>2.3750239999999999E-3</v>
      </c>
      <c r="P435" s="114">
        <v>5.3910599999999996E-3</v>
      </c>
      <c r="Q435" s="269">
        <v>2.6125259999999999</v>
      </c>
      <c r="R435" s="272">
        <f t="shared" si="20"/>
        <v>2.612526E-3</v>
      </c>
    </row>
    <row r="436" spans="2:18" ht="15" customHeight="1" x14ac:dyDescent="0.25">
      <c r="B436" s="114">
        <v>0.36243049999999999</v>
      </c>
      <c r="C436" s="269">
        <v>8.9272399999999994</v>
      </c>
      <c r="D436" s="272">
        <f t="shared" si="18"/>
        <v>8.9272399999999995E-3</v>
      </c>
      <c r="I436" s="114">
        <v>4.9127160000000001E-3</v>
      </c>
      <c r="J436" s="269">
        <v>2.3758349999999999</v>
      </c>
      <c r="K436" s="272">
        <f t="shared" si="19"/>
        <v>2.3758349999999998E-3</v>
      </c>
      <c r="P436" s="114">
        <v>5.4039880000000002E-3</v>
      </c>
      <c r="Q436" s="269">
        <v>2.6134189999999999</v>
      </c>
      <c r="R436" s="272">
        <f t="shared" si="20"/>
        <v>2.6134190000000001E-3</v>
      </c>
    </row>
    <row r="437" spans="2:18" ht="15" customHeight="1" x14ac:dyDescent="0.25">
      <c r="B437" s="114">
        <v>0.3632975</v>
      </c>
      <c r="C437" s="269">
        <v>8.9485969999999995</v>
      </c>
      <c r="D437" s="272">
        <f t="shared" si="18"/>
        <v>8.9485969999999991E-3</v>
      </c>
      <c r="I437" s="114">
        <v>4.9244689999999999E-3</v>
      </c>
      <c r="J437" s="269">
        <v>2.3766419999999999</v>
      </c>
      <c r="K437" s="272">
        <f t="shared" si="19"/>
        <v>2.376642E-3</v>
      </c>
      <c r="P437" s="114">
        <v>5.4169159999999999E-3</v>
      </c>
      <c r="Q437" s="269">
        <v>2.614306</v>
      </c>
      <c r="R437" s="272">
        <f t="shared" si="20"/>
        <v>2.6143059999999998E-3</v>
      </c>
    </row>
    <row r="438" spans="2:18" ht="15" customHeight="1" x14ac:dyDescent="0.25">
      <c r="B438" s="114">
        <v>0.3641646</v>
      </c>
      <c r="C438" s="269">
        <v>8.9699539999999995</v>
      </c>
      <c r="D438" s="272">
        <f t="shared" si="18"/>
        <v>8.9699539999999987E-3</v>
      </c>
      <c r="I438" s="114">
        <v>4.9362219999999997E-3</v>
      </c>
      <c r="J438" s="269">
        <v>2.3774449999999998</v>
      </c>
      <c r="K438" s="272">
        <f t="shared" si="19"/>
        <v>2.3774449999999997E-3</v>
      </c>
      <c r="P438" s="114">
        <v>5.4298439999999996E-3</v>
      </c>
      <c r="Q438" s="269">
        <v>2.6151900000000001</v>
      </c>
      <c r="R438" s="272">
        <f t="shared" si="20"/>
        <v>2.6151900000000003E-3</v>
      </c>
    </row>
    <row r="439" spans="2:18" ht="15" customHeight="1" x14ac:dyDescent="0.25">
      <c r="B439" s="114">
        <v>0.36503160000000001</v>
      </c>
      <c r="C439" s="269">
        <v>8.9913109999999996</v>
      </c>
      <c r="D439" s="272">
        <f t="shared" si="18"/>
        <v>8.9913110000000001E-3</v>
      </c>
      <c r="I439" s="114">
        <v>4.9479750000000003E-3</v>
      </c>
      <c r="J439" s="269">
        <v>2.378244</v>
      </c>
      <c r="K439" s="272">
        <f t="shared" si="19"/>
        <v>2.3782439999999998E-3</v>
      </c>
      <c r="P439" s="114">
        <v>5.4427729999999997E-3</v>
      </c>
      <c r="Q439" s="269">
        <v>2.616069</v>
      </c>
      <c r="R439" s="272">
        <f t="shared" si="20"/>
        <v>2.6160689999999999E-3</v>
      </c>
    </row>
    <row r="440" spans="2:18" ht="15" customHeight="1" x14ac:dyDescent="0.25">
      <c r="B440" s="114">
        <v>0.36589870000000002</v>
      </c>
      <c r="C440" s="269">
        <v>9.0126679999999997</v>
      </c>
      <c r="D440" s="272">
        <f t="shared" si="18"/>
        <v>9.0126679999999997E-3</v>
      </c>
      <c r="I440" s="114">
        <v>4.9597280000000001E-3</v>
      </c>
      <c r="J440" s="269">
        <v>2.3790390000000001</v>
      </c>
      <c r="K440" s="272">
        <f t="shared" si="19"/>
        <v>2.3790390000000003E-3</v>
      </c>
      <c r="P440" s="114">
        <v>5.4557010000000003E-3</v>
      </c>
      <c r="Q440" s="269">
        <v>2.616943</v>
      </c>
      <c r="R440" s="272">
        <f t="shared" si="20"/>
        <v>2.616943E-3</v>
      </c>
    </row>
    <row r="441" spans="2:18" ht="15" customHeight="1" x14ac:dyDescent="0.25">
      <c r="B441" s="114">
        <v>0.36676569999999997</v>
      </c>
      <c r="C441" s="269">
        <v>9.0340260000000008</v>
      </c>
      <c r="D441" s="272">
        <f t="shared" si="18"/>
        <v>9.0340260000000006E-3</v>
      </c>
      <c r="I441" s="114">
        <v>4.9714809999999998E-3</v>
      </c>
      <c r="J441" s="269">
        <v>2.3798309999999998</v>
      </c>
      <c r="K441" s="272">
        <f t="shared" si="19"/>
        <v>2.3798309999999998E-3</v>
      </c>
      <c r="P441" s="114">
        <v>5.468629E-3</v>
      </c>
      <c r="Q441" s="269">
        <v>2.6178140000000001</v>
      </c>
      <c r="R441" s="272">
        <f t="shared" si="20"/>
        <v>2.617814E-3</v>
      </c>
    </row>
    <row r="442" spans="2:18" ht="15" customHeight="1" x14ac:dyDescent="0.25">
      <c r="B442" s="114">
        <v>0.36763279999999998</v>
      </c>
      <c r="C442" s="269">
        <v>9.0553830000000008</v>
      </c>
      <c r="D442" s="272">
        <f t="shared" si="18"/>
        <v>9.0553830000000002E-3</v>
      </c>
      <c r="I442" s="114">
        <v>4.9832339999999996E-3</v>
      </c>
      <c r="J442" s="269">
        <v>2.3806180000000001</v>
      </c>
      <c r="K442" s="272">
        <f t="shared" si="19"/>
        <v>2.3806180000000001E-3</v>
      </c>
      <c r="P442" s="114">
        <v>5.4815569999999997E-3</v>
      </c>
      <c r="Q442" s="269">
        <v>2.6186799999999999</v>
      </c>
      <c r="R442" s="272">
        <f t="shared" si="20"/>
        <v>2.61868E-3</v>
      </c>
    </row>
    <row r="443" spans="2:18" ht="15" customHeight="1" x14ac:dyDescent="0.25">
      <c r="B443" s="114">
        <v>0.36849989999999999</v>
      </c>
      <c r="C443" s="269">
        <v>9.0767399999999991</v>
      </c>
      <c r="D443" s="272">
        <f t="shared" si="18"/>
        <v>9.0767399999999998E-3</v>
      </c>
      <c r="I443" s="114">
        <v>4.9949870000000002E-3</v>
      </c>
      <c r="J443" s="269">
        <v>2.3814009999999999</v>
      </c>
      <c r="K443" s="272">
        <f t="shared" si="19"/>
        <v>2.381401E-3</v>
      </c>
      <c r="P443" s="114">
        <v>5.4944850000000003E-3</v>
      </c>
      <c r="Q443" s="269">
        <v>2.619542</v>
      </c>
      <c r="R443" s="272">
        <f t="shared" si="20"/>
        <v>2.6195419999999999E-3</v>
      </c>
    </row>
    <row r="444" spans="2:18" ht="15" customHeight="1" x14ac:dyDescent="0.25">
      <c r="B444" s="114">
        <v>0.3693669</v>
      </c>
      <c r="C444" s="269">
        <v>9.0980969999999992</v>
      </c>
      <c r="D444" s="272">
        <f t="shared" si="18"/>
        <v>9.0980969999999994E-3</v>
      </c>
      <c r="I444" s="114">
        <v>5.00674E-3</v>
      </c>
      <c r="J444" s="269">
        <v>2.3821810000000001</v>
      </c>
      <c r="K444" s="272">
        <f t="shared" si="19"/>
        <v>2.3821810000000001E-3</v>
      </c>
      <c r="P444" s="114">
        <v>5.5074140000000004E-3</v>
      </c>
      <c r="Q444" s="269">
        <v>2.6203989999999999</v>
      </c>
      <c r="R444" s="272">
        <f t="shared" si="20"/>
        <v>2.6203989999999998E-3</v>
      </c>
    </row>
    <row r="445" spans="2:18" ht="15" customHeight="1" x14ac:dyDescent="0.25">
      <c r="B445" s="114">
        <v>0.37023400000000001</v>
      </c>
      <c r="C445" s="269">
        <v>9.1194539999999993</v>
      </c>
      <c r="D445" s="272">
        <f t="shared" si="18"/>
        <v>9.1194539999999991E-3</v>
      </c>
      <c r="I445" s="114">
        <v>5.0184929999999997E-3</v>
      </c>
      <c r="J445" s="269">
        <v>2.3829570000000002</v>
      </c>
      <c r="K445" s="272">
        <f t="shared" si="19"/>
        <v>2.3829570000000002E-3</v>
      </c>
      <c r="P445" s="114">
        <v>5.5203420000000001E-3</v>
      </c>
      <c r="Q445" s="269">
        <v>2.6212529999999998</v>
      </c>
      <c r="R445" s="272">
        <f t="shared" si="20"/>
        <v>2.621253E-3</v>
      </c>
    </row>
    <row r="446" spans="2:18" ht="15" customHeight="1" x14ac:dyDescent="0.25">
      <c r="B446" s="114">
        <v>0.37110100000000001</v>
      </c>
      <c r="C446" s="269">
        <v>9.1408109999999994</v>
      </c>
      <c r="D446" s="272">
        <f t="shared" si="18"/>
        <v>9.1408109999999987E-3</v>
      </c>
      <c r="I446" s="114">
        <v>5.0302460000000004E-3</v>
      </c>
      <c r="J446" s="269">
        <v>2.3837290000000002</v>
      </c>
      <c r="K446" s="272">
        <f t="shared" si="19"/>
        <v>2.3837290000000002E-3</v>
      </c>
      <c r="P446" s="114">
        <v>5.5332699999999999E-3</v>
      </c>
      <c r="Q446" s="269">
        <v>2.6221019999999999</v>
      </c>
      <c r="R446" s="272">
        <f t="shared" si="20"/>
        <v>2.6221019999999999E-3</v>
      </c>
    </row>
    <row r="447" spans="2:18" ht="15" customHeight="1" x14ac:dyDescent="0.25">
      <c r="B447" s="114">
        <v>0.37196810000000002</v>
      </c>
      <c r="C447" s="269">
        <v>9.1621679999999994</v>
      </c>
      <c r="D447" s="272">
        <f t="shared" si="18"/>
        <v>9.162168E-3</v>
      </c>
      <c r="I447" s="114">
        <v>5.0419979999999998E-3</v>
      </c>
      <c r="J447" s="269">
        <v>2.3844979999999998</v>
      </c>
      <c r="K447" s="272">
        <f t="shared" si="19"/>
        <v>2.3844979999999997E-3</v>
      </c>
      <c r="P447" s="114">
        <v>5.5461979999999996E-3</v>
      </c>
      <c r="Q447" s="269">
        <v>2.6229480000000001</v>
      </c>
      <c r="R447" s="272">
        <f t="shared" si="20"/>
        <v>2.6229479999999999E-3</v>
      </c>
    </row>
    <row r="448" spans="2:18" ht="15" customHeight="1" x14ac:dyDescent="0.25">
      <c r="B448" s="114">
        <v>0.37283519999999998</v>
      </c>
      <c r="C448" s="269">
        <v>9.1835249999999995</v>
      </c>
      <c r="D448" s="272">
        <f t="shared" si="18"/>
        <v>9.1835249999999997E-3</v>
      </c>
      <c r="I448" s="114">
        <v>5.0537510000000004E-3</v>
      </c>
      <c r="J448" s="269">
        <v>2.3852630000000001</v>
      </c>
      <c r="K448" s="272">
        <f t="shared" si="19"/>
        <v>2.3852630000000003E-3</v>
      </c>
      <c r="P448" s="114">
        <v>5.5591260000000002E-3</v>
      </c>
      <c r="Q448" s="269">
        <v>2.6237889999999999</v>
      </c>
      <c r="R448" s="272">
        <f t="shared" si="20"/>
        <v>2.6237890000000001E-3</v>
      </c>
    </row>
    <row r="449" spans="2:18" ht="15" customHeight="1" x14ac:dyDescent="0.25">
      <c r="B449" s="114">
        <v>0.37370219999999998</v>
      </c>
      <c r="C449" s="269">
        <v>9.2048819999999996</v>
      </c>
      <c r="D449" s="272">
        <f t="shared" si="18"/>
        <v>9.2048819999999993E-3</v>
      </c>
      <c r="I449" s="114">
        <v>5.0655040000000002E-3</v>
      </c>
      <c r="J449" s="269">
        <v>2.3860239999999999</v>
      </c>
      <c r="K449" s="272">
        <f t="shared" si="19"/>
        <v>2.386024E-3</v>
      </c>
      <c r="P449" s="114">
        <v>5.5720550000000002E-3</v>
      </c>
      <c r="Q449" s="269">
        <v>2.6246260000000001</v>
      </c>
      <c r="R449" s="272">
        <f t="shared" si="20"/>
        <v>2.6246260000000001E-3</v>
      </c>
    </row>
    <row r="450" spans="2:18" ht="15" customHeight="1" x14ac:dyDescent="0.25">
      <c r="B450" s="114">
        <v>0.37456929999999999</v>
      </c>
      <c r="C450" s="269">
        <v>9.2262389999999996</v>
      </c>
      <c r="D450" s="272">
        <f t="shared" si="18"/>
        <v>9.2262389999999989E-3</v>
      </c>
      <c r="I450" s="114">
        <v>5.077257E-3</v>
      </c>
      <c r="J450" s="269">
        <v>2.3867820000000002</v>
      </c>
      <c r="K450" s="272">
        <f t="shared" si="19"/>
        <v>2.3867820000000001E-3</v>
      </c>
      <c r="P450" s="114">
        <v>5.584983E-3</v>
      </c>
      <c r="Q450" s="269">
        <v>2.6254599999999999</v>
      </c>
      <c r="R450" s="272">
        <f t="shared" si="20"/>
        <v>2.62546E-3</v>
      </c>
    </row>
    <row r="451" spans="2:18" ht="15" customHeight="1" x14ac:dyDescent="0.25">
      <c r="B451" s="114">
        <v>0.3754363</v>
      </c>
      <c r="C451" s="269">
        <v>9.2475959999999997</v>
      </c>
      <c r="D451" s="272">
        <f t="shared" si="18"/>
        <v>9.2475960000000003E-3</v>
      </c>
      <c r="I451" s="114">
        <v>5.0890099999999997E-3</v>
      </c>
      <c r="J451" s="269">
        <v>2.3875359999999999</v>
      </c>
      <c r="K451" s="272">
        <f t="shared" si="19"/>
        <v>2.387536E-3</v>
      </c>
      <c r="P451" s="114">
        <v>5.5979109999999997E-3</v>
      </c>
      <c r="Q451" s="269">
        <v>2.62629</v>
      </c>
      <c r="R451" s="272">
        <f t="shared" si="20"/>
        <v>2.6262899999999999E-3</v>
      </c>
    </row>
    <row r="452" spans="2:18" ht="15" customHeight="1" x14ac:dyDescent="0.25">
      <c r="B452" s="114">
        <v>0.37630340000000001</v>
      </c>
      <c r="C452" s="269">
        <v>9.2689529999999998</v>
      </c>
      <c r="D452" s="272">
        <f t="shared" si="18"/>
        <v>9.2689529999999999E-3</v>
      </c>
      <c r="I452" s="114">
        <v>5.1007630000000003E-3</v>
      </c>
      <c r="J452" s="269">
        <v>2.388287</v>
      </c>
      <c r="K452" s="272">
        <f t="shared" si="19"/>
        <v>2.3882870000000002E-3</v>
      </c>
      <c r="P452" s="114">
        <v>5.6108390000000003E-3</v>
      </c>
      <c r="Q452" s="269">
        <v>2.6271149999999999</v>
      </c>
      <c r="R452" s="272">
        <f t="shared" si="20"/>
        <v>2.6271149999999997E-3</v>
      </c>
    </row>
    <row r="453" spans="2:18" ht="15" customHeight="1" x14ac:dyDescent="0.25">
      <c r="B453" s="114">
        <v>0.37717040000000002</v>
      </c>
      <c r="C453" s="269">
        <v>9.2903099999999998</v>
      </c>
      <c r="D453" s="272">
        <f t="shared" si="18"/>
        <v>9.2903099999999995E-3</v>
      </c>
      <c r="I453" s="114">
        <v>5.1125160000000001E-3</v>
      </c>
      <c r="J453" s="269">
        <v>2.3890340000000001</v>
      </c>
      <c r="K453" s="272">
        <f t="shared" si="19"/>
        <v>2.3890339999999999E-3</v>
      </c>
      <c r="P453" s="114">
        <v>5.623767E-3</v>
      </c>
      <c r="Q453" s="269">
        <v>2.6279370000000002</v>
      </c>
      <c r="R453" s="272">
        <f t="shared" si="20"/>
        <v>2.6279370000000003E-3</v>
      </c>
    </row>
    <row r="454" spans="2:18" ht="15" customHeight="1" x14ac:dyDescent="0.25">
      <c r="B454" s="114">
        <v>0.37803750000000003</v>
      </c>
      <c r="C454" s="269">
        <v>9.3116669999999999</v>
      </c>
      <c r="D454" s="272">
        <f t="shared" si="18"/>
        <v>9.3116669999999992E-3</v>
      </c>
      <c r="I454" s="114">
        <v>5.1242689999999999E-3</v>
      </c>
      <c r="J454" s="269">
        <v>2.3897780000000002</v>
      </c>
      <c r="K454" s="272">
        <f t="shared" si="19"/>
        <v>2.3897780000000004E-3</v>
      </c>
      <c r="P454" s="114">
        <v>5.6366960000000001E-3</v>
      </c>
      <c r="Q454" s="269">
        <v>2.6287560000000001</v>
      </c>
      <c r="R454" s="272">
        <f t="shared" si="20"/>
        <v>2.6287559999999999E-3</v>
      </c>
    </row>
    <row r="455" spans="2:18" ht="15" customHeight="1" x14ac:dyDescent="0.25">
      <c r="B455" s="114">
        <v>0.37890459999999998</v>
      </c>
      <c r="C455" s="269">
        <v>9.333024</v>
      </c>
      <c r="D455" s="272">
        <f t="shared" si="18"/>
        <v>9.3330240000000005E-3</v>
      </c>
      <c r="I455" s="114">
        <v>5.1360219999999996E-3</v>
      </c>
      <c r="J455" s="269">
        <v>2.3905180000000001</v>
      </c>
      <c r="K455" s="272">
        <f t="shared" si="19"/>
        <v>2.3905180000000003E-3</v>
      </c>
      <c r="P455" s="114">
        <v>5.6496239999999998E-3</v>
      </c>
      <c r="Q455" s="269">
        <v>2.6295700000000002</v>
      </c>
      <c r="R455" s="272">
        <f t="shared" si="20"/>
        <v>2.6295700000000003E-3</v>
      </c>
    </row>
    <row r="456" spans="2:18" ht="15" customHeight="1" x14ac:dyDescent="0.25">
      <c r="B456" s="114">
        <v>0.37977159999999999</v>
      </c>
      <c r="C456" s="269">
        <v>9.3543810000000001</v>
      </c>
      <c r="D456" s="272">
        <f t="shared" si="18"/>
        <v>9.3543810000000002E-3</v>
      </c>
      <c r="I456" s="114">
        <v>5.1477750000000003E-3</v>
      </c>
      <c r="J456" s="269">
        <v>2.3912550000000001</v>
      </c>
      <c r="K456" s="272">
        <f t="shared" si="19"/>
        <v>2.3912550000000001E-3</v>
      </c>
      <c r="P456" s="114">
        <v>5.6625520000000004E-3</v>
      </c>
      <c r="Q456" s="269">
        <v>2.6303809999999999</v>
      </c>
      <c r="R456" s="272">
        <f t="shared" si="20"/>
        <v>2.6303809999999998E-3</v>
      </c>
    </row>
    <row r="457" spans="2:18" ht="15" customHeight="1" x14ac:dyDescent="0.25">
      <c r="B457" s="114">
        <v>0.3806387</v>
      </c>
      <c r="C457" s="269">
        <v>9.3757380000000001</v>
      </c>
      <c r="D457" s="272">
        <f t="shared" si="18"/>
        <v>9.3757379999999998E-3</v>
      </c>
      <c r="I457" s="114">
        <v>5.159528E-3</v>
      </c>
      <c r="J457" s="269">
        <v>2.3919890000000001</v>
      </c>
      <c r="K457" s="272">
        <f t="shared" si="19"/>
        <v>2.3919890000000002E-3</v>
      </c>
      <c r="P457" s="114">
        <v>5.6754800000000001E-3</v>
      </c>
      <c r="Q457" s="269">
        <v>2.6311879999999999</v>
      </c>
      <c r="R457" s="272">
        <f t="shared" si="20"/>
        <v>2.631188E-3</v>
      </c>
    </row>
    <row r="458" spans="2:18" ht="15" customHeight="1" x14ac:dyDescent="0.25">
      <c r="B458" s="114">
        <v>0.3815057</v>
      </c>
      <c r="C458" s="269">
        <v>9.3970950000000002</v>
      </c>
      <c r="D458" s="272">
        <f t="shared" si="18"/>
        <v>9.3970949999999994E-3</v>
      </c>
      <c r="I458" s="114">
        <v>5.1712800000000003E-3</v>
      </c>
      <c r="J458" s="269">
        <v>2.3927200000000002</v>
      </c>
      <c r="K458" s="272">
        <f t="shared" si="19"/>
        <v>2.3927200000000001E-3</v>
      </c>
      <c r="P458" s="114">
        <v>5.6884079999999998E-3</v>
      </c>
      <c r="Q458" s="269">
        <v>2.6319919999999999</v>
      </c>
      <c r="R458" s="272">
        <f t="shared" si="20"/>
        <v>2.6319920000000001E-3</v>
      </c>
    </row>
    <row r="459" spans="2:18" ht="15" customHeight="1" x14ac:dyDescent="0.25">
      <c r="B459" s="114">
        <v>0.38237280000000001</v>
      </c>
      <c r="C459" s="269">
        <v>9.4184520000000003</v>
      </c>
      <c r="D459" s="272">
        <f t="shared" si="18"/>
        <v>9.4184520000000008E-3</v>
      </c>
      <c r="I459" s="114">
        <v>5.1830330000000001E-3</v>
      </c>
      <c r="J459" s="269">
        <v>2.3934470000000001</v>
      </c>
      <c r="K459" s="272">
        <f t="shared" si="19"/>
        <v>2.3934469999999999E-3</v>
      </c>
      <c r="P459" s="114">
        <v>5.7013369999999999E-3</v>
      </c>
      <c r="Q459" s="269">
        <v>2.6327919999999998</v>
      </c>
      <c r="R459" s="272">
        <f t="shared" si="20"/>
        <v>2.6327919999999997E-3</v>
      </c>
    </row>
    <row r="460" spans="2:18" ht="15" customHeight="1" x14ac:dyDescent="0.25">
      <c r="B460" s="114">
        <v>0.38323990000000002</v>
      </c>
      <c r="C460" s="269">
        <v>9.4398090000000003</v>
      </c>
      <c r="D460" s="272">
        <f t="shared" si="18"/>
        <v>9.4398090000000004E-3</v>
      </c>
      <c r="I460" s="114">
        <v>5.1947859999999998E-3</v>
      </c>
      <c r="J460" s="269">
        <v>2.394171</v>
      </c>
      <c r="K460" s="272">
        <f t="shared" si="19"/>
        <v>2.3941710000000001E-3</v>
      </c>
      <c r="P460" s="114">
        <v>5.7142649999999996E-3</v>
      </c>
      <c r="Q460" s="269">
        <v>2.633588</v>
      </c>
      <c r="R460" s="272">
        <f t="shared" si="20"/>
        <v>2.6335880000000001E-3</v>
      </c>
    </row>
    <row r="461" spans="2:18" ht="15" customHeight="1" x14ac:dyDescent="0.25">
      <c r="B461" s="114">
        <v>0.38410689999999997</v>
      </c>
      <c r="C461" s="269">
        <v>9.4611660000000004</v>
      </c>
      <c r="D461" s="272">
        <f t="shared" si="18"/>
        <v>9.461166E-3</v>
      </c>
      <c r="I461" s="114">
        <v>5.2065389999999996E-3</v>
      </c>
      <c r="J461" s="269">
        <v>2.394892</v>
      </c>
      <c r="K461" s="272">
        <f t="shared" si="19"/>
        <v>2.394892E-3</v>
      </c>
      <c r="P461" s="114">
        <v>5.7271930000000002E-3</v>
      </c>
      <c r="Q461" s="269">
        <v>2.6343809999999999</v>
      </c>
      <c r="R461" s="272">
        <f t="shared" si="20"/>
        <v>2.6343809999999999E-3</v>
      </c>
    </row>
    <row r="462" spans="2:18" ht="15" customHeight="1" x14ac:dyDescent="0.25">
      <c r="B462" s="114">
        <v>0.38497399999999998</v>
      </c>
      <c r="C462" s="269">
        <v>9.4825230000000005</v>
      </c>
      <c r="D462" s="272">
        <f t="shared" si="18"/>
        <v>9.4825229999999996E-3</v>
      </c>
      <c r="I462" s="114">
        <v>5.2182920000000002E-3</v>
      </c>
      <c r="J462" s="269">
        <v>2.39561</v>
      </c>
      <c r="K462" s="272">
        <f t="shared" si="19"/>
        <v>2.3956099999999998E-3</v>
      </c>
      <c r="P462" s="114">
        <v>5.7401209999999999E-3</v>
      </c>
      <c r="Q462" s="269">
        <v>2.6351710000000002</v>
      </c>
      <c r="R462" s="272">
        <f t="shared" si="20"/>
        <v>2.635171E-3</v>
      </c>
    </row>
    <row r="463" spans="2:18" ht="15" customHeight="1" x14ac:dyDescent="0.25">
      <c r="B463" s="114">
        <v>0.38584099999999999</v>
      </c>
      <c r="C463" s="269">
        <v>9.5038800000000005</v>
      </c>
      <c r="D463" s="272">
        <f t="shared" si="18"/>
        <v>9.503880000000001E-3</v>
      </c>
      <c r="I463" s="114">
        <v>5.230045E-3</v>
      </c>
      <c r="J463" s="269">
        <v>2.396325</v>
      </c>
      <c r="K463" s="272">
        <f t="shared" si="19"/>
        <v>2.3963249999999999E-3</v>
      </c>
      <c r="P463" s="114">
        <v>5.7530489999999997E-3</v>
      </c>
      <c r="Q463" s="269">
        <v>2.6359569999999999</v>
      </c>
      <c r="R463" s="272">
        <f t="shared" si="20"/>
        <v>2.635957E-3</v>
      </c>
    </row>
    <row r="464" spans="2:18" ht="15" customHeight="1" x14ac:dyDescent="0.25">
      <c r="B464" s="114">
        <v>0.3867081</v>
      </c>
      <c r="C464" s="269">
        <v>9.5252370000000006</v>
      </c>
      <c r="D464" s="272">
        <f t="shared" si="18"/>
        <v>9.5252370000000006E-3</v>
      </c>
      <c r="I464" s="114">
        <v>5.2417979999999998E-3</v>
      </c>
      <c r="J464" s="269">
        <v>2.3970359999999999</v>
      </c>
      <c r="K464" s="272">
        <f t="shared" si="19"/>
        <v>2.397036E-3</v>
      </c>
      <c r="P464" s="114">
        <v>5.7659779999999997E-3</v>
      </c>
      <c r="Q464" s="269">
        <v>2.6367400000000001</v>
      </c>
      <c r="R464" s="272">
        <f t="shared" si="20"/>
        <v>2.6367400000000003E-3</v>
      </c>
    </row>
    <row r="465" spans="2:18" ht="15" customHeight="1" x14ac:dyDescent="0.25">
      <c r="B465" s="114">
        <v>0.38757510000000001</v>
      </c>
      <c r="C465" s="269">
        <v>9.5465940000000007</v>
      </c>
      <c r="D465" s="272">
        <f t="shared" si="18"/>
        <v>9.5465940000000003E-3</v>
      </c>
      <c r="I465" s="114">
        <v>5.2535510000000004E-3</v>
      </c>
      <c r="J465" s="269">
        <v>2.397745</v>
      </c>
      <c r="K465" s="272">
        <f t="shared" si="19"/>
        <v>2.3977450000000002E-3</v>
      </c>
      <c r="P465" s="114">
        <v>5.7789060000000003E-3</v>
      </c>
      <c r="Q465" s="269">
        <v>2.6375190000000002</v>
      </c>
      <c r="R465" s="272">
        <f t="shared" si="20"/>
        <v>2.6375190000000001E-3</v>
      </c>
    </row>
    <row r="466" spans="2:18" ht="15" customHeight="1" x14ac:dyDescent="0.25">
      <c r="B466" s="114">
        <v>0.38844220000000002</v>
      </c>
      <c r="C466" s="269">
        <v>9.5679510000000008</v>
      </c>
      <c r="D466" s="272">
        <f t="shared" ref="D466:D529" si="21">C466/1000</f>
        <v>9.5679510000000016E-3</v>
      </c>
      <c r="I466" s="114">
        <v>5.2653040000000002E-3</v>
      </c>
      <c r="J466" s="269">
        <v>2.39845</v>
      </c>
      <c r="K466" s="272">
        <f t="shared" ref="K466:K529" si="22">J466/1000</f>
        <v>2.3984499999999999E-3</v>
      </c>
      <c r="P466" s="114">
        <v>5.791834E-3</v>
      </c>
      <c r="Q466" s="269">
        <v>2.6382949999999998</v>
      </c>
      <c r="R466" s="272">
        <f t="shared" ref="R466:R529" si="23">Q466/1000</f>
        <v>2.6382949999999997E-3</v>
      </c>
    </row>
    <row r="467" spans="2:18" ht="15" customHeight="1" x14ac:dyDescent="0.25">
      <c r="B467" s="114">
        <v>0.38930930000000002</v>
      </c>
      <c r="C467" s="269">
        <v>9.5893080000000008</v>
      </c>
      <c r="D467" s="272">
        <f t="shared" si="21"/>
        <v>9.5893080000000012E-3</v>
      </c>
      <c r="I467" s="114">
        <v>5.2770569999999999E-3</v>
      </c>
      <c r="J467" s="269">
        <v>2.3991530000000001</v>
      </c>
      <c r="K467" s="272">
        <f t="shared" si="22"/>
        <v>2.3991530000000002E-3</v>
      </c>
      <c r="P467" s="114">
        <v>5.8047619999999998E-3</v>
      </c>
      <c r="Q467" s="269">
        <v>2.639068</v>
      </c>
      <c r="R467" s="272">
        <f t="shared" si="23"/>
        <v>2.6390680000000001E-3</v>
      </c>
    </row>
    <row r="468" spans="2:18" ht="15" customHeight="1" x14ac:dyDescent="0.25">
      <c r="B468" s="114">
        <v>0.39017629999999998</v>
      </c>
      <c r="C468" s="269">
        <v>9.6106649999999991</v>
      </c>
      <c r="D468" s="272">
        <f t="shared" si="21"/>
        <v>9.6106649999999991E-3</v>
      </c>
      <c r="I468" s="114">
        <v>5.2888099999999997E-3</v>
      </c>
      <c r="J468" s="269">
        <v>2.3998520000000001</v>
      </c>
      <c r="K468" s="272">
        <f t="shared" si="22"/>
        <v>2.3998520000000001E-3</v>
      </c>
      <c r="P468" s="114">
        <v>5.8176900000000004E-3</v>
      </c>
      <c r="Q468" s="269">
        <v>2.639837</v>
      </c>
      <c r="R468" s="272">
        <f t="shared" si="23"/>
        <v>2.6398369999999999E-3</v>
      </c>
    </row>
    <row r="469" spans="2:18" ht="15" customHeight="1" x14ac:dyDescent="0.25">
      <c r="B469" s="114">
        <v>0.39104339999999999</v>
      </c>
      <c r="C469" s="269">
        <v>9.6320219999999992</v>
      </c>
      <c r="D469" s="272">
        <f t="shared" si="21"/>
        <v>9.6320219999999988E-3</v>
      </c>
      <c r="I469" s="114">
        <v>5.300562E-3</v>
      </c>
      <c r="J469" s="269">
        <v>2.4005489999999998</v>
      </c>
      <c r="K469" s="272">
        <f t="shared" si="22"/>
        <v>2.4005489999999997E-3</v>
      </c>
      <c r="P469" s="114">
        <v>5.8306190000000004E-3</v>
      </c>
      <c r="Q469" s="269">
        <v>2.6406040000000002</v>
      </c>
      <c r="R469" s="272">
        <f t="shared" si="23"/>
        <v>2.6406040000000004E-3</v>
      </c>
    </row>
    <row r="470" spans="2:18" ht="15" customHeight="1" x14ac:dyDescent="0.25">
      <c r="B470" s="114">
        <v>0.39191039999999999</v>
      </c>
      <c r="C470" s="269">
        <v>9.6533800000000003</v>
      </c>
      <c r="D470" s="272">
        <f t="shared" si="21"/>
        <v>9.6533799999999996E-3</v>
      </c>
      <c r="I470" s="114">
        <v>5.3123149999999997E-3</v>
      </c>
      <c r="J470" s="269">
        <v>2.4012419999999999</v>
      </c>
      <c r="K470" s="272">
        <f t="shared" si="22"/>
        <v>2.401242E-3</v>
      </c>
      <c r="P470" s="114">
        <v>5.8435470000000002E-3</v>
      </c>
      <c r="Q470" s="269">
        <v>2.6413669999999998</v>
      </c>
      <c r="R470" s="272">
        <f t="shared" si="23"/>
        <v>2.6413669999999999E-3</v>
      </c>
    </row>
    <row r="471" spans="2:18" ht="15" customHeight="1" x14ac:dyDescent="0.25">
      <c r="B471" s="114">
        <v>0.3927775</v>
      </c>
      <c r="C471" s="269">
        <v>9.6747370000000004</v>
      </c>
      <c r="D471" s="272">
        <f t="shared" si="21"/>
        <v>9.674737000000001E-3</v>
      </c>
      <c r="I471" s="114">
        <v>5.3240680000000004E-3</v>
      </c>
      <c r="J471" s="269">
        <v>2.4019330000000001</v>
      </c>
      <c r="K471" s="272">
        <f t="shared" si="22"/>
        <v>2.4019330000000002E-3</v>
      </c>
      <c r="P471" s="114">
        <v>5.8564749999999999E-3</v>
      </c>
      <c r="Q471" s="269">
        <v>2.6421260000000002</v>
      </c>
      <c r="R471" s="272">
        <f t="shared" si="23"/>
        <v>2.6421260000000003E-3</v>
      </c>
    </row>
    <row r="472" spans="2:18" ht="15" customHeight="1" x14ac:dyDescent="0.25">
      <c r="B472" s="114">
        <v>0.39364460000000001</v>
      </c>
      <c r="C472" s="269">
        <v>9.6960940000000004</v>
      </c>
      <c r="D472" s="272">
        <f t="shared" si="21"/>
        <v>9.6960940000000006E-3</v>
      </c>
      <c r="I472" s="114">
        <v>5.3358210000000001E-3</v>
      </c>
      <c r="J472" s="269">
        <v>2.4026209999999999</v>
      </c>
      <c r="K472" s="272">
        <f t="shared" si="22"/>
        <v>2.4026209999999997E-3</v>
      </c>
      <c r="P472" s="114">
        <v>5.8694029999999996E-3</v>
      </c>
      <c r="Q472" s="269">
        <v>2.6428829999999999</v>
      </c>
      <c r="R472" s="272">
        <f t="shared" si="23"/>
        <v>2.642883E-3</v>
      </c>
    </row>
    <row r="473" spans="2:18" ht="15" customHeight="1" x14ac:dyDescent="0.25">
      <c r="B473" s="114">
        <v>0.39451160000000002</v>
      </c>
      <c r="C473" s="269">
        <v>9.7174510000000005</v>
      </c>
      <c r="D473" s="272">
        <f t="shared" si="21"/>
        <v>9.7174510000000002E-3</v>
      </c>
      <c r="I473" s="114">
        <v>5.3475739999999999E-3</v>
      </c>
      <c r="J473" s="269">
        <v>2.4033060000000002</v>
      </c>
      <c r="K473" s="272">
        <f t="shared" si="22"/>
        <v>2.403306E-3</v>
      </c>
      <c r="P473" s="114">
        <v>5.8823310000000002E-3</v>
      </c>
      <c r="Q473" s="269">
        <v>2.643637</v>
      </c>
      <c r="R473" s="272">
        <f t="shared" si="23"/>
        <v>2.6436369999999999E-3</v>
      </c>
    </row>
    <row r="474" spans="2:18" ht="15" customHeight="1" x14ac:dyDescent="0.25">
      <c r="B474" s="114">
        <v>0.39537870000000003</v>
      </c>
      <c r="C474" s="269">
        <v>9.7388080000000006</v>
      </c>
      <c r="D474" s="272">
        <f t="shared" si="21"/>
        <v>9.7388079999999998E-3</v>
      </c>
      <c r="I474" s="114">
        <v>5.3593269999999997E-3</v>
      </c>
      <c r="J474" s="269">
        <v>2.403988</v>
      </c>
      <c r="K474" s="272">
        <f t="shared" si="22"/>
        <v>2.4039880000000001E-3</v>
      </c>
      <c r="P474" s="114">
        <v>5.8952600000000003E-3</v>
      </c>
      <c r="Q474" s="269">
        <v>2.644387</v>
      </c>
      <c r="R474" s="272">
        <f t="shared" si="23"/>
        <v>2.6443870000000002E-3</v>
      </c>
    </row>
    <row r="475" spans="2:18" ht="15" customHeight="1" x14ac:dyDescent="0.25">
      <c r="B475" s="114">
        <v>0.39624569999999998</v>
      </c>
      <c r="C475" s="269">
        <v>9.7601650000000006</v>
      </c>
      <c r="D475" s="272">
        <f t="shared" si="21"/>
        <v>9.7601650000000012E-3</v>
      </c>
      <c r="I475" s="114">
        <v>5.3710800000000003E-3</v>
      </c>
      <c r="J475" s="269">
        <v>2.404668</v>
      </c>
      <c r="K475" s="272">
        <f t="shared" si="22"/>
        <v>2.404668E-3</v>
      </c>
      <c r="P475" s="114">
        <v>5.908188E-3</v>
      </c>
      <c r="Q475" s="269">
        <v>2.6451349999999998</v>
      </c>
      <c r="R475" s="272">
        <f t="shared" si="23"/>
        <v>2.6451349999999998E-3</v>
      </c>
    </row>
    <row r="476" spans="2:18" ht="15" customHeight="1" x14ac:dyDescent="0.25">
      <c r="B476" s="114">
        <v>0.39711279999999999</v>
      </c>
      <c r="C476" s="269">
        <v>9.7815220000000007</v>
      </c>
      <c r="D476" s="272">
        <f t="shared" si="21"/>
        <v>9.7815220000000008E-3</v>
      </c>
      <c r="I476" s="114">
        <v>5.3828330000000001E-3</v>
      </c>
      <c r="J476" s="269">
        <v>2.4053450000000001</v>
      </c>
      <c r="K476" s="272">
        <f t="shared" si="22"/>
        <v>2.4053450000000001E-3</v>
      </c>
      <c r="P476" s="114">
        <v>5.9211159999999997E-3</v>
      </c>
      <c r="Q476" s="269">
        <v>2.6458789999999999</v>
      </c>
      <c r="R476" s="272">
        <f t="shared" si="23"/>
        <v>2.6458789999999999E-3</v>
      </c>
    </row>
    <row r="477" spans="2:18" ht="15" customHeight="1" x14ac:dyDescent="0.25">
      <c r="B477" s="114">
        <v>0.3979799</v>
      </c>
      <c r="C477" s="269">
        <v>9.8028790000000008</v>
      </c>
      <c r="D477" s="272">
        <f t="shared" si="21"/>
        <v>9.8028790000000005E-3</v>
      </c>
      <c r="I477" s="114">
        <v>5.3945859999999998E-3</v>
      </c>
      <c r="J477" s="269">
        <v>2.4060190000000001</v>
      </c>
      <c r="K477" s="272">
        <f t="shared" si="22"/>
        <v>2.4060190000000001E-3</v>
      </c>
      <c r="P477" s="114">
        <v>5.9340440000000003E-3</v>
      </c>
      <c r="Q477" s="269">
        <v>2.6466210000000001</v>
      </c>
      <c r="R477" s="272">
        <f t="shared" si="23"/>
        <v>2.646621E-3</v>
      </c>
    </row>
    <row r="478" spans="2:18" ht="15" customHeight="1" x14ac:dyDescent="0.25">
      <c r="B478" s="114">
        <v>0.3988469</v>
      </c>
      <c r="C478" s="269">
        <v>9.8242360000000009</v>
      </c>
      <c r="D478" s="272">
        <f t="shared" si="21"/>
        <v>9.8242360000000001E-3</v>
      </c>
      <c r="I478" s="114">
        <v>5.4063389999999996E-3</v>
      </c>
      <c r="J478" s="269">
        <v>2.4066900000000002</v>
      </c>
      <c r="K478" s="272">
        <f t="shared" si="22"/>
        <v>2.4066900000000004E-3</v>
      </c>
      <c r="P478" s="114">
        <v>5.946972E-3</v>
      </c>
      <c r="Q478" s="269">
        <v>2.6473589999999998</v>
      </c>
      <c r="R478" s="272">
        <f t="shared" si="23"/>
        <v>2.6473589999999997E-3</v>
      </c>
    </row>
    <row r="479" spans="2:18" ht="15" customHeight="1" x14ac:dyDescent="0.25">
      <c r="B479" s="114">
        <v>0.39971400000000001</v>
      </c>
      <c r="C479" s="269">
        <v>9.8455929999999992</v>
      </c>
      <c r="D479" s="272">
        <f t="shared" si="21"/>
        <v>9.8455929999999997E-3</v>
      </c>
      <c r="I479" s="114">
        <v>5.4180920000000002E-3</v>
      </c>
      <c r="J479" s="269">
        <v>2.407359</v>
      </c>
      <c r="K479" s="272">
        <f t="shared" si="22"/>
        <v>2.407359E-3</v>
      </c>
      <c r="P479" s="114">
        <v>5.9599010000000001E-3</v>
      </c>
      <c r="Q479" s="269">
        <v>2.6480950000000001</v>
      </c>
      <c r="R479" s="272">
        <f t="shared" si="23"/>
        <v>2.648095E-3</v>
      </c>
    </row>
    <row r="480" spans="2:18" ht="15" customHeight="1" x14ac:dyDescent="0.25">
      <c r="B480" s="114">
        <v>0.40058100000000002</v>
      </c>
      <c r="C480" s="269">
        <v>9.8669499999999992</v>
      </c>
      <c r="D480" s="272">
        <f t="shared" si="21"/>
        <v>9.8669499999999993E-3</v>
      </c>
      <c r="I480" s="114">
        <v>5.4298439999999996E-3</v>
      </c>
      <c r="J480" s="269">
        <v>2.4080249999999999</v>
      </c>
      <c r="K480" s="272">
        <f t="shared" si="22"/>
        <v>2.4080249999999998E-3</v>
      </c>
      <c r="P480" s="114">
        <v>5.9728289999999998E-3</v>
      </c>
      <c r="Q480" s="269">
        <v>2.648828</v>
      </c>
      <c r="R480" s="272">
        <f t="shared" si="23"/>
        <v>2.6488279999999998E-3</v>
      </c>
    </row>
    <row r="481" spans="2:18" ht="15" customHeight="1" x14ac:dyDescent="0.25">
      <c r="B481" s="114">
        <v>0.40144809999999997</v>
      </c>
      <c r="C481" s="269">
        <v>9.8883069999999993</v>
      </c>
      <c r="D481" s="272">
        <f t="shared" si="21"/>
        <v>9.888306999999999E-3</v>
      </c>
      <c r="I481" s="114">
        <v>5.4415970000000003E-3</v>
      </c>
      <c r="J481" s="269">
        <v>2.4086889999999999</v>
      </c>
      <c r="K481" s="272">
        <f t="shared" si="22"/>
        <v>2.4086889999999999E-3</v>
      </c>
      <c r="P481" s="114">
        <v>5.9857570000000004E-3</v>
      </c>
      <c r="Q481" s="269">
        <v>2.6495570000000002</v>
      </c>
      <c r="R481" s="272">
        <f t="shared" si="23"/>
        <v>2.6495570000000003E-3</v>
      </c>
    </row>
    <row r="482" spans="2:18" ht="15" customHeight="1" x14ac:dyDescent="0.25">
      <c r="B482" s="114">
        <v>0.40231509999999998</v>
      </c>
      <c r="C482" s="269">
        <v>9.9096639999999994</v>
      </c>
      <c r="D482" s="272">
        <f t="shared" si="21"/>
        <v>9.9096639999999986E-3</v>
      </c>
      <c r="I482" s="114">
        <v>5.45335E-3</v>
      </c>
      <c r="J482" s="269">
        <v>2.4093490000000002</v>
      </c>
      <c r="K482" s="272">
        <f t="shared" si="22"/>
        <v>2.4093490000000003E-3</v>
      </c>
      <c r="P482" s="114">
        <v>5.9986850000000001E-3</v>
      </c>
      <c r="Q482" s="269">
        <v>2.6502840000000001</v>
      </c>
      <c r="R482" s="272">
        <f t="shared" si="23"/>
        <v>2.6502840000000001E-3</v>
      </c>
    </row>
    <row r="483" spans="2:18" ht="15" customHeight="1" x14ac:dyDescent="0.25">
      <c r="B483" s="114">
        <v>0.40318219999999999</v>
      </c>
      <c r="C483" s="269">
        <v>9.9310209999999994</v>
      </c>
      <c r="D483" s="272">
        <f t="shared" si="21"/>
        <v>9.9310209999999999E-3</v>
      </c>
      <c r="I483" s="114">
        <v>5.4651029999999998E-3</v>
      </c>
      <c r="J483" s="269">
        <v>2.4100079999999999</v>
      </c>
      <c r="K483" s="272">
        <f t="shared" si="22"/>
        <v>2.4100079999999999E-3</v>
      </c>
      <c r="P483" s="114">
        <v>6.0116129999999999E-3</v>
      </c>
      <c r="Q483" s="269">
        <v>2.6510090000000002</v>
      </c>
      <c r="R483" s="272">
        <f t="shared" si="23"/>
        <v>2.6510090000000002E-3</v>
      </c>
    </row>
    <row r="484" spans="2:18" ht="15" customHeight="1" x14ac:dyDescent="0.25">
      <c r="B484" s="114">
        <v>0.4040493</v>
      </c>
      <c r="C484" s="269">
        <v>9.9523779999999995</v>
      </c>
      <c r="D484" s="272">
        <f t="shared" si="21"/>
        <v>9.9523779999999996E-3</v>
      </c>
      <c r="I484" s="114">
        <v>5.4768560000000004E-3</v>
      </c>
      <c r="J484" s="269">
        <v>2.4106640000000001</v>
      </c>
      <c r="K484" s="272">
        <f t="shared" si="22"/>
        <v>2.4106640000000003E-3</v>
      </c>
      <c r="P484" s="114">
        <v>6.0245419999999999E-3</v>
      </c>
      <c r="Q484" s="269">
        <v>2.6517300000000001</v>
      </c>
      <c r="R484" s="272">
        <f t="shared" si="23"/>
        <v>2.6517300000000001E-3</v>
      </c>
    </row>
    <row r="485" spans="2:18" ht="15" customHeight="1" x14ac:dyDescent="0.25">
      <c r="B485" s="114">
        <v>0.40491630000000001</v>
      </c>
      <c r="C485" s="269">
        <v>9.9737349999999996</v>
      </c>
      <c r="D485" s="272">
        <f t="shared" si="21"/>
        <v>9.9737349999999992E-3</v>
      </c>
      <c r="I485" s="114">
        <v>5.4886090000000002E-3</v>
      </c>
      <c r="J485" s="269">
        <v>2.4113169999999999</v>
      </c>
      <c r="K485" s="272">
        <f t="shared" si="22"/>
        <v>2.4113170000000001E-3</v>
      </c>
      <c r="P485" s="114">
        <v>6.0374699999999996E-3</v>
      </c>
      <c r="Q485" s="269">
        <v>2.6524480000000001</v>
      </c>
      <c r="R485" s="272">
        <f t="shared" si="23"/>
        <v>2.652448E-3</v>
      </c>
    </row>
    <row r="486" spans="2:18" ht="15" customHeight="1" x14ac:dyDescent="0.25">
      <c r="B486" s="114">
        <v>0.40578340000000002</v>
      </c>
      <c r="C486" s="269">
        <v>9.9950919999999996</v>
      </c>
      <c r="D486" s="272">
        <f t="shared" si="21"/>
        <v>9.9950919999999988E-3</v>
      </c>
      <c r="I486" s="114">
        <v>5.500362E-3</v>
      </c>
      <c r="J486" s="269">
        <v>2.4119679999999999</v>
      </c>
      <c r="K486" s="272">
        <f t="shared" si="22"/>
        <v>2.411968E-3</v>
      </c>
      <c r="P486" s="114">
        <v>6.0503980000000002E-3</v>
      </c>
      <c r="Q486" s="269">
        <v>2.6531639999999999</v>
      </c>
      <c r="R486" s="272">
        <f t="shared" si="23"/>
        <v>2.653164E-3</v>
      </c>
    </row>
    <row r="487" spans="2:18" ht="15" customHeight="1" x14ac:dyDescent="0.25">
      <c r="B487" s="114">
        <v>0.40665040000000002</v>
      </c>
      <c r="C487" s="269">
        <v>10.016450000000001</v>
      </c>
      <c r="D487" s="272">
        <f t="shared" si="21"/>
        <v>1.0016450000000001E-2</v>
      </c>
      <c r="I487" s="114">
        <v>5.5121149999999997E-3</v>
      </c>
      <c r="J487" s="269">
        <v>2.4126159999999999</v>
      </c>
      <c r="K487" s="272">
        <f t="shared" si="22"/>
        <v>2.4126159999999998E-3</v>
      </c>
      <c r="P487" s="114">
        <v>6.063326E-3</v>
      </c>
      <c r="Q487" s="269">
        <v>2.653877</v>
      </c>
      <c r="R487" s="272">
        <f t="shared" si="23"/>
        <v>2.6538770000000002E-3</v>
      </c>
    </row>
    <row r="488" spans="2:18" ht="15" customHeight="1" x14ac:dyDescent="0.25">
      <c r="B488" s="114">
        <v>0.40751749999999998</v>
      </c>
      <c r="C488" s="269">
        <v>10.03781</v>
      </c>
      <c r="D488" s="272">
        <f t="shared" si="21"/>
        <v>1.0037810000000001E-2</v>
      </c>
      <c r="I488" s="114">
        <v>5.5238680000000004E-3</v>
      </c>
      <c r="J488" s="269">
        <v>2.413262</v>
      </c>
      <c r="K488" s="272">
        <f t="shared" si="22"/>
        <v>2.4132620000000002E-3</v>
      </c>
      <c r="P488" s="114">
        <v>6.0762539999999997E-3</v>
      </c>
      <c r="Q488" s="269">
        <v>2.6545879999999999</v>
      </c>
      <c r="R488" s="272">
        <f t="shared" si="23"/>
        <v>2.6545879999999998E-3</v>
      </c>
    </row>
    <row r="489" spans="2:18" ht="15" customHeight="1" x14ac:dyDescent="0.25">
      <c r="B489" s="114">
        <v>0.40838459999999999</v>
      </c>
      <c r="C489" s="269">
        <v>10.05916</v>
      </c>
      <c r="D489" s="272">
        <f t="shared" si="21"/>
        <v>1.0059160000000001E-2</v>
      </c>
      <c r="I489" s="114">
        <v>5.5356210000000001E-3</v>
      </c>
      <c r="J489" s="269">
        <v>2.4139050000000002</v>
      </c>
      <c r="K489" s="272">
        <f t="shared" si="22"/>
        <v>2.413905E-3</v>
      </c>
      <c r="P489" s="114">
        <v>6.0891829999999997E-3</v>
      </c>
      <c r="Q489" s="269">
        <v>2.6552959999999999</v>
      </c>
      <c r="R489" s="272">
        <f t="shared" si="23"/>
        <v>2.6552959999999997E-3</v>
      </c>
    </row>
    <row r="490" spans="2:18" ht="15" customHeight="1" x14ac:dyDescent="0.25">
      <c r="B490" s="114">
        <v>0.40925159999999999</v>
      </c>
      <c r="C490" s="269">
        <v>10.08052</v>
      </c>
      <c r="D490" s="272">
        <f t="shared" si="21"/>
        <v>1.0080519999999999E-2</v>
      </c>
      <c r="I490" s="114">
        <v>5.5473739999999999E-3</v>
      </c>
      <c r="J490" s="269">
        <v>2.4145460000000001</v>
      </c>
      <c r="K490" s="272">
        <f t="shared" si="22"/>
        <v>2.4145460000000001E-3</v>
      </c>
      <c r="P490" s="114">
        <v>6.1021110000000003E-3</v>
      </c>
      <c r="Q490" s="269">
        <v>2.6560009999999998</v>
      </c>
      <c r="R490" s="272">
        <f t="shared" si="23"/>
        <v>2.6560009999999998E-3</v>
      </c>
    </row>
    <row r="491" spans="2:18" ht="15" customHeight="1" x14ac:dyDescent="0.25">
      <c r="B491" s="114">
        <v>0.4101187</v>
      </c>
      <c r="C491" s="269">
        <v>10.10188</v>
      </c>
      <c r="D491" s="272">
        <f t="shared" si="21"/>
        <v>1.0101879999999999E-2</v>
      </c>
      <c r="I491" s="114">
        <v>5.5591260000000002E-3</v>
      </c>
      <c r="J491" s="269">
        <v>2.4151850000000001</v>
      </c>
      <c r="K491" s="272">
        <f t="shared" si="22"/>
        <v>2.4151850000000002E-3</v>
      </c>
      <c r="P491" s="114">
        <v>6.1150390000000001E-3</v>
      </c>
      <c r="Q491" s="269">
        <v>2.6567029999999998</v>
      </c>
      <c r="R491" s="272">
        <f t="shared" si="23"/>
        <v>2.6567029999999998E-3</v>
      </c>
    </row>
    <row r="492" spans="2:18" ht="15" customHeight="1" x14ac:dyDescent="0.25">
      <c r="B492" s="114">
        <v>0.41098570000000001</v>
      </c>
      <c r="C492" s="269">
        <v>10.12323</v>
      </c>
      <c r="D492" s="272">
        <f t="shared" si="21"/>
        <v>1.0123229999999999E-2</v>
      </c>
      <c r="I492" s="114">
        <v>5.5708789999999999E-3</v>
      </c>
      <c r="J492" s="269">
        <v>2.4158210000000002</v>
      </c>
      <c r="K492" s="272">
        <f t="shared" si="22"/>
        <v>2.4158210000000003E-3</v>
      </c>
      <c r="P492" s="114">
        <v>6.1279669999999998E-3</v>
      </c>
      <c r="Q492" s="269">
        <v>2.657403</v>
      </c>
      <c r="R492" s="272">
        <f t="shared" si="23"/>
        <v>2.657403E-3</v>
      </c>
    </row>
    <row r="493" spans="2:18" ht="15" customHeight="1" x14ac:dyDescent="0.25">
      <c r="B493" s="114">
        <v>0.41185280000000002</v>
      </c>
      <c r="C493" s="269">
        <v>10.144590000000001</v>
      </c>
      <c r="D493" s="272">
        <f t="shared" si="21"/>
        <v>1.014459E-2</v>
      </c>
      <c r="I493" s="114">
        <v>5.5826319999999997E-3</v>
      </c>
      <c r="J493" s="269">
        <v>2.416455</v>
      </c>
      <c r="K493" s="272">
        <f t="shared" si="22"/>
        <v>2.4164550000000001E-3</v>
      </c>
      <c r="P493" s="114">
        <v>6.1408959999999999E-3</v>
      </c>
      <c r="Q493" s="269">
        <v>2.6581000000000001</v>
      </c>
      <c r="R493" s="272">
        <f t="shared" si="23"/>
        <v>2.6581E-3</v>
      </c>
    </row>
    <row r="494" spans="2:18" ht="15" customHeight="1" x14ac:dyDescent="0.25">
      <c r="B494" s="114">
        <v>0.41271980000000003</v>
      </c>
      <c r="C494" s="269">
        <v>10.16595</v>
      </c>
      <c r="D494" s="272">
        <f t="shared" si="21"/>
        <v>1.016595E-2</v>
      </c>
      <c r="I494" s="114">
        <v>5.5943850000000003E-3</v>
      </c>
      <c r="J494" s="269">
        <v>2.417087</v>
      </c>
      <c r="K494" s="272">
        <f t="shared" si="22"/>
        <v>2.4170870000000001E-3</v>
      </c>
      <c r="P494" s="114">
        <v>6.1538239999999996E-3</v>
      </c>
      <c r="Q494" s="269">
        <v>2.658795</v>
      </c>
      <c r="R494" s="272">
        <f t="shared" si="23"/>
        <v>2.6587949999999998E-3</v>
      </c>
    </row>
    <row r="495" spans="2:18" ht="15" customHeight="1" x14ac:dyDescent="0.25">
      <c r="B495" s="114">
        <v>0.41358689999999998</v>
      </c>
      <c r="C495" s="269">
        <v>10.18731</v>
      </c>
      <c r="D495" s="272">
        <f t="shared" si="21"/>
        <v>1.018731E-2</v>
      </c>
      <c r="I495" s="114">
        <v>5.6061380000000001E-3</v>
      </c>
      <c r="J495" s="269">
        <v>2.417716</v>
      </c>
      <c r="K495" s="272">
        <f t="shared" si="22"/>
        <v>2.4177159999999999E-3</v>
      </c>
      <c r="P495" s="114">
        <v>6.1667520000000002E-3</v>
      </c>
      <c r="Q495" s="269">
        <v>2.6594869999999999</v>
      </c>
      <c r="R495" s="272">
        <f t="shared" si="23"/>
        <v>2.6594869999999999E-3</v>
      </c>
    </row>
    <row r="496" spans="2:18" ht="15" customHeight="1" x14ac:dyDescent="0.25">
      <c r="B496" s="114">
        <v>0.41445399999999999</v>
      </c>
      <c r="C496" s="269">
        <v>10.20866</v>
      </c>
      <c r="D496" s="272">
        <f t="shared" si="21"/>
        <v>1.020866E-2</v>
      </c>
      <c r="I496" s="114">
        <v>5.6178909999999999E-3</v>
      </c>
      <c r="J496" s="269">
        <v>2.4183430000000001</v>
      </c>
      <c r="K496" s="272">
        <f t="shared" si="22"/>
        <v>2.4183430000000003E-3</v>
      </c>
      <c r="P496" s="114">
        <v>6.1796799999999999E-3</v>
      </c>
      <c r="Q496" s="269">
        <v>2.660177</v>
      </c>
      <c r="R496" s="272">
        <f t="shared" si="23"/>
        <v>2.6601770000000001E-3</v>
      </c>
    </row>
    <row r="497" spans="2:18" ht="15" customHeight="1" x14ac:dyDescent="0.25">
      <c r="B497" s="114">
        <v>0.415321</v>
      </c>
      <c r="C497" s="269">
        <v>10.23002</v>
      </c>
      <c r="D497" s="272">
        <f t="shared" si="21"/>
        <v>1.0230019999999999E-2</v>
      </c>
      <c r="I497" s="114">
        <v>5.6296439999999996E-3</v>
      </c>
      <c r="J497" s="269">
        <v>2.418968</v>
      </c>
      <c r="K497" s="272">
        <f t="shared" si="22"/>
        <v>2.4189680000000001E-3</v>
      </c>
      <c r="P497" s="114">
        <v>6.1926079999999996E-3</v>
      </c>
      <c r="Q497" s="269">
        <v>2.6608640000000001</v>
      </c>
      <c r="R497" s="272">
        <f t="shared" si="23"/>
        <v>2.6608640000000002E-3</v>
      </c>
    </row>
    <row r="498" spans="2:18" ht="15" customHeight="1" x14ac:dyDescent="0.25">
      <c r="B498" s="114">
        <v>0.41618810000000001</v>
      </c>
      <c r="C498" s="269">
        <v>10.251379999999999</v>
      </c>
      <c r="D498" s="272">
        <f t="shared" si="21"/>
        <v>1.0251379999999999E-2</v>
      </c>
      <c r="I498" s="114">
        <v>5.6413970000000003E-3</v>
      </c>
      <c r="J498" s="269">
        <v>2.4195899999999999</v>
      </c>
      <c r="K498" s="272">
        <f t="shared" si="22"/>
        <v>2.4195900000000001E-3</v>
      </c>
      <c r="P498" s="114">
        <v>6.2055369999999997E-3</v>
      </c>
      <c r="Q498" s="269">
        <v>2.6615489999999999</v>
      </c>
      <c r="R498" s="272">
        <f t="shared" si="23"/>
        <v>2.661549E-3</v>
      </c>
    </row>
    <row r="499" spans="2:18" ht="15" customHeight="1" x14ac:dyDescent="0.25">
      <c r="B499" s="114">
        <v>0.41705510000000001</v>
      </c>
      <c r="C499" s="269">
        <v>10.272729999999999</v>
      </c>
      <c r="D499" s="272">
        <f t="shared" si="21"/>
        <v>1.0272729999999999E-2</v>
      </c>
      <c r="I499" s="114">
        <v>5.65315E-3</v>
      </c>
      <c r="J499" s="269">
        <v>2.4202110000000001</v>
      </c>
      <c r="K499" s="272">
        <f t="shared" si="22"/>
        <v>2.4202110000000002E-3</v>
      </c>
      <c r="P499" s="114">
        <v>6.2184650000000003E-3</v>
      </c>
      <c r="Q499" s="269">
        <v>2.6622319999999999</v>
      </c>
      <c r="R499" s="272">
        <f t="shared" si="23"/>
        <v>2.6622320000000001E-3</v>
      </c>
    </row>
    <row r="500" spans="2:18" ht="15" customHeight="1" x14ac:dyDescent="0.25">
      <c r="B500" s="114">
        <v>0.41792220000000002</v>
      </c>
      <c r="C500" s="269">
        <v>10.294090000000001</v>
      </c>
      <c r="D500" s="272">
        <f t="shared" si="21"/>
        <v>1.0294090000000001E-2</v>
      </c>
      <c r="I500" s="114">
        <v>5.6649029999999998E-3</v>
      </c>
      <c r="J500" s="269">
        <v>2.4208289999999999</v>
      </c>
      <c r="K500" s="272">
        <f t="shared" si="22"/>
        <v>2.4208289999999998E-3</v>
      </c>
      <c r="P500" s="114">
        <v>6.231393E-3</v>
      </c>
      <c r="Q500" s="269">
        <v>2.6629119999999999</v>
      </c>
      <c r="R500" s="272">
        <f t="shared" si="23"/>
        <v>2.6629119999999999E-3</v>
      </c>
    </row>
    <row r="501" spans="2:18" ht="15" customHeight="1" x14ac:dyDescent="0.25">
      <c r="B501" s="114">
        <v>0.41878929999999998</v>
      </c>
      <c r="C501" s="269">
        <v>10.31545</v>
      </c>
      <c r="D501" s="272">
        <f t="shared" si="21"/>
        <v>1.031545E-2</v>
      </c>
      <c r="I501" s="114">
        <v>5.6766560000000004E-3</v>
      </c>
      <c r="J501" s="269">
        <v>2.4214449999999998</v>
      </c>
      <c r="K501" s="272">
        <f t="shared" si="22"/>
        <v>2.4214449999999999E-3</v>
      </c>
      <c r="P501" s="114">
        <v>6.2443209999999997E-3</v>
      </c>
      <c r="Q501" s="269">
        <v>2.663589</v>
      </c>
      <c r="R501" s="272">
        <f t="shared" si="23"/>
        <v>2.6635890000000001E-3</v>
      </c>
    </row>
    <row r="502" spans="2:18" ht="15" customHeight="1" x14ac:dyDescent="0.25">
      <c r="B502" s="114">
        <v>0.41965629999999998</v>
      </c>
      <c r="C502" s="269">
        <v>10.3368</v>
      </c>
      <c r="D502" s="272">
        <f t="shared" si="21"/>
        <v>1.03368E-2</v>
      </c>
      <c r="I502" s="114">
        <v>5.6884079999999998E-3</v>
      </c>
      <c r="J502" s="269">
        <v>2.422059</v>
      </c>
      <c r="K502" s="272">
        <f t="shared" si="22"/>
        <v>2.4220589999999998E-3</v>
      </c>
      <c r="P502" s="114">
        <v>6.2572490000000003E-3</v>
      </c>
      <c r="Q502" s="269">
        <v>2.6642640000000002</v>
      </c>
      <c r="R502" s="272">
        <f t="shared" si="23"/>
        <v>2.6642640000000004E-3</v>
      </c>
    </row>
    <row r="503" spans="2:18" ht="15" customHeight="1" x14ac:dyDescent="0.25">
      <c r="B503" s="114">
        <v>0.42052339999999999</v>
      </c>
      <c r="C503" s="269">
        <v>10.35816</v>
      </c>
      <c r="D503" s="272">
        <f t="shared" si="21"/>
        <v>1.035816E-2</v>
      </c>
      <c r="I503" s="114">
        <v>5.7001609999999996E-3</v>
      </c>
      <c r="J503" s="269">
        <v>2.4226700000000001</v>
      </c>
      <c r="K503" s="272">
        <f t="shared" si="22"/>
        <v>2.42267E-3</v>
      </c>
      <c r="P503" s="114">
        <v>6.2701780000000004E-3</v>
      </c>
      <c r="Q503" s="269">
        <v>2.6649370000000001</v>
      </c>
      <c r="R503" s="272">
        <f t="shared" si="23"/>
        <v>2.664937E-3</v>
      </c>
    </row>
    <row r="504" spans="2:18" ht="15" customHeight="1" x14ac:dyDescent="0.25">
      <c r="B504" s="114">
        <v>0.4213904</v>
      </c>
      <c r="C504" s="269">
        <v>10.379519999999999</v>
      </c>
      <c r="D504" s="272">
        <f t="shared" si="21"/>
        <v>1.037952E-2</v>
      </c>
      <c r="I504" s="114">
        <v>5.7119140000000002E-3</v>
      </c>
      <c r="J504" s="269">
        <v>2.4232800000000001</v>
      </c>
      <c r="K504" s="272">
        <f t="shared" si="22"/>
        <v>2.4232800000000003E-3</v>
      </c>
      <c r="P504" s="114">
        <v>6.2831060000000001E-3</v>
      </c>
      <c r="Q504" s="269">
        <v>2.6656080000000002</v>
      </c>
      <c r="R504" s="272">
        <f t="shared" si="23"/>
        <v>2.6656080000000003E-3</v>
      </c>
    </row>
    <row r="505" spans="2:18" ht="15" customHeight="1" x14ac:dyDescent="0.25">
      <c r="B505" s="114">
        <v>0.42225750000000001</v>
      </c>
      <c r="C505" s="269">
        <v>10.400880000000001</v>
      </c>
      <c r="D505" s="272">
        <f t="shared" si="21"/>
        <v>1.0400880000000001E-2</v>
      </c>
      <c r="I505" s="114">
        <v>5.723667E-3</v>
      </c>
      <c r="J505" s="269">
        <v>2.4238870000000001</v>
      </c>
      <c r="K505" s="272">
        <f t="shared" si="22"/>
        <v>2.423887E-3</v>
      </c>
      <c r="P505" s="114">
        <v>6.2960339999999998E-3</v>
      </c>
      <c r="Q505" s="269">
        <v>2.6662759999999999</v>
      </c>
      <c r="R505" s="272">
        <f t="shared" si="23"/>
        <v>2.666276E-3</v>
      </c>
    </row>
    <row r="506" spans="2:18" ht="15" customHeight="1" x14ac:dyDescent="0.25">
      <c r="B506" s="114">
        <v>0.42312450000000001</v>
      </c>
      <c r="C506" s="269">
        <v>10.422230000000001</v>
      </c>
      <c r="D506" s="272">
        <f t="shared" si="21"/>
        <v>1.0422230000000001E-2</v>
      </c>
      <c r="I506" s="114">
        <v>5.7354199999999998E-3</v>
      </c>
      <c r="J506" s="269">
        <v>2.424493</v>
      </c>
      <c r="K506" s="272">
        <f t="shared" si="22"/>
        <v>2.4244930000000002E-3</v>
      </c>
      <c r="P506" s="114">
        <v>6.3089620000000004E-3</v>
      </c>
      <c r="Q506" s="269">
        <v>2.6669420000000001</v>
      </c>
      <c r="R506" s="272">
        <f t="shared" si="23"/>
        <v>2.6669420000000003E-3</v>
      </c>
    </row>
    <row r="507" spans="2:18" ht="15" customHeight="1" x14ac:dyDescent="0.25">
      <c r="B507" s="114">
        <v>0.42399160000000002</v>
      </c>
      <c r="C507" s="269">
        <v>10.44359</v>
      </c>
      <c r="D507" s="272">
        <f t="shared" si="21"/>
        <v>1.0443590000000001E-2</v>
      </c>
      <c r="I507" s="114">
        <v>5.7471730000000004E-3</v>
      </c>
      <c r="J507" s="269">
        <v>2.4250959999999999</v>
      </c>
      <c r="K507" s="272">
        <f t="shared" si="22"/>
        <v>2.4250959999999998E-3</v>
      </c>
      <c r="P507" s="114">
        <v>6.3218900000000001E-3</v>
      </c>
      <c r="Q507" s="269">
        <v>2.6676060000000001</v>
      </c>
      <c r="R507" s="272">
        <f t="shared" si="23"/>
        <v>2.6676060000000003E-3</v>
      </c>
    </row>
    <row r="508" spans="2:18" ht="15" customHeight="1" x14ac:dyDescent="0.25">
      <c r="B508" s="114">
        <v>0.42485869999999998</v>
      </c>
      <c r="C508" s="269">
        <v>10.46495</v>
      </c>
      <c r="D508" s="272">
        <f t="shared" si="21"/>
        <v>1.0464950000000001E-2</v>
      </c>
      <c r="I508" s="114">
        <v>5.7589260000000001E-3</v>
      </c>
      <c r="J508" s="269">
        <v>2.425697</v>
      </c>
      <c r="K508" s="272">
        <f t="shared" si="22"/>
        <v>2.4256970000000001E-3</v>
      </c>
      <c r="P508" s="114">
        <v>6.3348190000000002E-3</v>
      </c>
      <c r="Q508" s="269">
        <v>2.6682670000000002</v>
      </c>
      <c r="R508" s="272">
        <f t="shared" si="23"/>
        <v>2.6682670000000002E-3</v>
      </c>
    </row>
    <row r="509" spans="2:18" ht="15" customHeight="1" x14ac:dyDescent="0.25">
      <c r="B509" s="114">
        <v>0.42572569999999998</v>
      </c>
      <c r="C509" s="269">
        <v>10.4863</v>
      </c>
      <c r="D509" s="272">
        <f t="shared" si="21"/>
        <v>1.04863E-2</v>
      </c>
      <c r="I509" s="114">
        <v>5.7706789999999999E-3</v>
      </c>
      <c r="J509" s="269">
        <v>2.4262969999999999</v>
      </c>
      <c r="K509" s="272">
        <f t="shared" si="22"/>
        <v>2.426297E-3</v>
      </c>
      <c r="P509" s="114">
        <v>6.3477469999999999E-3</v>
      </c>
      <c r="Q509" s="269">
        <v>2.6689259999999999</v>
      </c>
      <c r="R509" s="272">
        <f t="shared" si="23"/>
        <v>2.6689259999999999E-3</v>
      </c>
    </row>
    <row r="510" spans="2:18" ht="15" customHeight="1" x14ac:dyDescent="0.25">
      <c r="B510" s="114">
        <v>0.42659279999999999</v>
      </c>
      <c r="C510" s="269">
        <v>10.50766</v>
      </c>
      <c r="D510" s="272">
        <f t="shared" si="21"/>
        <v>1.050766E-2</v>
      </c>
      <c r="I510" s="114">
        <v>5.7824319999999997E-3</v>
      </c>
      <c r="J510" s="269">
        <v>2.4268939999999999</v>
      </c>
      <c r="K510" s="272">
        <f t="shared" si="22"/>
        <v>2.4268939999999998E-3</v>
      </c>
      <c r="P510" s="114">
        <v>6.3606749999999997E-3</v>
      </c>
      <c r="Q510" s="269">
        <v>2.6695829999999998</v>
      </c>
      <c r="R510" s="272">
        <f t="shared" si="23"/>
        <v>2.6695829999999997E-3</v>
      </c>
    </row>
    <row r="511" spans="2:18" ht="15" customHeight="1" x14ac:dyDescent="0.25">
      <c r="B511" s="114">
        <v>0.4274598</v>
      </c>
      <c r="C511" s="269">
        <v>10.529019999999999</v>
      </c>
      <c r="D511" s="272">
        <f t="shared" si="21"/>
        <v>1.0529019999999998E-2</v>
      </c>
      <c r="I511" s="114">
        <v>5.7941850000000003E-3</v>
      </c>
      <c r="J511" s="269">
        <v>2.427489</v>
      </c>
      <c r="K511" s="272">
        <f t="shared" si="22"/>
        <v>2.4274890000000001E-3</v>
      </c>
      <c r="P511" s="114">
        <v>6.3736030000000003E-3</v>
      </c>
      <c r="Q511" s="269">
        <v>2.6702379999999999</v>
      </c>
      <c r="R511" s="272">
        <f t="shared" si="23"/>
        <v>2.6702379999999997E-3</v>
      </c>
    </row>
    <row r="512" spans="2:18" ht="15" customHeight="1" x14ac:dyDescent="0.25">
      <c r="B512" s="114">
        <v>0.42832690000000001</v>
      </c>
      <c r="C512" s="269">
        <v>10.550369999999999</v>
      </c>
      <c r="D512" s="272">
        <f t="shared" si="21"/>
        <v>1.055037E-2</v>
      </c>
      <c r="I512" s="114">
        <v>5.8059380000000001E-3</v>
      </c>
      <c r="J512" s="269">
        <v>2.428083</v>
      </c>
      <c r="K512" s="272">
        <f t="shared" si="22"/>
        <v>2.4280830000000002E-3</v>
      </c>
      <c r="P512" s="114">
        <v>6.386531E-3</v>
      </c>
      <c r="Q512" s="269">
        <v>2.6708910000000001</v>
      </c>
      <c r="R512" s="272">
        <f t="shared" si="23"/>
        <v>2.6708910000000003E-3</v>
      </c>
    </row>
    <row r="513" spans="2:18" ht="15" customHeight="1" x14ac:dyDescent="0.25">
      <c r="B513" s="114">
        <v>0.42919400000000002</v>
      </c>
      <c r="C513" s="269">
        <v>10.571730000000001</v>
      </c>
      <c r="D513" s="272">
        <f t="shared" si="21"/>
        <v>1.057173E-2</v>
      </c>
      <c r="I513" s="114">
        <v>5.8176900000000004E-3</v>
      </c>
      <c r="J513" s="269">
        <v>2.428674</v>
      </c>
      <c r="K513" s="272">
        <f t="shared" si="22"/>
        <v>2.428674E-3</v>
      </c>
      <c r="P513" s="114">
        <v>6.39946E-3</v>
      </c>
      <c r="Q513" s="269">
        <v>2.6715409999999999</v>
      </c>
      <c r="R513" s="272">
        <f t="shared" si="23"/>
        <v>2.6715409999999999E-3</v>
      </c>
    </row>
    <row r="514" spans="2:18" ht="15" customHeight="1" x14ac:dyDescent="0.25">
      <c r="B514" s="114">
        <v>0.43006100000000003</v>
      </c>
      <c r="C514" s="269">
        <v>10.59309</v>
      </c>
      <c r="D514" s="272">
        <f t="shared" si="21"/>
        <v>1.0593089999999999E-2</v>
      </c>
      <c r="I514" s="114">
        <v>5.8294430000000001E-3</v>
      </c>
      <c r="J514" s="269">
        <v>2.4292630000000002</v>
      </c>
      <c r="K514" s="272">
        <f t="shared" si="22"/>
        <v>2.4292630000000001E-3</v>
      </c>
      <c r="P514" s="114">
        <v>6.4123879999999998E-3</v>
      </c>
      <c r="Q514" s="269">
        <v>2.6721900000000001</v>
      </c>
      <c r="R514" s="272">
        <f t="shared" si="23"/>
        <v>2.6721900000000001E-3</v>
      </c>
    </row>
    <row r="515" spans="2:18" ht="15" customHeight="1" x14ac:dyDescent="0.25">
      <c r="B515" s="114">
        <v>0.43092809999999998</v>
      </c>
      <c r="C515" s="269">
        <v>10.61445</v>
      </c>
      <c r="D515" s="272">
        <f t="shared" si="21"/>
        <v>1.0614449999999999E-2</v>
      </c>
      <c r="I515" s="114">
        <v>5.8411959999999999E-3</v>
      </c>
      <c r="J515" s="269">
        <v>2.4298510000000002</v>
      </c>
      <c r="K515" s="272">
        <f t="shared" si="22"/>
        <v>2.4298510000000002E-3</v>
      </c>
      <c r="P515" s="114">
        <v>6.4253160000000004E-3</v>
      </c>
      <c r="Q515" s="269">
        <v>2.6728360000000002</v>
      </c>
      <c r="R515" s="272">
        <f t="shared" si="23"/>
        <v>2.672836E-3</v>
      </c>
    </row>
    <row r="516" spans="2:18" ht="15" customHeight="1" x14ac:dyDescent="0.25">
      <c r="B516" s="114">
        <v>0.43179509999999999</v>
      </c>
      <c r="C516" s="269">
        <v>10.6358</v>
      </c>
      <c r="D516" s="272">
        <f t="shared" si="21"/>
        <v>1.0635799999999999E-2</v>
      </c>
      <c r="I516" s="114">
        <v>5.8529489999999997E-3</v>
      </c>
      <c r="J516" s="269">
        <v>2.430437</v>
      </c>
      <c r="K516" s="272">
        <f t="shared" si="22"/>
        <v>2.4304370000000001E-3</v>
      </c>
      <c r="P516" s="114">
        <v>6.4382440000000001E-3</v>
      </c>
      <c r="Q516" s="269">
        <v>2.6734800000000001</v>
      </c>
      <c r="R516" s="272">
        <f t="shared" si="23"/>
        <v>2.6734800000000002E-3</v>
      </c>
    </row>
    <row r="517" spans="2:18" ht="15" customHeight="1" x14ac:dyDescent="0.25">
      <c r="B517" s="114">
        <v>0.4326622</v>
      </c>
      <c r="C517" s="269">
        <v>10.657159999999999</v>
      </c>
      <c r="D517" s="272">
        <f t="shared" si="21"/>
        <v>1.0657159999999999E-2</v>
      </c>
      <c r="I517" s="114">
        <v>5.8647020000000003E-3</v>
      </c>
      <c r="J517" s="269">
        <v>2.4310200000000002</v>
      </c>
      <c r="K517" s="272">
        <f t="shared" si="22"/>
        <v>2.4310200000000003E-3</v>
      </c>
      <c r="P517" s="114">
        <v>6.4511719999999998E-3</v>
      </c>
      <c r="Q517" s="269">
        <v>2.6741220000000001</v>
      </c>
      <c r="R517" s="272">
        <f t="shared" si="23"/>
        <v>2.6741220000000001E-3</v>
      </c>
    </row>
    <row r="518" spans="2:18" ht="15" customHeight="1" x14ac:dyDescent="0.25">
      <c r="B518" s="114">
        <v>0.4335292</v>
      </c>
      <c r="C518" s="269">
        <v>10.678520000000001</v>
      </c>
      <c r="D518" s="272">
        <f t="shared" si="21"/>
        <v>1.067852E-2</v>
      </c>
      <c r="I518" s="114">
        <v>5.876455E-3</v>
      </c>
      <c r="J518" s="269">
        <v>2.4316019999999998</v>
      </c>
      <c r="K518" s="272">
        <f t="shared" si="22"/>
        <v>2.4316019999999997E-3</v>
      </c>
      <c r="P518" s="114">
        <v>6.4641009999999999E-3</v>
      </c>
      <c r="Q518" s="269">
        <v>2.6747619999999999</v>
      </c>
      <c r="R518" s="272">
        <f t="shared" si="23"/>
        <v>2.6747619999999998E-3</v>
      </c>
    </row>
    <row r="519" spans="2:18" ht="15" customHeight="1" x14ac:dyDescent="0.25">
      <c r="B519" s="114">
        <v>0.43439630000000001</v>
      </c>
      <c r="C519" s="269">
        <v>10.699870000000001</v>
      </c>
      <c r="D519" s="272">
        <f t="shared" si="21"/>
        <v>1.069987E-2</v>
      </c>
      <c r="I519" s="114">
        <v>5.8882079999999998E-3</v>
      </c>
      <c r="J519" s="269">
        <v>2.4321820000000001</v>
      </c>
      <c r="K519" s="272">
        <f t="shared" si="22"/>
        <v>2.4321820000000002E-3</v>
      </c>
      <c r="P519" s="114">
        <v>6.4770289999999996E-3</v>
      </c>
      <c r="Q519" s="269">
        <v>2.6753999999999998</v>
      </c>
      <c r="R519" s="272">
        <f t="shared" si="23"/>
        <v>2.6753999999999997E-3</v>
      </c>
    </row>
    <row r="520" spans="2:18" ht="15" customHeight="1" x14ac:dyDescent="0.25">
      <c r="B520" s="114">
        <v>0.43526340000000002</v>
      </c>
      <c r="C520" s="269">
        <v>10.72123</v>
      </c>
      <c r="D520" s="272">
        <f t="shared" si="21"/>
        <v>1.072123E-2</v>
      </c>
      <c r="I520" s="114">
        <v>5.8999609999999996E-3</v>
      </c>
      <c r="J520" s="269">
        <v>2.43276</v>
      </c>
      <c r="K520" s="272">
        <f t="shared" si="22"/>
        <v>2.43276E-3</v>
      </c>
      <c r="P520" s="114">
        <v>6.4899570000000002E-3</v>
      </c>
      <c r="Q520" s="269">
        <v>2.6760359999999999</v>
      </c>
      <c r="R520" s="272">
        <f t="shared" si="23"/>
        <v>2.6760359999999997E-3</v>
      </c>
    </row>
    <row r="521" spans="2:18" ht="15" customHeight="1" x14ac:dyDescent="0.25">
      <c r="B521" s="114">
        <v>0.43613039999999997</v>
      </c>
      <c r="C521" s="269">
        <v>10.74259</v>
      </c>
      <c r="D521" s="272">
        <f t="shared" si="21"/>
        <v>1.074259E-2</v>
      </c>
      <c r="I521" s="114">
        <v>5.9117140000000002E-3</v>
      </c>
      <c r="J521" s="269">
        <v>2.4333369999999999</v>
      </c>
      <c r="K521" s="272">
        <f t="shared" si="22"/>
        <v>2.4333369999999998E-3</v>
      </c>
      <c r="P521" s="114">
        <v>6.5028849999999999E-3</v>
      </c>
      <c r="Q521" s="269">
        <v>2.6766700000000001</v>
      </c>
      <c r="R521" s="272">
        <f t="shared" si="23"/>
        <v>2.6766699999999999E-3</v>
      </c>
    </row>
    <row r="522" spans="2:18" ht="15" customHeight="1" x14ac:dyDescent="0.25">
      <c r="B522" s="114">
        <v>0.43699749999999998</v>
      </c>
      <c r="C522" s="269">
        <v>10.763949999999999</v>
      </c>
      <c r="D522" s="272">
        <f t="shared" si="21"/>
        <v>1.076395E-2</v>
      </c>
      <c r="I522" s="114">
        <v>5.923467E-3</v>
      </c>
      <c r="J522" s="269">
        <v>2.4339110000000002</v>
      </c>
      <c r="K522" s="272">
        <f t="shared" si="22"/>
        <v>2.433911E-3</v>
      </c>
      <c r="P522" s="114">
        <v>6.5158129999999996E-3</v>
      </c>
      <c r="Q522" s="269">
        <v>2.6773020000000001</v>
      </c>
      <c r="R522" s="272">
        <f t="shared" si="23"/>
        <v>2.6773019999999999E-3</v>
      </c>
    </row>
    <row r="523" spans="2:18" ht="15" customHeight="1" x14ac:dyDescent="0.25">
      <c r="B523" s="114">
        <v>0.43786449999999999</v>
      </c>
      <c r="C523" s="269">
        <v>10.785299999999999</v>
      </c>
      <c r="D523" s="272">
        <f t="shared" si="21"/>
        <v>1.0785299999999999E-2</v>
      </c>
      <c r="I523" s="114">
        <v>5.9352199999999997E-3</v>
      </c>
      <c r="J523" s="269">
        <v>2.4344839999999999</v>
      </c>
      <c r="K523" s="272">
        <f t="shared" si="22"/>
        <v>2.4344839999999998E-3</v>
      </c>
      <c r="P523" s="114">
        <v>6.5287419999999997E-3</v>
      </c>
      <c r="Q523" s="269">
        <v>2.6779320000000002</v>
      </c>
      <c r="R523" s="272">
        <f t="shared" si="23"/>
        <v>2.6779320000000001E-3</v>
      </c>
    </row>
    <row r="524" spans="2:18" ht="15" customHeight="1" x14ac:dyDescent="0.25">
      <c r="B524" s="114">
        <v>0.4387316</v>
      </c>
      <c r="C524" s="269">
        <v>10.806660000000001</v>
      </c>
      <c r="D524" s="272">
        <f t="shared" si="21"/>
        <v>1.0806660000000001E-2</v>
      </c>
      <c r="I524" s="114">
        <v>5.946972E-3</v>
      </c>
      <c r="J524" s="269">
        <v>2.4350550000000002</v>
      </c>
      <c r="K524" s="272">
        <f t="shared" si="22"/>
        <v>2.4350550000000002E-3</v>
      </c>
      <c r="P524" s="114">
        <v>6.5416700000000003E-3</v>
      </c>
      <c r="Q524" s="269">
        <v>2.6785610000000002</v>
      </c>
      <c r="R524" s="272">
        <f t="shared" si="23"/>
        <v>2.6785610000000003E-3</v>
      </c>
    </row>
    <row r="525" spans="2:18" ht="15" customHeight="1" x14ac:dyDescent="0.25">
      <c r="B525" s="114">
        <v>0.43959870000000001</v>
      </c>
      <c r="C525" s="269">
        <v>10.82802</v>
      </c>
      <c r="D525" s="272">
        <f t="shared" si="21"/>
        <v>1.0828020000000001E-2</v>
      </c>
      <c r="I525" s="114">
        <v>5.9587249999999998E-3</v>
      </c>
      <c r="J525" s="269">
        <v>2.4356239999999998</v>
      </c>
      <c r="K525" s="272">
        <f t="shared" si="22"/>
        <v>2.4356239999999999E-3</v>
      </c>
      <c r="P525" s="114">
        <v>6.554598E-3</v>
      </c>
      <c r="Q525" s="269">
        <v>2.6791870000000002</v>
      </c>
      <c r="R525" s="272">
        <f t="shared" si="23"/>
        <v>2.6791870000000004E-3</v>
      </c>
    </row>
    <row r="526" spans="2:18" ht="15" customHeight="1" x14ac:dyDescent="0.25">
      <c r="B526" s="114">
        <v>0.44046570000000002</v>
      </c>
      <c r="C526" s="269">
        <v>10.84937</v>
      </c>
      <c r="D526" s="272">
        <f t="shared" si="21"/>
        <v>1.0849370000000001E-2</v>
      </c>
      <c r="I526" s="114">
        <v>5.9704780000000004E-3</v>
      </c>
      <c r="J526" s="269">
        <v>2.4361920000000001</v>
      </c>
      <c r="K526" s="272">
        <f t="shared" si="22"/>
        <v>2.4361920000000002E-3</v>
      </c>
      <c r="P526" s="114">
        <v>6.5675259999999997E-3</v>
      </c>
      <c r="Q526" s="269">
        <v>2.6798109999999999</v>
      </c>
      <c r="R526" s="272">
        <f t="shared" si="23"/>
        <v>2.6798109999999998E-3</v>
      </c>
    </row>
    <row r="527" spans="2:18" ht="15" customHeight="1" x14ac:dyDescent="0.25">
      <c r="B527" s="114">
        <v>0.44133280000000003</v>
      </c>
      <c r="C527" s="269">
        <v>10.87073</v>
      </c>
      <c r="D527" s="272">
        <f t="shared" si="21"/>
        <v>1.087073E-2</v>
      </c>
      <c r="I527" s="114">
        <v>5.9822310000000002E-3</v>
      </c>
      <c r="J527" s="269">
        <v>2.4367570000000001</v>
      </c>
      <c r="K527" s="272">
        <f t="shared" si="22"/>
        <v>2.4367569999999999E-3</v>
      </c>
      <c r="P527" s="114">
        <v>6.5804540000000003E-3</v>
      </c>
      <c r="Q527" s="269">
        <v>2.6804329999999998</v>
      </c>
      <c r="R527" s="272">
        <f t="shared" si="23"/>
        <v>2.6804329999999999E-3</v>
      </c>
    </row>
    <row r="528" spans="2:18" ht="15" customHeight="1" x14ac:dyDescent="0.25">
      <c r="B528" s="114">
        <v>0.44219979999999998</v>
      </c>
      <c r="C528" s="269">
        <v>10.89209</v>
      </c>
      <c r="D528" s="272">
        <f t="shared" si="21"/>
        <v>1.089209E-2</v>
      </c>
      <c r="I528" s="114">
        <v>5.9939839999999999E-3</v>
      </c>
      <c r="J528" s="269">
        <v>2.4373209999999998</v>
      </c>
      <c r="K528" s="272">
        <f t="shared" si="22"/>
        <v>2.4373209999999997E-3</v>
      </c>
      <c r="P528" s="114">
        <v>6.5933830000000004E-3</v>
      </c>
      <c r="Q528" s="269">
        <v>2.681054</v>
      </c>
      <c r="R528" s="272">
        <f t="shared" si="23"/>
        <v>2.681054E-3</v>
      </c>
    </row>
    <row r="529" spans="2:18" ht="15" customHeight="1" x14ac:dyDescent="0.25">
      <c r="B529" s="114">
        <v>0.44306689999999999</v>
      </c>
      <c r="C529" s="269">
        <v>10.91344</v>
      </c>
      <c r="D529" s="272">
        <f t="shared" si="21"/>
        <v>1.091344E-2</v>
      </c>
      <c r="I529" s="114">
        <v>6.0057369999999997E-3</v>
      </c>
      <c r="J529" s="269">
        <v>2.4378839999999999</v>
      </c>
      <c r="K529" s="272">
        <f t="shared" si="22"/>
        <v>2.437884E-3</v>
      </c>
      <c r="P529" s="114">
        <v>6.6063110000000001E-3</v>
      </c>
      <c r="Q529" s="269">
        <v>2.6816719999999998</v>
      </c>
      <c r="R529" s="272">
        <f t="shared" si="23"/>
        <v>2.681672E-3</v>
      </c>
    </row>
    <row r="530" spans="2:18" ht="15" customHeight="1" x14ac:dyDescent="0.25">
      <c r="B530" s="114">
        <v>0.443934</v>
      </c>
      <c r="C530" s="269">
        <v>10.934799999999999</v>
      </c>
      <c r="D530" s="272">
        <f t="shared" ref="D530:D593" si="24">C530/1000</f>
        <v>1.09348E-2</v>
      </c>
      <c r="I530" s="114">
        <v>6.0174900000000003E-3</v>
      </c>
      <c r="J530" s="269">
        <v>2.4384440000000001</v>
      </c>
      <c r="K530" s="272">
        <f t="shared" ref="K530:K593" si="25">J530/1000</f>
        <v>2.4384440000000001E-3</v>
      </c>
      <c r="P530" s="114">
        <v>6.6192389999999999E-3</v>
      </c>
      <c r="Q530" s="269">
        <v>2.6822889999999999</v>
      </c>
      <c r="R530" s="272">
        <f t="shared" ref="R530:R593" si="26">Q530/1000</f>
        <v>2.682289E-3</v>
      </c>
    </row>
    <row r="531" spans="2:18" ht="15" customHeight="1" x14ac:dyDescent="0.25">
      <c r="B531" s="114">
        <v>0.444801</v>
      </c>
      <c r="C531" s="269">
        <v>10.956160000000001</v>
      </c>
      <c r="D531" s="272">
        <f t="shared" si="24"/>
        <v>1.0956160000000001E-2</v>
      </c>
      <c r="I531" s="114">
        <v>6.0292430000000001E-3</v>
      </c>
      <c r="J531" s="269">
        <v>2.439003</v>
      </c>
      <c r="K531" s="272">
        <f t="shared" si="25"/>
        <v>2.4390029999999999E-3</v>
      </c>
      <c r="P531" s="114">
        <v>6.6321669999999996E-3</v>
      </c>
      <c r="Q531" s="269">
        <v>2.6829040000000002</v>
      </c>
      <c r="R531" s="272">
        <f t="shared" si="26"/>
        <v>2.6829040000000003E-3</v>
      </c>
    </row>
    <row r="532" spans="2:18" ht="15" customHeight="1" x14ac:dyDescent="0.25">
      <c r="B532" s="114">
        <v>0.44566810000000001</v>
      </c>
      <c r="C532" s="269">
        <v>10.97752</v>
      </c>
      <c r="D532" s="272">
        <f t="shared" si="24"/>
        <v>1.0977520000000001E-2</v>
      </c>
      <c r="I532" s="114">
        <v>6.0409959999999999E-3</v>
      </c>
      <c r="J532" s="269">
        <v>2.4395609999999999</v>
      </c>
      <c r="K532" s="272">
        <f t="shared" si="25"/>
        <v>2.4395609999999998E-3</v>
      </c>
      <c r="P532" s="114">
        <v>6.6450950000000002E-3</v>
      </c>
      <c r="Q532" s="269">
        <v>2.6835170000000002</v>
      </c>
      <c r="R532" s="272">
        <f t="shared" si="26"/>
        <v>2.6835170000000003E-3</v>
      </c>
    </row>
    <row r="533" spans="2:18" ht="15" customHeight="1" x14ac:dyDescent="0.25">
      <c r="B533" s="114">
        <v>0.44653510000000002</v>
      </c>
      <c r="C533" s="269">
        <v>10.99887</v>
      </c>
      <c r="D533" s="272">
        <f t="shared" si="24"/>
        <v>1.0998870000000001E-2</v>
      </c>
      <c r="I533" s="114">
        <v>6.0527489999999996E-3</v>
      </c>
      <c r="J533" s="269">
        <v>2.4401160000000002</v>
      </c>
      <c r="K533" s="272">
        <f t="shared" si="25"/>
        <v>2.440116E-3</v>
      </c>
      <c r="P533" s="114">
        <v>6.6580240000000002E-3</v>
      </c>
      <c r="Q533" s="269">
        <v>2.6841279999999998</v>
      </c>
      <c r="R533" s="272">
        <f t="shared" si="26"/>
        <v>2.684128E-3</v>
      </c>
    </row>
    <row r="534" spans="2:18" ht="15" customHeight="1" x14ac:dyDescent="0.25">
      <c r="B534" s="114">
        <v>0.44740220000000003</v>
      </c>
      <c r="C534" s="269">
        <v>11.02023</v>
      </c>
      <c r="D534" s="272">
        <f t="shared" si="24"/>
        <v>1.1020229999999999E-2</v>
      </c>
      <c r="I534" s="114">
        <v>6.0645020000000003E-3</v>
      </c>
      <c r="J534" s="269">
        <v>2.4406699999999999</v>
      </c>
      <c r="K534" s="272">
        <f t="shared" si="25"/>
        <v>2.4406699999999998E-3</v>
      </c>
      <c r="P534" s="114">
        <v>6.670952E-3</v>
      </c>
      <c r="Q534" s="269">
        <v>2.6847370000000002</v>
      </c>
      <c r="R534" s="272">
        <f t="shared" si="26"/>
        <v>2.684737E-3</v>
      </c>
    </row>
    <row r="535" spans="2:18" ht="15" customHeight="1" x14ac:dyDescent="0.25">
      <c r="B535" s="114">
        <v>0.44826919999999998</v>
      </c>
      <c r="C535" s="269">
        <v>11.041589999999999</v>
      </c>
      <c r="D535" s="272">
        <f t="shared" si="24"/>
        <v>1.1041589999999999E-2</v>
      </c>
      <c r="I535" s="114">
        <v>6.0762539999999997E-3</v>
      </c>
      <c r="J535" s="269">
        <v>2.4412229999999999</v>
      </c>
      <c r="K535" s="272">
        <f t="shared" si="25"/>
        <v>2.4412229999999997E-3</v>
      </c>
      <c r="P535" s="114">
        <v>6.6838799999999997E-3</v>
      </c>
      <c r="Q535" s="269">
        <v>2.6853449999999999</v>
      </c>
      <c r="R535" s="272">
        <f t="shared" si="26"/>
        <v>2.685345E-3</v>
      </c>
    </row>
    <row r="536" spans="2:18" ht="15" customHeight="1" x14ac:dyDescent="0.25">
      <c r="B536" s="114">
        <v>0.44913629999999999</v>
      </c>
      <c r="C536" s="269">
        <v>11.062939999999999</v>
      </c>
      <c r="D536" s="272">
        <f t="shared" si="24"/>
        <v>1.1062939999999999E-2</v>
      </c>
      <c r="I536" s="114">
        <v>6.0880070000000003E-3</v>
      </c>
      <c r="J536" s="269">
        <v>2.4417740000000001</v>
      </c>
      <c r="K536" s="272">
        <f t="shared" si="25"/>
        <v>2.4417740000000003E-3</v>
      </c>
      <c r="P536" s="114">
        <v>6.6968080000000003E-3</v>
      </c>
      <c r="Q536" s="269">
        <v>2.6859510000000002</v>
      </c>
      <c r="R536" s="272">
        <f t="shared" si="26"/>
        <v>2.6859510000000002E-3</v>
      </c>
    </row>
    <row r="537" spans="2:18" ht="15" customHeight="1" x14ac:dyDescent="0.25">
      <c r="B537" s="114">
        <v>0.4500034</v>
      </c>
      <c r="C537" s="269">
        <v>11.084300000000001</v>
      </c>
      <c r="D537" s="272">
        <f t="shared" si="24"/>
        <v>1.10843E-2</v>
      </c>
      <c r="I537" s="114">
        <v>6.0997600000000001E-3</v>
      </c>
      <c r="J537" s="269">
        <v>2.442323</v>
      </c>
      <c r="K537" s="272">
        <f t="shared" si="25"/>
        <v>2.4423230000000002E-3</v>
      </c>
      <c r="P537" s="114">
        <v>6.709736E-3</v>
      </c>
      <c r="Q537" s="269">
        <v>2.6865549999999998</v>
      </c>
      <c r="R537" s="272">
        <f t="shared" si="26"/>
        <v>2.6865549999999998E-3</v>
      </c>
    </row>
    <row r="538" spans="2:18" ht="15" customHeight="1" x14ac:dyDescent="0.25">
      <c r="B538" s="114">
        <v>0.4508704</v>
      </c>
      <c r="C538" s="269">
        <v>11.10566</v>
      </c>
      <c r="D538" s="272">
        <f t="shared" si="24"/>
        <v>1.110566E-2</v>
      </c>
      <c r="I538" s="114">
        <v>6.1115129999999998E-3</v>
      </c>
      <c r="J538" s="269">
        <v>2.4428709999999998</v>
      </c>
      <c r="K538" s="272">
        <f t="shared" si="25"/>
        <v>2.4428709999999997E-3</v>
      </c>
      <c r="P538" s="114">
        <v>6.7226650000000001E-3</v>
      </c>
      <c r="Q538" s="269">
        <v>2.6871580000000002</v>
      </c>
      <c r="R538" s="272">
        <f t="shared" si="26"/>
        <v>2.6871580000000003E-3</v>
      </c>
    </row>
    <row r="539" spans="2:18" ht="15" customHeight="1" x14ac:dyDescent="0.25">
      <c r="B539" s="114">
        <v>0.45173750000000001</v>
      </c>
      <c r="C539" s="269">
        <v>11.12701</v>
      </c>
      <c r="D539" s="272">
        <f t="shared" si="24"/>
        <v>1.112701E-2</v>
      </c>
      <c r="I539" s="114">
        <v>6.1232659999999996E-3</v>
      </c>
      <c r="J539" s="269">
        <v>2.4434170000000002</v>
      </c>
      <c r="K539" s="272">
        <f t="shared" si="25"/>
        <v>2.4434170000000002E-3</v>
      </c>
      <c r="P539" s="114">
        <v>6.7355929999999998E-3</v>
      </c>
      <c r="Q539" s="269">
        <v>2.6877580000000001</v>
      </c>
      <c r="R539" s="272">
        <f t="shared" si="26"/>
        <v>2.6877580000000002E-3</v>
      </c>
    </row>
    <row r="540" spans="2:18" ht="15" customHeight="1" x14ac:dyDescent="0.25">
      <c r="B540" s="114">
        <v>0.45260450000000002</v>
      </c>
      <c r="C540" s="269">
        <v>11.14837</v>
      </c>
      <c r="D540" s="272">
        <f t="shared" si="24"/>
        <v>1.1148369999999999E-2</v>
      </c>
      <c r="I540" s="114">
        <v>6.1350190000000002E-3</v>
      </c>
      <c r="J540" s="269">
        <v>2.4439609999999998</v>
      </c>
      <c r="K540" s="272">
        <f t="shared" si="25"/>
        <v>2.4439609999999997E-3</v>
      </c>
      <c r="P540" s="114">
        <v>6.7485210000000004E-3</v>
      </c>
      <c r="Q540" s="269">
        <v>2.6883569999999999</v>
      </c>
      <c r="R540" s="272">
        <f t="shared" si="26"/>
        <v>2.6883569999999997E-3</v>
      </c>
    </row>
    <row r="541" spans="2:18" ht="15" customHeight="1" x14ac:dyDescent="0.25">
      <c r="B541" s="114">
        <v>0.45347159999999997</v>
      </c>
      <c r="C541" s="269">
        <v>11.169729999999999</v>
      </c>
      <c r="D541" s="272">
        <f t="shared" si="24"/>
        <v>1.1169729999999999E-2</v>
      </c>
      <c r="I541" s="114">
        <v>6.146772E-3</v>
      </c>
      <c r="J541" s="269">
        <v>2.4445039999999998</v>
      </c>
      <c r="K541" s="272">
        <f t="shared" si="25"/>
        <v>2.4445039999999997E-3</v>
      </c>
      <c r="P541" s="114">
        <v>6.7614490000000001E-3</v>
      </c>
      <c r="Q541" s="269">
        <v>2.6889539999999998</v>
      </c>
      <c r="R541" s="272">
        <f t="shared" si="26"/>
        <v>2.6889539999999999E-3</v>
      </c>
    </row>
    <row r="542" spans="2:18" ht="15" customHeight="1" x14ac:dyDescent="0.25">
      <c r="B542" s="114">
        <v>0.45433869999999998</v>
      </c>
      <c r="C542" s="269">
        <v>11.191090000000001</v>
      </c>
      <c r="D542" s="272">
        <f t="shared" si="24"/>
        <v>1.1191090000000001E-2</v>
      </c>
      <c r="I542" s="114">
        <v>6.1585249999999998E-3</v>
      </c>
      <c r="J542" s="269">
        <v>2.4450460000000001</v>
      </c>
      <c r="K542" s="272">
        <f t="shared" si="25"/>
        <v>2.4450460000000002E-3</v>
      </c>
      <c r="P542" s="114">
        <v>6.7743769999999998E-3</v>
      </c>
      <c r="Q542" s="269">
        <v>2.6895500000000001</v>
      </c>
      <c r="R542" s="272">
        <f t="shared" si="26"/>
        <v>2.6895500000000002E-3</v>
      </c>
    </row>
    <row r="543" spans="2:18" ht="15" customHeight="1" x14ac:dyDescent="0.25">
      <c r="B543" s="114">
        <v>0.45520569999999999</v>
      </c>
      <c r="C543" s="269">
        <v>11.212440000000001</v>
      </c>
      <c r="D543" s="272">
        <f t="shared" si="24"/>
        <v>1.1212440000000001E-2</v>
      </c>
      <c r="I543" s="114">
        <v>6.1702780000000004E-3</v>
      </c>
      <c r="J543" s="269">
        <v>2.4455849999999999</v>
      </c>
      <c r="K543" s="272">
        <f t="shared" si="25"/>
        <v>2.4455849999999997E-3</v>
      </c>
      <c r="P543" s="114">
        <v>6.7873059999999999E-3</v>
      </c>
      <c r="Q543" s="269">
        <v>2.6901440000000001</v>
      </c>
      <c r="R543" s="272">
        <f t="shared" si="26"/>
        <v>2.6901440000000002E-3</v>
      </c>
    </row>
    <row r="544" spans="2:18" ht="15" customHeight="1" x14ac:dyDescent="0.25">
      <c r="B544" s="114">
        <v>0.4560728</v>
      </c>
      <c r="C544" s="269">
        <v>11.2338</v>
      </c>
      <c r="D544" s="272">
        <f t="shared" si="24"/>
        <v>1.12338E-2</v>
      </c>
      <c r="I544" s="114">
        <v>6.1820310000000002E-3</v>
      </c>
      <c r="J544" s="269">
        <v>2.4461240000000002</v>
      </c>
      <c r="K544" s="272">
        <f t="shared" si="25"/>
        <v>2.446124E-3</v>
      </c>
      <c r="P544" s="114">
        <v>6.8002339999999996E-3</v>
      </c>
      <c r="Q544" s="269">
        <v>2.6907359999999998</v>
      </c>
      <c r="R544" s="272">
        <f t="shared" si="26"/>
        <v>2.690736E-3</v>
      </c>
    </row>
    <row r="545" spans="2:18" ht="15" customHeight="1" x14ac:dyDescent="0.25">
      <c r="B545" s="114">
        <v>0.45693980000000001</v>
      </c>
      <c r="C545" s="269">
        <v>11.25516</v>
      </c>
      <c r="D545" s="272">
        <f t="shared" si="24"/>
        <v>1.125516E-2</v>
      </c>
      <c r="I545" s="114">
        <v>6.1937839999999999E-3</v>
      </c>
      <c r="J545" s="269">
        <v>2.4466610000000002</v>
      </c>
      <c r="K545" s="272">
        <f t="shared" si="25"/>
        <v>2.4466610000000001E-3</v>
      </c>
      <c r="P545" s="114">
        <v>6.8131620000000002E-3</v>
      </c>
      <c r="Q545" s="269">
        <v>2.6913269999999998</v>
      </c>
      <c r="R545" s="272">
        <f t="shared" si="26"/>
        <v>2.6913269999999999E-3</v>
      </c>
    </row>
    <row r="546" spans="2:18" ht="15" customHeight="1" x14ac:dyDescent="0.25">
      <c r="B546" s="114">
        <v>0.45780690000000002</v>
      </c>
      <c r="C546" s="269">
        <v>11.27651</v>
      </c>
      <c r="D546" s="272">
        <f t="shared" si="24"/>
        <v>1.127651E-2</v>
      </c>
      <c r="I546" s="114">
        <v>6.2055369999999997E-3</v>
      </c>
      <c r="J546" s="269">
        <v>2.4471959999999999</v>
      </c>
      <c r="K546" s="272">
        <f t="shared" si="25"/>
        <v>2.447196E-3</v>
      </c>
      <c r="P546" s="114">
        <v>6.8260899999999999E-3</v>
      </c>
      <c r="Q546" s="269">
        <v>2.691916</v>
      </c>
      <c r="R546" s="272">
        <f t="shared" si="26"/>
        <v>2.6919159999999999E-3</v>
      </c>
    </row>
    <row r="547" spans="2:18" ht="15" customHeight="1" x14ac:dyDescent="0.25">
      <c r="B547" s="114">
        <v>0.45867390000000002</v>
      </c>
      <c r="C547" s="269">
        <v>11.29787</v>
      </c>
      <c r="D547" s="272">
        <f t="shared" si="24"/>
        <v>1.129787E-2</v>
      </c>
      <c r="I547" s="114">
        <v>6.217289E-3</v>
      </c>
      <c r="J547" s="269">
        <v>2.44773</v>
      </c>
      <c r="K547" s="272">
        <f t="shared" si="25"/>
        <v>2.44773E-3</v>
      </c>
      <c r="P547" s="114">
        <v>6.8390179999999997E-3</v>
      </c>
      <c r="Q547" s="269">
        <v>2.6925029999999999</v>
      </c>
      <c r="R547" s="272">
        <f t="shared" si="26"/>
        <v>2.6925029999999997E-3</v>
      </c>
    </row>
    <row r="548" spans="2:18" ht="15" customHeight="1" x14ac:dyDescent="0.25">
      <c r="B548" s="114">
        <v>0.45954099999999998</v>
      </c>
      <c r="C548" s="269">
        <v>11.319229999999999</v>
      </c>
      <c r="D548" s="272">
        <f t="shared" si="24"/>
        <v>1.131923E-2</v>
      </c>
      <c r="I548" s="114">
        <v>6.2290419999999997E-3</v>
      </c>
      <c r="J548" s="269">
        <v>2.4482629999999999</v>
      </c>
      <c r="K548" s="272">
        <f t="shared" si="25"/>
        <v>2.448263E-3</v>
      </c>
      <c r="P548" s="114">
        <v>6.8519469999999997E-3</v>
      </c>
      <c r="Q548" s="269">
        <v>2.6930890000000001</v>
      </c>
      <c r="R548" s="272">
        <f t="shared" si="26"/>
        <v>2.6930890000000001E-3</v>
      </c>
    </row>
    <row r="549" spans="2:18" ht="15" customHeight="1" x14ac:dyDescent="0.25">
      <c r="B549" s="114">
        <v>0.46040809999999999</v>
      </c>
      <c r="C549" s="269">
        <v>11.340590000000001</v>
      </c>
      <c r="D549" s="272">
        <f t="shared" si="24"/>
        <v>1.1340590000000001E-2</v>
      </c>
      <c r="I549" s="114">
        <v>6.2407950000000004E-3</v>
      </c>
      <c r="J549" s="269">
        <v>2.4487939999999999</v>
      </c>
      <c r="K549" s="272">
        <f t="shared" si="25"/>
        <v>2.4487939999999998E-3</v>
      </c>
      <c r="P549" s="114">
        <v>6.8648750000000003E-3</v>
      </c>
      <c r="Q549" s="269">
        <v>2.693673</v>
      </c>
      <c r="R549" s="272">
        <f t="shared" si="26"/>
        <v>2.6936730000000002E-3</v>
      </c>
    </row>
    <row r="550" spans="2:18" ht="15" customHeight="1" x14ac:dyDescent="0.25">
      <c r="B550" s="114">
        <v>0.46127509999999999</v>
      </c>
      <c r="C550" s="269">
        <v>11.361940000000001</v>
      </c>
      <c r="D550" s="272">
        <f t="shared" si="24"/>
        <v>1.1361940000000001E-2</v>
      </c>
      <c r="I550" s="114">
        <v>6.2525480000000001E-3</v>
      </c>
      <c r="J550" s="269">
        <v>2.4493239999999998</v>
      </c>
      <c r="K550" s="272">
        <f t="shared" si="25"/>
        <v>2.4493239999999997E-3</v>
      </c>
      <c r="P550" s="114">
        <v>6.877803E-3</v>
      </c>
      <c r="Q550" s="269">
        <v>2.6942560000000002</v>
      </c>
      <c r="R550" s="272">
        <f t="shared" si="26"/>
        <v>2.6942560000000003E-3</v>
      </c>
    </row>
    <row r="551" spans="2:18" ht="15" customHeight="1" x14ac:dyDescent="0.25">
      <c r="B551" s="114">
        <v>0.4621422</v>
      </c>
      <c r="C551" s="269">
        <v>11.3833</v>
      </c>
      <c r="D551" s="272">
        <f t="shared" si="24"/>
        <v>1.1383300000000001E-2</v>
      </c>
      <c r="I551" s="114">
        <v>6.2643009999999999E-3</v>
      </c>
      <c r="J551" s="269">
        <v>2.4498519999999999</v>
      </c>
      <c r="K551" s="272">
        <f t="shared" si="25"/>
        <v>2.4498519999999998E-3</v>
      </c>
      <c r="P551" s="114">
        <v>6.8907309999999998E-3</v>
      </c>
      <c r="Q551" s="269">
        <v>2.6948370000000001</v>
      </c>
      <c r="R551" s="272">
        <f t="shared" si="26"/>
        <v>2.6948370000000003E-3</v>
      </c>
    </row>
    <row r="552" spans="2:18" ht="15" customHeight="1" x14ac:dyDescent="0.25">
      <c r="B552" s="114">
        <v>0.46300920000000001</v>
      </c>
      <c r="C552" s="269">
        <v>11.40466</v>
      </c>
      <c r="D552" s="272">
        <f t="shared" si="24"/>
        <v>1.140466E-2</v>
      </c>
      <c r="I552" s="114">
        <v>6.2760539999999997E-3</v>
      </c>
      <c r="J552" s="269">
        <v>2.4503789999999999</v>
      </c>
      <c r="K552" s="272">
        <f t="shared" si="25"/>
        <v>2.4503789999999999E-3</v>
      </c>
      <c r="P552" s="114">
        <v>6.9036590000000004E-3</v>
      </c>
      <c r="Q552" s="269">
        <v>2.695417</v>
      </c>
      <c r="R552" s="272">
        <f t="shared" si="26"/>
        <v>2.6954169999999999E-3</v>
      </c>
    </row>
    <row r="553" spans="2:18" ht="15" customHeight="1" x14ac:dyDescent="0.25">
      <c r="B553" s="114">
        <v>0.46387630000000002</v>
      </c>
      <c r="C553" s="269">
        <v>11.42601</v>
      </c>
      <c r="D553" s="272">
        <f t="shared" si="24"/>
        <v>1.142601E-2</v>
      </c>
      <c r="I553" s="114">
        <v>6.2878070000000003E-3</v>
      </c>
      <c r="J553" s="269">
        <v>2.450904</v>
      </c>
      <c r="K553" s="272">
        <f t="shared" si="25"/>
        <v>2.4509039999999998E-3</v>
      </c>
      <c r="P553" s="114">
        <v>6.9165880000000004E-3</v>
      </c>
      <c r="Q553" s="269">
        <v>2.6959949999999999</v>
      </c>
      <c r="R553" s="272">
        <f t="shared" si="26"/>
        <v>2.6959950000000001E-3</v>
      </c>
    </row>
    <row r="554" spans="2:18" ht="15" customHeight="1" x14ac:dyDescent="0.25">
      <c r="B554" s="114">
        <v>0.46474339999999997</v>
      </c>
      <c r="C554" s="269">
        <v>11.447369999999999</v>
      </c>
      <c r="D554" s="272">
        <f t="shared" si="24"/>
        <v>1.144737E-2</v>
      </c>
      <c r="I554" s="114">
        <v>6.2995600000000001E-3</v>
      </c>
      <c r="J554" s="269">
        <v>2.4514279999999999</v>
      </c>
      <c r="K554" s="272">
        <f t="shared" si="25"/>
        <v>2.4514279999999999E-3</v>
      </c>
      <c r="P554" s="114">
        <v>6.9295160000000001E-3</v>
      </c>
      <c r="Q554" s="269">
        <v>2.6965710000000001</v>
      </c>
      <c r="R554" s="272">
        <f t="shared" si="26"/>
        <v>2.696571E-3</v>
      </c>
    </row>
    <row r="555" spans="2:18" ht="15" customHeight="1" x14ac:dyDescent="0.25">
      <c r="B555" s="114">
        <v>0.46561039999999998</v>
      </c>
      <c r="C555" s="269">
        <v>11.468730000000001</v>
      </c>
      <c r="D555" s="272">
        <f t="shared" si="24"/>
        <v>1.146873E-2</v>
      </c>
      <c r="I555" s="114">
        <v>6.3113129999999998E-3</v>
      </c>
      <c r="J555" s="269">
        <v>2.4519510000000002</v>
      </c>
      <c r="K555" s="272">
        <f t="shared" si="25"/>
        <v>2.4519510000000004E-3</v>
      </c>
      <c r="P555" s="114">
        <v>6.9424439999999999E-3</v>
      </c>
      <c r="Q555" s="269">
        <v>2.697146</v>
      </c>
      <c r="R555" s="272">
        <f t="shared" si="26"/>
        <v>2.6971460000000001E-3</v>
      </c>
    </row>
    <row r="556" spans="2:18" ht="15" customHeight="1" x14ac:dyDescent="0.25">
      <c r="B556" s="114">
        <v>0.46647749999999999</v>
      </c>
      <c r="C556" s="269">
        <v>11.490080000000001</v>
      </c>
      <c r="D556" s="272">
        <f t="shared" si="24"/>
        <v>1.1490080000000001E-2</v>
      </c>
      <c r="I556" s="114">
        <v>6.3230659999999996E-3</v>
      </c>
      <c r="J556" s="269">
        <v>2.4524720000000002</v>
      </c>
      <c r="K556" s="272">
        <f t="shared" si="25"/>
        <v>2.4524720000000002E-3</v>
      </c>
      <c r="P556" s="114">
        <v>6.9553719999999996E-3</v>
      </c>
      <c r="Q556" s="269">
        <v>2.6977199999999999</v>
      </c>
      <c r="R556" s="272">
        <f t="shared" si="26"/>
        <v>2.6977199999999998E-3</v>
      </c>
    </row>
    <row r="557" spans="2:18" ht="15" customHeight="1" x14ac:dyDescent="0.25">
      <c r="B557" s="114">
        <v>0.4673445</v>
      </c>
      <c r="C557" s="269">
        <v>11.51144</v>
      </c>
      <c r="D557" s="272">
        <f t="shared" si="24"/>
        <v>1.151144E-2</v>
      </c>
      <c r="I557" s="114">
        <v>6.3348190000000002E-3</v>
      </c>
      <c r="J557" s="269">
        <v>2.4529920000000001</v>
      </c>
      <c r="K557" s="272">
        <f t="shared" si="25"/>
        <v>2.4529920000000002E-3</v>
      </c>
      <c r="P557" s="114">
        <v>6.9683000000000002E-3</v>
      </c>
      <c r="Q557" s="269">
        <v>2.6982910000000002</v>
      </c>
      <c r="R557" s="272">
        <f t="shared" si="26"/>
        <v>2.6982910000000002E-3</v>
      </c>
    </row>
    <row r="558" spans="2:18" ht="15" customHeight="1" x14ac:dyDescent="0.25">
      <c r="B558" s="114">
        <v>0.46821160000000001</v>
      </c>
      <c r="C558" s="269">
        <v>11.5328</v>
      </c>
      <c r="D558" s="272">
        <f t="shared" si="24"/>
        <v>1.1532799999999999E-2</v>
      </c>
      <c r="I558" s="114">
        <v>6.3465709999999996E-3</v>
      </c>
      <c r="J558" s="269">
        <v>2.4535110000000002</v>
      </c>
      <c r="K558" s="272">
        <f t="shared" si="25"/>
        <v>2.4535110000000002E-3</v>
      </c>
      <c r="P558" s="114">
        <v>6.9812290000000003E-3</v>
      </c>
      <c r="Q558" s="269">
        <v>2.6988620000000001</v>
      </c>
      <c r="R558" s="272">
        <f t="shared" si="26"/>
        <v>2.6988620000000002E-3</v>
      </c>
    </row>
    <row r="559" spans="2:18" ht="15" customHeight="1" x14ac:dyDescent="0.25">
      <c r="B559" s="114">
        <v>0.46907860000000001</v>
      </c>
      <c r="C559" s="269">
        <v>11.55416</v>
      </c>
      <c r="D559" s="272">
        <f t="shared" si="24"/>
        <v>1.1554159999999999E-2</v>
      </c>
      <c r="I559" s="114">
        <v>6.3583240000000003E-3</v>
      </c>
      <c r="J559" s="269">
        <v>2.4540280000000001</v>
      </c>
      <c r="K559" s="272">
        <f t="shared" si="25"/>
        <v>2.454028E-3</v>
      </c>
      <c r="P559" s="114">
        <v>6.994157E-3</v>
      </c>
      <c r="Q559" s="269">
        <v>2.6994310000000001</v>
      </c>
      <c r="R559" s="272">
        <f t="shared" si="26"/>
        <v>2.699431E-3</v>
      </c>
    </row>
    <row r="560" spans="2:18" ht="15" customHeight="1" x14ac:dyDescent="0.25">
      <c r="B560" s="114">
        <v>0.46994570000000002</v>
      </c>
      <c r="C560" s="269">
        <v>11.57551</v>
      </c>
      <c r="D560" s="272">
        <f t="shared" si="24"/>
        <v>1.1575509999999999E-2</v>
      </c>
      <c r="I560" s="114">
        <v>6.370077E-3</v>
      </c>
      <c r="J560" s="269">
        <v>2.4545439999999998</v>
      </c>
      <c r="K560" s="272">
        <f t="shared" si="25"/>
        <v>2.4545439999999999E-3</v>
      </c>
      <c r="P560" s="114">
        <v>7.0070849999999997E-3</v>
      </c>
      <c r="Q560" s="269">
        <v>2.699999</v>
      </c>
      <c r="R560" s="272">
        <f t="shared" si="26"/>
        <v>2.6999990000000002E-3</v>
      </c>
    </row>
    <row r="561" spans="2:18" ht="15" customHeight="1" x14ac:dyDescent="0.25">
      <c r="B561" s="114">
        <v>0.47081279999999998</v>
      </c>
      <c r="C561" s="269">
        <v>11.596869999999999</v>
      </c>
      <c r="D561" s="272">
        <f t="shared" si="24"/>
        <v>1.1596869999999999E-2</v>
      </c>
      <c r="I561" s="114">
        <v>6.3818299999999998E-3</v>
      </c>
      <c r="J561" s="269">
        <v>2.4550589999999999</v>
      </c>
      <c r="K561" s="272">
        <f t="shared" si="25"/>
        <v>2.4550589999999999E-3</v>
      </c>
      <c r="P561" s="114">
        <v>7.0200130000000003E-3</v>
      </c>
      <c r="Q561" s="269">
        <v>2.7005650000000001</v>
      </c>
      <c r="R561" s="272">
        <f t="shared" si="26"/>
        <v>2.7005650000000003E-3</v>
      </c>
    </row>
    <row r="562" spans="2:18" ht="15" customHeight="1" x14ac:dyDescent="0.25">
      <c r="B562" s="114">
        <v>0.47167979999999998</v>
      </c>
      <c r="C562" s="269">
        <v>11.618230000000001</v>
      </c>
      <c r="D562" s="272">
        <f t="shared" si="24"/>
        <v>1.161823E-2</v>
      </c>
      <c r="I562" s="114">
        <v>6.3935830000000004E-3</v>
      </c>
      <c r="J562" s="269">
        <v>2.4555720000000001</v>
      </c>
      <c r="K562" s="272">
        <f t="shared" si="25"/>
        <v>2.455572E-3</v>
      </c>
      <c r="P562" s="114">
        <v>7.032941E-3</v>
      </c>
      <c r="Q562" s="269">
        <v>2.7011289999999999</v>
      </c>
      <c r="R562" s="272">
        <f t="shared" si="26"/>
        <v>2.701129E-3</v>
      </c>
    </row>
    <row r="563" spans="2:18" ht="15" customHeight="1" x14ac:dyDescent="0.25">
      <c r="B563" s="114">
        <v>0.47254689999999999</v>
      </c>
      <c r="C563" s="269">
        <v>11.63958</v>
      </c>
      <c r="D563" s="272">
        <f t="shared" si="24"/>
        <v>1.163958E-2</v>
      </c>
      <c r="I563" s="114">
        <v>6.4053360000000002E-3</v>
      </c>
      <c r="J563" s="269">
        <v>2.4560840000000002</v>
      </c>
      <c r="K563" s="272">
        <f t="shared" si="25"/>
        <v>2.4560840000000003E-3</v>
      </c>
      <c r="P563" s="114">
        <v>7.0458700000000001E-3</v>
      </c>
      <c r="Q563" s="269">
        <v>2.7016930000000001</v>
      </c>
      <c r="R563" s="272">
        <f t="shared" si="26"/>
        <v>2.7016930000000002E-3</v>
      </c>
    </row>
    <row r="564" spans="2:18" ht="15" customHeight="1" x14ac:dyDescent="0.25">
      <c r="B564" s="114">
        <v>0.4734139</v>
      </c>
      <c r="C564" s="269">
        <v>11.66094</v>
      </c>
      <c r="D564" s="272">
        <f t="shared" si="24"/>
        <v>1.166094E-2</v>
      </c>
      <c r="I564" s="114">
        <v>6.417089E-3</v>
      </c>
      <c r="J564" s="269">
        <v>2.4565950000000001</v>
      </c>
      <c r="K564" s="272">
        <f t="shared" si="25"/>
        <v>2.4565950000000002E-3</v>
      </c>
      <c r="P564" s="114">
        <v>7.0587979999999998E-3</v>
      </c>
      <c r="Q564" s="269">
        <v>2.7022550000000001</v>
      </c>
      <c r="R564" s="272">
        <f t="shared" si="26"/>
        <v>2.7022550000000002E-3</v>
      </c>
    </row>
    <row r="565" spans="2:18" ht="15" customHeight="1" x14ac:dyDescent="0.25">
      <c r="B565" s="114">
        <v>0.47428100000000001</v>
      </c>
      <c r="C565" s="269">
        <v>11.6823</v>
      </c>
      <c r="D565" s="272">
        <f t="shared" si="24"/>
        <v>1.16823E-2</v>
      </c>
      <c r="I565" s="114">
        <v>6.4288419999999997E-3</v>
      </c>
      <c r="J565" s="269">
        <v>2.4571049999999999</v>
      </c>
      <c r="K565" s="272">
        <f t="shared" si="25"/>
        <v>2.4571049999999998E-3</v>
      </c>
      <c r="P565" s="114">
        <v>7.0717260000000004E-3</v>
      </c>
      <c r="Q565" s="269">
        <v>2.7028150000000002</v>
      </c>
      <c r="R565" s="272">
        <f t="shared" si="26"/>
        <v>2.7028150000000003E-3</v>
      </c>
    </row>
    <row r="566" spans="2:18" ht="15" customHeight="1" x14ac:dyDescent="0.25">
      <c r="B566" s="114">
        <v>0.47514810000000002</v>
      </c>
      <c r="C566" s="269">
        <v>11.70365</v>
      </c>
      <c r="D566" s="272">
        <f t="shared" si="24"/>
        <v>1.1703649999999999E-2</v>
      </c>
      <c r="I566" s="114">
        <v>6.4405950000000003E-3</v>
      </c>
      <c r="J566" s="269">
        <v>2.4576129999999998</v>
      </c>
      <c r="K566" s="272">
        <f t="shared" si="25"/>
        <v>2.457613E-3</v>
      </c>
      <c r="P566" s="114">
        <v>7.0846540000000001E-3</v>
      </c>
      <c r="Q566" s="269">
        <v>2.7033740000000002</v>
      </c>
      <c r="R566" s="272">
        <f t="shared" si="26"/>
        <v>2.7033740000000001E-3</v>
      </c>
    </row>
    <row r="567" spans="2:18" ht="15" customHeight="1" x14ac:dyDescent="0.25">
      <c r="B567" s="114">
        <v>0.47601510000000002</v>
      </c>
      <c r="C567" s="269">
        <v>11.725009999999999</v>
      </c>
      <c r="D567" s="272">
        <f t="shared" si="24"/>
        <v>1.1725009999999999E-2</v>
      </c>
      <c r="I567" s="114">
        <v>6.4523480000000001E-3</v>
      </c>
      <c r="J567" s="269">
        <v>2.4581200000000001</v>
      </c>
      <c r="K567" s="272">
        <f t="shared" si="25"/>
        <v>2.4581200000000003E-3</v>
      </c>
      <c r="P567" s="114">
        <v>7.0975819999999998E-3</v>
      </c>
      <c r="Q567" s="269">
        <v>2.703932</v>
      </c>
      <c r="R567" s="272">
        <f t="shared" si="26"/>
        <v>2.703932E-3</v>
      </c>
    </row>
    <row r="568" spans="2:18" ht="15" customHeight="1" x14ac:dyDescent="0.25">
      <c r="B568" s="114">
        <v>0.47688219999999998</v>
      </c>
      <c r="C568" s="269">
        <v>11.746370000000001</v>
      </c>
      <c r="D568" s="272">
        <f t="shared" si="24"/>
        <v>1.1746370000000001E-2</v>
      </c>
      <c r="I568" s="114">
        <v>6.4641009999999999E-3</v>
      </c>
      <c r="J568" s="269">
        <v>2.4586260000000002</v>
      </c>
      <c r="K568" s="272">
        <f t="shared" si="25"/>
        <v>2.4586260000000002E-3</v>
      </c>
      <c r="P568" s="114">
        <v>7.1105109999999999E-3</v>
      </c>
      <c r="Q568" s="269">
        <v>2.704488</v>
      </c>
      <c r="R568" s="272">
        <f t="shared" si="26"/>
        <v>2.7044880000000001E-3</v>
      </c>
    </row>
    <row r="569" spans="2:18" ht="15" customHeight="1" x14ac:dyDescent="0.25">
      <c r="B569" s="114">
        <v>0.47774919999999998</v>
      </c>
      <c r="C569" s="269">
        <v>11.76773</v>
      </c>
      <c r="D569" s="272">
        <f t="shared" si="24"/>
        <v>1.1767730000000001E-2</v>
      </c>
      <c r="I569" s="114">
        <v>6.4758530000000002E-3</v>
      </c>
      <c r="J569" s="269">
        <v>2.45913</v>
      </c>
      <c r="K569" s="272">
        <f t="shared" si="25"/>
        <v>2.4591299999999999E-3</v>
      </c>
      <c r="P569" s="114">
        <v>7.1234389999999996E-3</v>
      </c>
      <c r="Q569" s="269">
        <v>2.7050429999999999</v>
      </c>
      <c r="R569" s="272">
        <f t="shared" si="26"/>
        <v>2.7050429999999999E-3</v>
      </c>
    </row>
    <row r="570" spans="2:18" ht="15" customHeight="1" x14ac:dyDescent="0.25">
      <c r="B570" s="114">
        <v>0.47861629999999999</v>
      </c>
      <c r="C570" s="269">
        <v>11.78908</v>
      </c>
      <c r="D570" s="272">
        <f t="shared" si="24"/>
        <v>1.178908E-2</v>
      </c>
      <c r="I570" s="114">
        <v>6.4876059999999999E-3</v>
      </c>
      <c r="J570" s="269">
        <v>2.4596330000000002</v>
      </c>
      <c r="K570" s="272">
        <f t="shared" si="25"/>
        <v>2.4596330000000001E-3</v>
      </c>
      <c r="P570" s="114">
        <v>7.1363670000000002E-3</v>
      </c>
      <c r="Q570" s="269">
        <v>2.705597</v>
      </c>
      <c r="R570" s="272">
        <f t="shared" si="26"/>
        <v>2.7055970000000001E-3</v>
      </c>
    </row>
    <row r="571" spans="2:18" ht="15" customHeight="1" x14ac:dyDescent="0.25">
      <c r="B571" s="114">
        <v>0.4794833</v>
      </c>
      <c r="C571" s="269">
        <v>11.81044</v>
      </c>
      <c r="D571" s="272">
        <f t="shared" si="24"/>
        <v>1.181044E-2</v>
      </c>
      <c r="I571" s="114">
        <v>6.4993589999999997E-3</v>
      </c>
      <c r="J571" s="269">
        <v>2.4601359999999999</v>
      </c>
      <c r="K571" s="272">
        <f t="shared" si="25"/>
        <v>2.4601359999999999E-3</v>
      </c>
      <c r="P571" s="114">
        <v>7.149295E-3</v>
      </c>
      <c r="Q571" s="269">
        <v>2.7061489999999999</v>
      </c>
      <c r="R571" s="272">
        <f t="shared" si="26"/>
        <v>2.7061489999999997E-3</v>
      </c>
    </row>
    <row r="572" spans="2:18" ht="15" customHeight="1" x14ac:dyDescent="0.25">
      <c r="B572" s="114">
        <v>0.48035040000000001</v>
      </c>
      <c r="C572" s="269">
        <v>11.831799999999999</v>
      </c>
      <c r="D572" s="272">
        <f t="shared" si="24"/>
        <v>1.18318E-2</v>
      </c>
      <c r="I572" s="114">
        <v>6.5111120000000003E-3</v>
      </c>
      <c r="J572" s="269">
        <v>2.460636</v>
      </c>
      <c r="K572" s="272">
        <f t="shared" si="25"/>
        <v>2.460636E-3</v>
      </c>
      <c r="P572" s="114">
        <v>7.1622229999999997E-3</v>
      </c>
      <c r="Q572" s="269">
        <v>2.7067000000000001</v>
      </c>
      <c r="R572" s="272">
        <f t="shared" si="26"/>
        <v>2.7067000000000003E-3</v>
      </c>
    </row>
    <row r="573" spans="2:18" ht="15" customHeight="1" x14ac:dyDescent="0.25">
      <c r="B573" s="114">
        <v>0.48121750000000002</v>
      </c>
      <c r="C573" s="269">
        <v>11.853149999999999</v>
      </c>
      <c r="D573" s="272">
        <f t="shared" si="24"/>
        <v>1.185315E-2</v>
      </c>
      <c r="I573" s="114">
        <v>6.5228650000000001E-3</v>
      </c>
      <c r="J573" s="269">
        <v>2.4611360000000002</v>
      </c>
      <c r="K573" s="272">
        <f t="shared" si="25"/>
        <v>2.4611360000000001E-3</v>
      </c>
      <c r="P573" s="114">
        <v>7.1751519999999997E-3</v>
      </c>
      <c r="Q573" s="269">
        <v>2.7072500000000002</v>
      </c>
      <c r="R573" s="272">
        <f t="shared" si="26"/>
        <v>2.70725E-3</v>
      </c>
    </row>
    <row r="574" spans="2:18" ht="15" customHeight="1" x14ac:dyDescent="0.25">
      <c r="B574" s="114">
        <v>0.48208450000000003</v>
      </c>
      <c r="C574" s="269">
        <v>11.874510000000001</v>
      </c>
      <c r="D574" s="272">
        <f t="shared" si="24"/>
        <v>1.1874510000000001E-2</v>
      </c>
      <c r="I574" s="114">
        <v>6.5346179999999999E-3</v>
      </c>
      <c r="J574" s="269">
        <v>2.4616349999999998</v>
      </c>
      <c r="K574" s="272">
        <f t="shared" si="25"/>
        <v>2.4616349999999998E-3</v>
      </c>
      <c r="P574" s="114">
        <v>7.1880800000000003E-3</v>
      </c>
      <c r="Q574" s="269">
        <v>2.7077979999999999</v>
      </c>
      <c r="R574" s="272">
        <f t="shared" si="26"/>
        <v>2.707798E-3</v>
      </c>
    </row>
    <row r="575" spans="2:18" ht="15" customHeight="1" x14ac:dyDescent="0.25">
      <c r="B575" s="114">
        <v>0.48295159999999998</v>
      </c>
      <c r="C575" s="269">
        <v>11.89587</v>
      </c>
      <c r="D575" s="272">
        <f t="shared" si="24"/>
        <v>1.1895870000000001E-2</v>
      </c>
      <c r="I575" s="114">
        <v>6.5463709999999996E-3</v>
      </c>
      <c r="J575" s="269">
        <v>2.462132</v>
      </c>
      <c r="K575" s="272">
        <f t="shared" si="25"/>
        <v>2.4621320000000001E-3</v>
      </c>
      <c r="P575" s="114">
        <v>7.2010080000000001E-3</v>
      </c>
      <c r="Q575" s="269">
        <v>2.708345</v>
      </c>
      <c r="R575" s="272">
        <f t="shared" si="26"/>
        <v>2.708345E-3</v>
      </c>
    </row>
    <row r="576" spans="2:18" ht="15" customHeight="1" x14ac:dyDescent="0.25">
      <c r="B576" s="114">
        <v>0.48381859999999999</v>
      </c>
      <c r="C576" s="269">
        <v>11.91723</v>
      </c>
      <c r="D576" s="272">
        <f t="shared" si="24"/>
        <v>1.1917229999999999E-2</v>
      </c>
      <c r="I576" s="114">
        <v>6.5581240000000002E-3</v>
      </c>
      <c r="J576" s="269">
        <v>2.462628</v>
      </c>
      <c r="K576" s="272">
        <f t="shared" si="25"/>
        <v>2.4626280000000001E-3</v>
      </c>
      <c r="P576" s="114">
        <v>7.2139359999999998E-3</v>
      </c>
      <c r="Q576" s="269">
        <v>2.7088909999999999</v>
      </c>
      <c r="R576" s="272">
        <f t="shared" si="26"/>
        <v>2.7088909999999997E-3</v>
      </c>
    </row>
    <row r="577" spans="2:18" ht="15" customHeight="1" x14ac:dyDescent="0.25">
      <c r="B577" s="114">
        <v>0.4846857</v>
      </c>
      <c r="C577" s="269">
        <v>11.93858</v>
      </c>
      <c r="D577" s="272">
        <f t="shared" si="24"/>
        <v>1.1938580000000001E-2</v>
      </c>
      <c r="I577" s="114">
        <v>6.569877E-3</v>
      </c>
      <c r="J577" s="269">
        <v>2.463123</v>
      </c>
      <c r="K577" s="272">
        <f t="shared" si="25"/>
        <v>2.4631229999999998E-3</v>
      </c>
      <c r="P577" s="114">
        <v>7.2268640000000004E-3</v>
      </c>
      <c r="Q577" s="269">
        <v>2.7094360000000002</v>
      </c>
      <c r="R577" s="272">
        <f t="shared" si="26"/>
        <v>2.709436E-3</v>
      </c>
    </row>
    <row r="578" spans="2:18" ht="15" customHeight="1" x14ac:dyDescent="0.25">
      <c r="B578" s="114">
        <v>0.48555280000000001</v>
      </c>
      <c r="C578" s="269">
        <v>11.95994</v>
      </c>
      <c r="D578" s="272">
        <f t="shared" si="24"/>
        <v>1.1959939999999999E-2</v>
      </c>
      <c r="I578" s="114">
        <v>6.5816299999999998E-3</v>
      </c>
      <c r="J578" s="269">
        <v>2.4636170000000002</v>
      </c>
      <c r="K578" s="272">
        <f t="shared" si="25"/>
        <v>2.463617E-3</v>
      </c>
      <c r="P578" s="114">
        <v>7.2397929999999996E-3</v>
      </c>
      <c r="Q578" s="269">
        <v>2.7099790000000001</v>
      </c>
      <c r="R578" s="272">
        <f t="shared" si="26"/>
        <v>2.7099789999999999E-3</v>
      </c>
    </row>
    <row r="579" spans="2:18" ht="15" customHeight="1" x14ac:dyDescent="0.25">
      <c r="B579" s="114">
        <v>0.48641980000000001</v>
      </c>
      <c r="C579" s="269">
        <v>11.981299999999999</v>
      </c>
      <c r="D579" s="272">
        <f t="shared" si="24"/>
        <v>1.1981299999999999E-2</v>
      </c>
      <c r="I579" s="114">
        <v>6.5933830000000004E-3</v>
      </c>
      <c r="J579" s="269">
        <v>2.4641099999999998</v>
      </c>
      <c r="K579" s="272">
        <f t="shared" si="25"/>
        <v>2.4641099999999998E-3</v>
      </c>
      <c r="P579" s="114">
        <v>7.2527210000000002E-3</v>
      </c>
      <c r="Q579" s="269">
        <v>2.710521</v>
      </c>
      <c r="R579" s="272">
        <f t="shared" si="26"/>
        <v>2.710521E-3</v>
      </c>
    </row>
    <row r="580" spans="2:18" ht="15" customHeight="1" x14ac:dyDescent="0.25">
      <c r="B580" s="114">
        <v>0.48728690000000002</v>
      </c>
      <c r="C580" s="269">
        <v>12.002649999999999</v>
      </c>
      <c r="D580" s="272">
        <f t="shared" si="24"/>
        <v>1.2002649999999998E-2</v>
      </c>
      <c r="I580" s="114">
        <v>6.6051349999999998E-3</v>
      </c>
      <c r="J580" s="269">
        <v>2.464601</v>
      </c>
      <c r="K580" s="272">
        <f t="shared" si="25"/>
        <v>2.4646009999999999E-3</v>
      </c>
      <c r="P580" s="114">
        <v>7.2656489999999999E-3</v>
      </c>
      <c r="Q580" s="269">
        <v>2.7110620000000001</v>
      </c>
      <c r="R580" s="272">
        <f t="shared" si="26"/>
        <v>2.7110620000000002E-3</v>
      </c>
    </row>
    <row r="581" spans="2:18" ht="15" customHeight="1" x14ac:dyDescent="0.25">
      <c r="B581" s="114">
        <v>0.48815389999999997</v>
      </c>
      <c r="C581" s="269">
        <v>12.024010000000001</v>
      </c>
      <c r="D581" s="272">
        <f t="shared" si="24"/>
        <v>1.202401E-2</v>
      </c>
      <c r="I581" s="114">
        <v>6.6168879999999996E-3</v>
      </c>
      <c r="J581" s="269">
        <v>2.4650919999999998</v>
      </c>
      <c r="K581" s="272">
        <f t="shared" si="25"/>
        <v>2.4650919999999999E-3</v>
      </c>
      <c r="P581" s="114">
        <v>7.2785769999999996E-3</v>
      </c>
      <c r="Q581" s="269">
        <v>2.7116009999999999</v>
      </c>
      <c r="R581" s="272">
        <f t="shared" si="26"/>
        <v>2.7116010000000001E-3</v>
      </c>
    </row>
    <row r="582" spans="2:18" ht="15" customHeight="1" x14ac:dyDescent="0.25">
      <c r="B582" s="114">
        <v>0.48902099999999998</v>
      </c>
      <c r="C582" s="269">
        <v>12.04537</v>
      </c>
      <c r="D582" s="272">
        <f t="shared" si="24"/>
        <v>1.204537E-2</v>
      </c>
      <c r="I582" s="114">
        <v>6.6286410000000002E-3</v>
      </c>
      <c r="J582" s="269">
        <v>2.4655809999999998</v>
      </c>
      <c r="K582" s="272">
        <f t="shared" si="25"/>
        <v>2.4655809999999997E-3</v>
      </c>
      <c r="P582" s="114">
        <v>7.2915050000000002E-3</v>
      </c>
      <c r="Q582" s="269">
        <v>2.7121390000000001</v>
      </c>
      <c r="R582" s="272">
        <f t="shared" si="26"/>
        <v>2.7121390000000001E-3</v>
      </c>
    </row>
    <row r="583" spans="2:18" ht="15" customHeight="1" x14ac:dyDescent="0.25">
      <c r="B583" s="114">
        <v>0.48988809999999999</v>
      </c>
      <c r="C583" s="269">
        <v>12.06672</v>
      </c>
      <c r="D583" s="272">
        <f t="shared" si="24"/>
        <v>1.206672E-2</v>
      </c>
      <c r="I583" s="114">
        <v>6.640394E-3</v>
      </c>
      <c r="J583" s="269">
        <v>2.4660690000000001</v>
      </c>
      <c r="K583" s="272">
        <f t="shared" si="25"/>
        <v>2.466069E-3</v>
      </c>
      <c r="P583" s="114">
        <v>7.3044340000000003E-3</v>
      </c>
      <c r="Q583" s="269">
        <v>2.7126760000000001</v>
      </c>
      <c r="R583" s="272">
        <f t="shared" si="26"/>
        <v>2.7126760000000002E-3</v>
      </c>
    </row>
    <row r="584" spans="2:18" ht="15" customHeight="1" x14ac:dyDescent="0.25">
      <c r="B584" s="114">
        <v>0.4907551</v>
      </c>
      <c r="C584" s="269">
        <v>12.08808</v>
      </c>
      <c r="D584" s="272">
        <f t="shared" si="24"/>
        <v>1.2088079999999999E-2</v>
      </c>
      <c r="I584" s="114">
        <v>6.6521469999999997E-3</v>
      </c>
      <c r="J584" s="269">
        <v>2.4665569999999999</v>
      </c>
      <c r="K584" s="272">
        <f t="shared" si="25"/>
        <v>2.4665569999999999E-3</v>
      </c>
      <c r="P584" s="114">
        <v>7.317362E-3</v>
      </c>
      <c r="Q584" s="269">
        <v>2.713212</v>
      </c>
      <c r="R584" s="272">
        <f t="shared" si="26"/>
        <v>2.713212E-3</v>
      </c>
    </row>
    <row r="585" spans="2:18" ht="15" customHeight="1" x14ac:dyDescent="0.25">
      <c r="B585" s="114">
        <v>0.49162220000000001</v>
      </c>
      <c r="C585" s="269">
        <v>12.109439999999999</v>
      </c>
      <c r="D585" s="272">
        <f t="shared" si="24"/>
        <v>1.2109439999999999E-2</v>
      </c>
      <c r="I585" s="114">
        <v>6.6639000000000004E-3</v>
      </c>
      <c r="J585" s="269">
        <v>2.4670429999999999</v>
      </c>
      <c r="K585" s="272">
        <f t="shared" si="25"/>
        <v>2.4670429999999999E-3</v>
      </c>
      <c r="P585" s="114">
        <v>7.3302899999999997E-3</v>
      </c>
      <c r="Q585" s="269">
        <v>2.7137470000000001</v>
      </c>
      <c r="R585" s="272">
        <f t="shared" si="26"/>
        <v>2.7137470000000003E-3</v>
      </c>
    </row>
    <row r="586" spans="2:18" ht="15" customHeight="1" x14ac:dyDescent="0.25">
      <c r="B586" s="114">
        <v>0.49248920000000002</v>
      </c>
      <c r="C586" s="269">
        <v>12.130800000000001</v>
      </c>
      <c r="D586" s="272">
        <f t="shared" si="24"/>
        <v>1.2130800000000001E-2</v>
      </c>
      <c r="I586" s="114">
        <v>6.6756530000000001E-3</v>
      </c>
      <c r="J586" s="269">
        <v>2.4675280000000002</v>
      </c>
      <c r="K586" s="272">
        <f t="shared" si="25"/>
        <v>2.4675280000000001E-3</v>
      </c>
      <c r="P586" s="114">
        <v>7.3432180000000003E-3</v>
      </c>
      <c r="Q586" s="269">
        <v>2.71428</v>
      </c>
      <c r="R586" s="272">
        <f t="shared" si="26"/>
        <v>2.7142799999999999E-3</v>
      </c>
    </row>
    <row r="587" spans="2:18" ht="15" customHeight="1" x14ac:dyDescent="0.25">
      <c r="B587" s="114">
        <v>0.49335630000000003</v>
      </c>
      <c r="C587" s="269">
        <v>12.152150000000001</v>
      </c>
      <c r="D587" s="272">
        <f t="shared" si="24"/>
        <v>1.215215E-2</v>
      </c>
      <c r="I587" s="114">
        <v>6.6874059999999999E-3</v>
      </c>
      <c r="J587" s="269">
        <v>2.4680110000000002</v>
      </c>
      <c r="K587" s="272">
        <f t="shared" si="25"/>
        <v>2.468011E-3</v>
      </c>
      <c r="P587" s="114">
        <v>7.356146E-3</v>
      </c>
      <c r="Q587" s="269">
        <v>2.7148129999999999</v>
      </c>
      <c r="R587" s="272">
        <f t="shared" si="26"/>
        <v>2.7148129999999999E-3</v>
      </c>
    </row>
    <row r="588" spans="2:18" ht="15" customHeight="1" x14ac:dyDescent="0.25">
      <c r="B588" s="114">
        <v>0.49422329999999998</v>
      </c>
      <c r="C588" s="269">
        <v>12.17351</v>
      </c>
      <c r="D588" s="272">
        <f t="shared" si="24"/>
        <v>1.217351E-2</v>
      </c>
      <c r="I588" s="114">
        <v>6.6991589999999997E-3</v>
      </c>
      <c r="J588" s="269">
        <v>2.4684940000000002</v>
      </c>
      <c r="K588" s="272">
        <f t="shared" si="25"/>
        <v>2.4684940000000003E-3</v>
      </c>
      <c r="P588" s="114">
        <v>7.3690750000000001E-3</v>
      </c>
      <c r="Q588" s="269">
        <v>2.715344</v>
      </c>
      <c r="R588" s="272">
        <f t="shared" si="26"/>
        <v>2.7153440000000002E-3</v>
      </c>
    </row>
    <row r="589" spans="2:18" ht="15" customHeight="1" x14ac:dyDescent="0.25">
      <c r="B589" s="114">
        <v>0.49509039999999999</v>
      </c>
      <c r="C589" s="269">
        <v>12.19487</v>
      </c>
      <c r="D589" s="272">
        <f t="shared" si="24"/>
        <v>1.219487E-2</v>
      </c>
      <c r="I589" s="114">
        <v>6.7109120000000003E-3</v>
      </c>
      <c r="J589" s="269">
        <v>2.4689760000000001</v>
      </c>
      <c r="K589" s="272">
        <f t="shared" si="25"/>
        <v>2.4689759999999999E-3</v>
      </c>
      <c r="P589" s="114">
        <v>7.3820029999999998E-3</v>
      </c>
      <c r="Q589" s="269">
        <v>2.7158739999999999</v>
      </c>
      <c r="R589" s="272">
        <f t="shared" si="26"/>
        <v>2.7158740000000001E-3</v>
      </c>
    </row>
    <row r="590" spans="2:18" ht="15" customHeight="1" x14ac:dyDescent="0.25">
      <c r="B590" s="114">
        <v>0.4959575</v>
      </c>
      <c r="C590" s="269">
        <v>12.21622</v>
      </c>
      <c r="D590" s="272">
        <f t="shared" si="24"/>
        <v>1.221622E-2</v>
      </c>
      <c r="I590" s="114">
        <v>6.7226650000000001E-3</v>
      </c>
      <c r="J590" s="269">
        <v>2.4694569999999998</v>
      </c>
      <c r="K590" s="272">
        <f t="shared" si="25"/>
        <v>2.469457E-3</v>
      </c>
      <c r="P590" s="114">
        <v>7.3949310000000004E-3</v>
      </c>
      <c r="Q590" s="269">
        <v>2.716402</v>
      </c>
      <c r="R590" s="272">
        <f t="shared" si="26"/>
        <v>2.7164020000000001E-3</v>
      </c>
    </row>
    <row r="591" spans="2:18" ht="15" customHeight="1" x14ac:dyDescent="0.25">
      <c r="B591" s="114">
        <v>0.4968245</v>
      </c>
      <c r="C591" s="269">
        <v>12.237579999999999</v>
      </c>
      <c r="D591" s="272">
        <f t="shared" si="24"/>
        <v>1.223758E-2</v>
      </c>
      <c r="I591" s="114">
        <v>6.7344170000000004E-3</v>
      </c>
      <c r="J591" s="269">
        <v>2.4699360000000001</v>
      </c>
      <c r="K591" s="272">
        <f t="shared" si="25"/>
        <v>2.4699360000000003E-3</v>
      </c>
      <c r="P591" s="114">
        <v>7.4078590000000001E-3</v>
      </c>
      <c r="Q591" s="269">
        <v>2.7169300000000001</v>
      </c>
      <c r="R591" s="272">
        <f t="shared" si="26"/>
        <v>2.7169300000000002E-3</v>
      </c>
    </row>
    <row r="592" spans="2:18" ht="15" customHeight="1" x14ac:dyDescent="0.25">
      <c r="B592" s="114">
        <v>0.49769160000000001</v>
      </c>
      <c r="C592" s="269">
        <v>12.258940000000001</v>
      </c>
      <c r="D592" s="272">
        <f t="shared" si="24"/>
        <v>1.2258940000000001E-2</v>
      </c>
      <c r="I592" s="114">
        <v>6.7461700000000001E-3</v>
      </c>
      <c r="J592" s="269">
        <v>2.470415</v>
      </c>
      <c r="K592" s="272">
        <f t="shared" si="25"/>
        <v>2.4704150000000001E-3</v>
      </c>
      <c r="P592" s="114">
        <v>7.4207869999999999E-3</v>
      </c>
      <c r="Q592" s="269">
        <v>2.717457</v>
      </c>
      <c r="R592" s="272">
        <f t="shared" si="26"/>
        <v>2.7174569999999999E-3</v>
      </c>
    </row>
    <row r="593" spans="2:18" ht="15" customHeight="1" x14ac:dyDescent="0.25">
      <c r="B593" s="114">
        <v>0.49855860000000002</v>
      </c>
      <c r="C593" s="269">
        <v>12.280290000000001</v>
      </c>
      <c r="D593" s="272">
        <f t="shared" si="24"/>
        <v>1.2280290000000001E-2</v>
      </c>
      <c r="I593" s="114">
        <v>6.7579229999999999E-3</v>
      </c>
      <c r="J593" s="269">
        <v>2.4708929999999998</v>
      </c>
      <c r="K593" s="272">
        <f t="shared" si="25"/>
        <v>2.4708929999999996E-3</v>
      </c>
      <c r="P593" s="114">
        <v>7.4337159999999999E-3</v>
      </c>
      <c r="Q593" s="269">
        <v>2.7179820000000001</v>
      </c>
      <c r="R593" s="272">
        <f t="shared" si="26"/>
        <v>2.7179820000000003E-3</v>
      </c>
    </row>
    <row r="594" spans="2:18" ht="15" customHeight="1" x14ac:dyDescent="0.25">
      <c r="B594" s="114">
        <v>0.49942569999999997</v>
      </c>
      <c r="C594" s="269">
        <v>12.30165</v>
      </c>
      <c r="D594" s="272">
        <f t="shared" ref="D594:D657" si="27">C594/1000</f>
        <v>1.2301650000000001E-2</v>
      </c>
      <c r="I594" s="114">
        <v>6.7696759999999996E-3</v>
      </c>
      <c r="J594" s="269">
        <v>2.4713690000000001</v>
      </c>
      <c r="K594" s="272">
        <f t="shared" ref="K594:K657" si="28">J594/1000</f>
        <v>2.4713690000000002E-3</v>
      </c>
      <c r="P594" s="114">
        <v>7.4466439999999997E-3</v>
      </c>
      <c r="Q594" s="269">
        <v>2.7185060000000001</v>
      </c>
      <c r="R594" s="272">
        <f t="shared" ref="R594:R657" si="29">Q594/1000</f>
        <v>2.7185059999999999E-3</v>
      </c>
    </row>
    <row r="595" spans="2:18" ht="15" customHeight="1" x14ac:dyDescent="0.25">
      <c r="B595" s="114">
        <v>0.50029279999999998</v>
      </c>
      <c r="C595" s="269">
        <v>12.32301</v>
      </c>
      <c r="D595" s="272">
        <f t="shared" si="27"/>
        <v>1.2323010000000001E-2</v>
      </c>
      <c r="I595" s="114">
        <v>6.7814290000000003E-3</v>
      </c>
      <c r="J595" s="269">
        <v>2.4718450000000001</v>
      </c>
      <c r="K595" s="272">
        <f t="shared" si="28"/>
        <v>2.4718449999999999E-3</v>
      </c>
      <c r="P595" s="114">
        <v>7.4595720000000003E-3</v>
      </c>
      <c r="Q595" s="269">
        <v>2.7190289999999999</v>
      </c>
      <c r="R595" s="272">
        <f t="shared" si="29"/>
        <v>2.719029E-3</v>
      </c>
    </row>
    <row r="596" spans="2:18" ht="15" customHeight="1" x14ac:dyDescent="0.25">
      <c r="B596" s="114">
        <v>0.50115980000000004</v>
      </c>
      <c r="C596" s="269">
        <v>12.34437</v>
      </c>
      <c r="D596" s="272">
        <f t="shared" si="27"/>
        <v>1.234437E-2</v>
      </c>
      <c r="I596" s="114">
        <v>6.793182E-3</v>
      </c>
      <c r="J596" s="269">
        <v>2.4723190000000002</v>
      </c>
      <c r="K596" s="272">
        <f t="shared" si="28"/>
        <v>2.4723190000000002E-3</v>
      </c>
      <c r="P596" s="114">
        <v>7.4725E-3</v>
      </c>
      <c r="Q596" s="269">
        <v>2.7195510000000001</v>
      </c>
      <c r="R596" s="272">
        <f t="shared" si="29"/>
        <v>2.7195510000000002E-3</v>
      </c>
    </row>
    <row r="597" spans="2:18" ht="15" customHeight="1" x14ac:dyDescent="0.25">
      <c r="B597" s="114">
        <v>0.50202690000000005</v>
      </c>
      <c r="C597" s="269">
        <v>12.36572</v>
      </c>
      <c r="D597" s="272">
        <f t="shared" si="27"/>
        <v>1.236572E-2</v>
      </c>
      <c r="I597" s="114">
        <v>6.8049349999999998E-3</v>
      </c>
      <c r="J597" s="269">
        <v>2.4727929999999998</v>
      </c>
      <c r="K597" s="272">
        <f t="shared" si="28"/>
        <v>2.4727929999999996E-3</v>
      </c>
      <c r="P597" s="114">
        <v>7.4854279999999997E-3</v>
      </c>
      <c r="Q597" s="269">
        <v>2.720072</v>
      </c>
      <c r="R597" s="272">
        <f t="shared" si="29"/>
        <v>2.720072E-3</v>
      </c>
    </row>
    <row r="598" spans="2:18" ht="15" customHeight="1" x14ac:dyDescent="0.25">
      <c r="B598" s="114">
        <v>0.5028939</v>
      </c>
      <c r="C598" s="269">
        <v>12.387079999999999</v>
      </c>
      <c r="D598" s="272">
        <f t="shared" si="27"/>
        <v>1.238708E-2</v>
      </c>
      <c r="I598" s="114">
        <v>6.8166879999999996E-3</v>
      </c>
      <c r="J598" s="269">
        <v>2.4732660000000002</v>
      </c>
      <c r="K598" s="272">
        <f t="shared" si="28"/>
        <v>2.473266E-3</v>
      </c>
      <c r="P598" s="114">
        <v>7.4983569999999998E-3</v>
      </c>
      <c r="Q598" s="269">
        <v>2.7205919999999999</v>
      </c>
      <c r="R598" s="272">
        <f t="shared" si="29"/>
        <v>2.720592E-3</v>
      </c>
    </row>
    <row r="599" spans="2:18" ht="15" customHeight="1" x14ac:dyDescent="0.25">
      <c r="B599" s="114">
        <v>0.50376100000000001</v>
      </c>
      <c r="C599" s="269">
        <v>12.408440000000001</v>
      </c>
      <c r="D599" s="272">
        <f t="shared" si="27"/>
        <v>1.240844E-2</v>
      </c>
      <c r="I599" s="114">
        <v>6.8284410000000002E-3</v>
      </c>
      <c r="J599" s="269">
        <v>2.4737369999999999</v>
      </c>
      <c r="K599" s="272">
        <f t="shared" si="28"/>
        <v>2.4737369999999997E-3</v>
      </c>
      <c r="P599" s="114">
        <v>7.5112850000000004E-3</v>
      </c>
      <c r="Q599" s="269">
        <v>2.7211110000000001</v>
      </c>
      <c r="R599" s="272">
        <f t="shared" si="29"/>
        <v>2.721111E-3</v>
      </c>
    </row>
    <row r="600" spans="2:18" ht="15" customHeight="1" x14ac:dyDescent="0.25">
      <c r="B600" s="114">
        <v>0.50462799999999997</v>
      </c>
      <c r="C600" s="269">
        <v>12.429790000000001</v>
      </c>
      <c r="D600" s="272">
        <f t="shared" si="27"/>
        <v>1.2429790000000001E-2</v>
      </c>
      <c r="I600" s="114">
        <v>6.840194E-3</v>
      </c>
      <c r="J600" s="269">
        <v>2.474208</v>
      </c>
      <c r="K600" s="272">
        <f t="shared" si="28"/>
        <v>2.4742079999999999E-3</v>
      </c>
      <c r="P600" s="114">
        <v>7.5242130000000001E-3</v>
      </c>
      <c r="Q600" s="269">
        <v>2.7216290000000001</v>
      </c>
      <c r="R600" s="272">
        <f t="shared" si="29"/>
        <v>2.7216290000000001E-3</v>
      </c>
    </row>
    <row r="601" spans="2:18" ht="15" customHeight="1" x14ac:dyDescent="0.25">
      <c r="B601" s="114">
        <v>0.50549509999999998</v>
      </c>
      <c r="C601" s="269">
        <v>12.45115</v>
      </c>
      <c r="D601" s="272">
        <f t="shared" si="27"/>
        <v>1.2451149999999999E-2</v>
      </c>
      <c r="I601" s="114">
        <v>6.8519469999999997E-3</v>
      </c>
      <c r="J601" s="269">
        <v>2.4746769999999998</v>
      </c>
      <c r="K601" s="272">
        <f t="shared" si="28"/>
        <v>2.4746769999999998E-3</v>
      </c>
      <c r="P601" s="114">
        <v>7.5371409999999998E-3</v>
      </c>
      <c r="Q601" s="269">
        <v>2.7221449999999998</v>
      </c>
      <c r="R601" s="272">
        <f t="shared" si="29"/>
        <v>2.7221449999999996E-3</v>
      </c>
    </row>
    <row r="602" spans="2:18" ht="15" customHeight="1" x14ac:dyDescent="0.25">
      <c r="B602" s="114">
        <v>0.50636219999999998</v>
      </c>
      <c r="C602" s="269">
        <v>12.47251</v>
      </c>
      <c r="D602" s="272">
        <f t="shared" si="27"/>
        <v>1.2472509999999999E-2</v>
      </c>
      <c r="I602" s="114">
        <v>6.863699E-3</v>
      </c>
      <c r="J602" s="269">
        <v>2.4751460000000001</v>
      </c>
      <c r="K602" s="272">
        <f t="shared" si="28"/>
        <v>2.4751460000000001E-3</v>
      </c>
      <c r="P602" s="114">
        <v>7.5500690000000004E-3</v>
      </c>
      <c r="Q602" s="269">
        <v>2.722661</v>
      </c>
      <c r="R602" s="272">
        <f t="shared" si="29"/>
        <v>2.7226609999999999E-3</v>
      </c>
    </row>
    <row r="603" spans="2:18" ht="15" customHeight="1" x14ac:dyDescent="0.25">
      <c r="B603" s="114">
        <v>0.50722920000000005</v>
      </c>
      <c r="C603" s="269">
        <v>12.493869999999999</v>
      </c>
      <c r="D603" s="272">
        <f t="shared" si="27"/>
        <v>1.2493869999999999E-2</v>
      </c>
      <c r="I603" s="114">
        <v>6.8754519999999998E-3</v>
      </c>
      <c r="J603" s="269">
        <v>2.4756140000000002</v>
      </c>
      <c r="K603" s="272">
        <f t="shared" si="28"/>
        <v>2.4756140000000001E-3</v>
      </c>
      <c r="P603" s="114">
        <v>7.5629979999999996E-3</v>
      </c>
      <c r="Q603" s="269">
        <v>2.7231749999999999</v>
      </c>
      <c r="R603" s="272">
        <f t="shared" si="29"/>
        <v>2.723175E-3</v>
      </c>
    </row>
    <row r="604" spans="2:18" ht="15" customHeight="1" x14ac:dyDescent="0.25">
      <c r="B604" s="114">
        <v>0.50809629999999995</v>
      </c>
      <c r="C604" s="269">
        <v>12.515219999999999</v>
      </c>
      <c r="D604" s="272">
        <f t="shared" si="27"/>
        <v>1.2515219999999999E-2</v>
      </c>
      <c r="I604" s="114">
        <v>6.8872050000000004E-3</v>
      </c>
      <c r="J604" s="269">
        <v>2.4760810000000002</v>
      </c>
      <c r="K604" s="272">
        <f t="shared" si="28"/>
        <v>2.4760810000000002E-3</v>
      </c>
      <c r="P604" s="114">
        <v>7.5759260000000002E-3</v>
      </c>
      <c r="Q604" s="269">
        <v>2.7236889999999998</v>
      </c>
      <c r="R604" s="272">
        <f t="shared" si="29"/>
        <v>2.7236889999999996E-3</v>
      </c>
    </row>
    <row r="605" spans="2:18" ht="15" customHeight="1" x14ac:dyDescent="0.25">
      <c r="B605" s="114">
        <v>0.50896330000000001</v>
      </c>
      <c r="C605" s="269">
        <v>12.536580000000001</v>
      </c>
      <c r="D605" s="272">
        <f t="shared" si="27"/>
        <v>1.253658E-2</v>
      </c>
      <c r="I605" s="114">
        <v>6.8989580000000002E-3</v>
      </c>
      <c r="J605" s="269">
        <v>2.4765470000000001</v>
      </c>
      <c r="K605" s="272">
        <f t="shared" si="28"/>
        <v>2.4765469999999999E-3</v>
      </c>
      <c r="P605" s="114">
        <v>7.5888539999999999E-3</v>
      </c>
      <c r="Q605" s="269">
        <v>2.7242009999999999</v>
      </c>
      <c r="R605" s="272">
        <f t="shared" si="29"/>
        <v>2.7242009999999999E-3</v>
      </c>
    </row>
    <row r="606" spans="2:18" ht="15" customHeight="1" x14ac:dyDescent="0.25">
      <c r="B606" s="114">
        <v>0.50983040000000002</v>
      </c>
      <c r="C606" s="269">
        <v>12.55794</v>
      </c>
      <c r="D606" s="272">
        <f t="shared" si="27"/>
        <v>1.255794E-2</v>
      </c>
      <c r="I606" s="114">
        <v>6.9107109999999999E-3</v>
      </c>
      <c r="J606" s="269">
        <v>2.4770110000000001</v>
      </c>
      <c r="K606" s="272">
        <f t="shared" si="28"/>
        <v>2.4770109999999999E-3</v>
      </c>
      <c r="P606" s="114">
        <v>7.6017819999999996E-3</v>
      </c>
      <c r="Q606" s="269">
        <v>2.7247129999999999</v>
      </c>
      <c r="R606" s="272">
        <f t="shared" si="29"/>
        <v>2.7247130000000001E-3</v>
      </c>
    </row>
    <row r="607" spans="2:18" ht="15" customHeight="1" x14ac:dyDescent="0.25">
      <c r="B607" s="114">
        <v>0.51069750000000003</v>
      </c>
      <c r="C607" s="269">
        <v>12.57929</v>
      </c>
      <c r="D607" s="272">
        <f t="shared" si="27"/>
        <v>1.257929E-2</v>
      </c>
      <c r="I607" s="114">
        <v>6.9224639999999997E-3</v>
      </c>
      <c r="J607" s="269">
        <v>2.4774750000000001</v>
      </c>
      <c r="K607" s="272">
        <f t="shared" si="28"/>
        <v>2.4774750000000002E-3</v>
      </c>
      <c r="P607" s="114">
        <v>7.6147100000000002E-3</v>
      </c>
      <c r="Q607" s="269">
        <v>2.7252230000000002</v>
      </c>
      <c r="R607" s="272">
        <f t="shared" si="29"/>
        <v>2.7252230000000001E-3</v>
      </c>
    </row>
    <row r="608" spans="2:18" ht="15" customHeight="1" x14ac:dyDescent="0.25">
      <c r="B608" s="114">
        <v>0.51156449999999998</v>
      </c>
      <c r="C608" s="269">
        <v>12.60065</v>
      </c>
      <c r="D608" s="272">
        <f t="shared" si="27"/>
        <v>1.260065E-2</v>
      </c>
      <c r="I608" s="114">
        <v>6.9342170000000003E-3</v>
      </c>
      <c r="J608" s="269">
        <v>2.477938</v>
      </c>
      <c r="K608" s="272">
        <f t="shared" si="28"/>
        <v>2.4779379999999998E-3</v>
      </c>
      <c r="P608" s="114">
        <v>7.6276390000000003E-3</v>
      </c>
      <c r="Q608" s="269">
        <v>2.7257319999999998</v>
      </c>
      <c r="R608" s="272">
        <f t="shared" si="29"/>
        <v>2.7257319999999998E-3</v>
      </c>
    </row>
    <row r="609" spans="2:18" ht="15" customHeight="1" x14ac:dyDescent="0.25">
      <c r="B609" s="114">
        <v>0.51243159999999999</v>
      </c>
      <c r="C609" s="269">
        <v>12.62201</v>
      </c>
      <c r="D609" s="272">
        <f t="shared" si="27"/>
        <v>1.2622009999999999E-2</v>
      </c>
      <c r="I609" s="114">
        <v>6.9459700000000001E-3</v>
      </c>
      <c r="J609" s="269">
        <v>2.4784009999999999</v>
      </c>
      <c r="K609" s="272">
        <f t="shared" si="28"/>
        <v>2.4784009999999999E-3</v>
      </c>
      <c r="P609" s="114">
        <v>7.640567E-3</v>
      </c>
      <c r="Q609" s="269">
        <v>2.7262409999999999</v>
      </c>
      <c r="R609" s="272">
        <f t="shared" si="29"/>
        <v>2.7262409999999999E-3</v>
      </c>
    </row>
    <row r="610" spans="2:18" ht="15" customHeight="1" x14ac:dyDescent="0.25">
      <c r="B610" s="114">
        <v>0.51329860000000005</v>
      </c>
      <c r="C610" s="269">
        <v>12.643359999999999</v>
      </c>
      <c r="D610" s="272">
        <f t="shared" si="27"/>
        <v>1.2643359999999999E-2</v>
      </c>
      <c r="I610" s="114">
        <v>6.9577229999999999E-3</v>
      </c>
      <c r="J610" s="269">
        <v>2.4788619999999999</v>
      </c>
      <c r="K610" s="272">
        <f t="shared" si="28"/>
        <v>2.4788620000000001E-3</v>
      </c>
      <c r="P610" s="114">
        <v>7.6534949999999997E-3</v>
      </c>
      <c r="Q610" s="269">
        <v>2.7267480000000002</v>
      </c>
      <c r="R610" s="272">
        <f t="shared" si="29"/>
        <v>2.7267480000000002E-3</v>
      </c>
    </row>
    <row r="611" spans="2:18" ht="15" customHeight="1" x14ac:dyDescent="0.25">
      <c r="B611" s="114">
        <v>0.51416569999999995</v>
      </c>
      <c r="C611" s="269">
        <v>12.664720000000001</v>
      </c>
      <c r="D611" s="272">
        <f t="shared" si="27"/>
        <v>1.2664720000000001E-2</v>
      </c>
      <c r="I611" s="114">
        <v>6.9694759999999996E-3</v>
      </c>
      <c r="J611" s="269">
        <v>2.4793219999999998</v>
      </c>
      <c r="K611" s="272">
        <f t="shared" si="28"/>
        <v>2.4793219999999999E-3</v>
      </c>
      <c r="P611" s="114">
        <v>7.6664230000000003E-3</v>
      </c>
      <c r="Q611" s="269">
        <v>2.7272539999999998</v>
      </c>
      <c r="R611" s="272">
        <f t="shared" si="29"/>
        <v>2.7272539999999997E-3</v>
      </c>
    </row>
    <row r="612" spans="2:18" ht="15" customHeight="1" x14ac:dyDescent="0.25">
      <c r="B612" s="114">
        <v>0.51503270000000001</v>
      </c>
      <c r="C612" s="269">
        <v>12.68608</v>
      </c>
      <c r="D612" s="272">
        <f t="shared" si="27"/>
        <v>1.2686080000000001E-2</v>
      </c>
      <c r="I612" s="114">
        <v>6.9812290000000003E-3</v>
      </c>
      <c r="J612" s="269">
        <v>2.4797820000000002</v>
      </c>
      <c r="K612" s="272">
        <f t="shared" si="28"/>
        <v>2.4797820000000003E-3</v>
      </c>
      <c r="P612" s="114">
        <v>7.6793510000000001E-3</v>
      </c>
      <c r="Q612" s="269">
        <v>2.72776</v>
      </c>
      <c r="R612" s="272">
        <f t="shared" si="29"/>
        <v>2.7277600000000001E-3</v>
      </c>
    </row>
    <row r="613" spans="2:18" ht="15" customHeight="1" x14ac:dyDescent="0.25">
      <c r="B613" s="114">
        <v>0.51589980000000002</v>
      </c>
      <c r="C613" s="269">
        <v>12.70744</v>
      </c>
      <c r="D613" s="272">
        <f t="shared" si="27"/>
        <v>1.270744E-2</v>
      </c>
      <c r="I613" s="114">
        <v>6.9929809999999997E-3</v>
      </c>
      <c r="J613" s="269">
        <v>2.4802399999999998</v>
      </c>
      <c r="K613" s="272">
        <f t="shared" si="28"/>
        <v>2.4802399999999999E-3</v>
      </c>
      <c r="P613" s="114">
        <v>7.6922800000000001E-3</v>
      </c>
      <c r="Q613" s="269">
        <v>2.7282639999999998</v>
      </c>
      <c r="R613" s="272">
        <f t="shared" si="29"/>
        <v>2.7282639999999998E-3</v>
      </c>
    </row>
    <row r="614" spans="2:18" ht="15" customHeight="1" x14ac:dyDescent="0.25">
      <c r="B614" s="114">
        <v>0.51676690000000003</v>
      </c>
      <c r="C614" s="269">
        <v>12.72879</v>
      </c>
      <c r="D614" s="272">
        <f t="shared" si="27"/>
        <v>1.272879E-2</v>
      </c>
      <c r="I614" s="114">
        <v>7.0047340000000003E-3</v>
      </c>
      <c r="J614" s="269">
        <v>2.4806979999999998</v>
      </c>
      <c r="K614" s="272">
        <f t="shared" si="28"/>
        <v>2.4806979999999999E-3</v>
      </c>
      <c r="P614" s="114">
        <v>7.7052079999999998E-3</v>
      </c>
      <c r="Q614" s="269">
        <v>2.7287680000000001</v>
      </c>
      <c r="R614" s="272">
        <f t="shared" si="29"/>
        <v>2.7287679999999999E-3</v>
      </c>
    </row>
    <row r="615" spans="2:18" ht="15" customHeight="1" x14ac:dyDescent="0.25">
      <c r="B615" s="114">
        <v>0.51763389999999998</v>
      </c>
      <c r="C615" s="269">
        <v>12.75015</v>
      </c>
      <c r="D615" s="272">
        <f t="shared" si="27"/>
        <v>1.275015E-2</v>
      </c>
      <c r="I615" s="114">
        <v>7.0164870000000001E-3</v>
      </c>
      <c r="J615" s="269">
        <v>2.4811550000000002</v>
      </c>
      <c r="K615" s="272">
        <f t="shared" si="28"/>
        <v>2.4811550000000001E-3</v>
      </c>
      <c r="P615" s="114">
        <v>7.7181359999999996E-3</v>
      </c>
      <c r="Q615" s="269">
        <v>2.7292700000000001</v>
      </c>
      <c r="R615" s="272">
        <f t="shared" si="29"/>
        <v>2.7292700000000002E-3</v>
      </c>
    </row>
    <row r="616" spans="2:18" ht="15" customHeight="1" x14ac:dyDescent="0.25">
      <c r="B616" s="114">
        <v>0.51850099999999999</v>
      </c>
      <c r="C616" s="269">
        <v>12.771509999999999</v>
      </c>
      <c r="D616" s="272">
        <f t="shared" si="27"/>
        <v>1.277151E-2</v>
      </c>
      <c r="I616" s="114">
        <v>7.0282399999999998E-3</v>
      </c>
      <c r="J616" s="269">
        <v>2.481611</v>
      </c>
      <c r="K616" s="272">
        <f t="shared" si="28"/>
        <v>2.4816109999999999E-3</v>
      </c>
      <c r="P616" s="114">
        <v>7.7310640000000002E-3</v>
      </c>
      <c r="Q616" s="269">
        <v>2.7297720000000001</v>
      </c>
      <c r="R616" s="272">
        <f t="shared" si="29"/>
        <v>2.7297720000000001E-3</v>
      </c>
    </row>
    <row r="617" spans="2:18" ht="15" customHeight="1" x14ac:dyDescent="0.25">
      <c r="B617" s="114">
        <v>0.51936800000000005</v>
      </c>
      <c r="C617" s="269">
        <v>12.792859999999999</v>
      </c>
      <c r="D617" s="272">
        <f t="shared" si="27"/>
        <v>1.279286E-2</v>
      </c>
      <c r="I617" s="114">
        <v>7.0399929999999996E-3</v>
      </c>
      <c r="J617" s="269">
        <v>2.4820660000000001</v>
      </c>
      <c r="K617" s="272">
        <f t="shared" si="28"/>
        <v>2.4820660000000002E-3</v>
      </c>
      <c r="P617" s="114">
        <v>7.7439919999999999E-3</v>
      </c>
      <c r="Q617" s="269">
        <v>2.7302719999999998</v>
      </c>
      <c r="R617" s="272">
        <f t="shared" si="29"/>
        <v>2.7302719999999997E-3</v>
      </c>
    </row>
    <row r="618" spans="2:18" ht="15" customHeight="1" x14ac:dyDescent="0.25">
      <c r="B618" s="114">
        <v>0.52023509999999995</v>
      </c>
      <c r="C618" s="269">
        <v>12.814220000000001</v>
      </c>
      <c r="D618" s="272">
        <f t="shared" si="27"/>
        <v>1.2814220000000001E-2</v>
      </c>
      <c r="I618" s="114">
        <v>7.0517460000000002E-3</v>
      </c>
      <c r="J618" s="269">
        <v>2.4825200000000001</v>
      </c>
      <c r="K618" s="272">
        <f t="shared" si="28"/>
        <v>2.4825200000000002E-3</v>
      </c>
      <c r="P618" s="114">
        <v>7.756921E-3</v>
      </c>
      <c r="Q618" s="269">
        <v>2.730772</v>
      </c>
      <c r="R618" s="272">
        <f t="shared" si="29"/>
        <v>2.7307719999999998E-3</v>
      </c>
    </row>
    <row r="619" spans="2:18" ht="15" customHeight="1" x14ac:dyDescent="0.25">
      <c r="B619" s="114">
        <v>0.52110219999999996</v>
      </c>
      <c r="C619" s="269">
        <v>12.83558</v>
      </c>
      <c r="D619" s="272">
        <f t="shared" si="27"/>
        <v>1.2835580000000001E-2</v>
      </c>
      <c r="I619" s="114">
        <v>7.063499E-3</v>
      </c>
      <c r="J619" s="269">
        <v>2.4829729999999999</v>
      </c>
      <c r="K619" s="272">
        <f t="shared" si="28"/>
        <v>2.4829729999999999E-3</v>
      </c>
      <c r="P619" s="114">
        <v>7.7698489999999997E-3</v>
      </c>
      <c r="Q619" s="269">
        <v>2.7312699999999999</v>
      </c>
      <c r="R619" s="272">
        <f t="shared" si="29"/>
        <v>2.7312700000000001E-3</v>
      </c>
    </row>
    <row r="620" spans="2:18" ht="15" customHeight="1" x14ac:dyDescent="0.25">
      <c r="B620" s="114">
        <v>0.52196920000000002</v>
      </c>
      <c r="C620" s="269">
        <v>12.85693</v>
      </c>
      <c r="D620" s="272">
        <f t="shared" si="27"/>
        <v>1.2856930000000001E-2</v>
      </c>
      <c r="I620" s="114">
        <v>7.0752519999999998E-3</v>
      </c>
      <c r="J620" s="269">
        <v>2.4834260000000001</v>
      </c>
      <c r="K620" s="272">
        <f t="shared" si="28"/>
        <v>2.4834259999999999E-3</v>
      </c>
      <c r="P620" s="114">
        <v>7.7827770000000003E-3</v>
      </c>
      <c r="Q620" s="269">
        <v>2.7317680000000002</v>
      </c>
      <c r="R620" s="272">
        <f t="shared" si="29"/>
        <v>2.7317680000000003E-3</v>
      </c>
    </row>
    <row r="621" spans="2:18" ht="15" customHeight="1" x14ac:dyDescent="0.25">
      <c r="B621" s="114">
        <v>0.52283630000000003</v>
      </c>
      <c r="C621" s="269">
        <v>12.87829</v>
      </c>
      <c r="D621" s="272">
        <f t="shared" si="27"/>
        <v>1.2878290000000001E-2</v>
      </c>
      <c r="I621" s="114">
        <v>7.0870050000000004E-3</v>
      </c>
      <c r="J621" s="269">
        <v>2.4838770000000001</v>
      </c>
      <c r="K621" s="272">
        <f t="shared" si="28"/>
        <v>2.4838770000000002E-3</v>
      </c>
      <c r="P621" s="114">
        <v>7.795705E-3</v>
      </c>
      <c r="Q621" s="269">
        <v>2.7322649999999999</v>
      </c>
      <c r="R621" s="272">
        <f t="shared" si="29"/>
        <v>2.7322649999999998E-3</v>
      </c>
    </row>
    <row r="622" spans="2:18" ht="15" customHeight="1" x14ac:dyDescent="0.25">
      <c r="B622" s="114">
        <v>0.52370329999999998</v>
      </c>
      <c r="C622" s="269">
        <v>12.899649999999999</v>
      </c>
      <c r="D622" s="272">
        <f t="shared" si="27"/>
        <v>1.2899649999999999E-2</v>
      </c>
      <c r="I622" s="114">
        <v>7.0987580000000002E-3</v>
      </c>
      <c r="J622" s="269">
        <v>2.4843280000000001</v>
      </c>
      <c r="K622" s="272">
        <f t="shared" si="28"/>
        <v>2.4843280000000001E-3</v>
      </c>
      <c r="P622" s="114">
        <v>7.8086329999999997E-3</v>
      </c>
      <c r="Q622" s="269">
        <v>2.732761</v>
      </c>
      <c r="R622" s="272">
        <f t="shared" si="29"/>
        <v>2.7327609999999998E-3</v>
      </c>
    </row>
    <row r="623" spans="2:18" ht="15" customHeight="1" x14ac:dyDescent="0.25">
      <c r="B623" s="114">
        <v>0.52457039999999999</v>
      </c>
      <c r="C623" s="269">
        <v>12.921010000000001</v>
      </c>
      <c r="D623" s="272">
        <f t="shared" si="27"/>
        <v>1.292101E-2</v>
      </c>
      <c r="I623" s="114">
        <v>7.1105109999999999E-3</v>
      </c>
      <c r="J623" s="269">
        <v>2.4847779999999999</v>
      </c>
      <c r="K623" s="272">
        <f t="shared" si="28"/>
        <v>2.484778E-3</v>
      </c>
      <c r="P623" s="114">
        <v>7.8215620000000007E-3</v>
      </c>
      <c r="Q623" s="269">
        <v>2.7332559999999999</v>
      </c>
      <c r="R623" s="272">
        <f t="shared" si="29"/>
        <v>2.7332559999999999E-3</v>
      </c>
    </row>
    <row r="624" spans="2:18" ht="15" customHeight="1" x14ac:dyDescent="0.25">
      <c r="B624" s="114">
        <v>0.52543740000000005</v>
      </c>
      <c r="C624" s="269">
        <v>12.942360000000001</v>
      </c>
      <c r="D624" s="272">
        <f t="shared" si="27"/>
        <v>1.294236E-2</v>
      </c>
      <c r="I624" s="114">
        <v>7.1222630000000002E-3</v>
      </c>
      <c r="J624" s="269">
        <v>2.4852270000000001</v>
      </c>
      <c r="K624" s="272">
        <f t="shared" si="28"/>
        <v>2.485227E-3</v>
      </c>
      <c r="P624" s="114">
        <v>7.8344899999999995E-3</v>
      </c>
      <c r="Q624" s="269">
        <v>2.7337500000000001</v>
      </c>
      <c r="R624" s="272">
        <f t="shared" si="29"/>
        <v>2.7337500000000001E-3</v>
      </c>
    </row>
    <row r="625" spans="2:18" ht="15" customHeight="1" x14ac:dyDescent="0.25">
      <c r="B625" s="114">
        <v>0.52630449999999995</v>
      </c>
      <c r="C625" s="269">
        <v>12.96372</v>
      </c>
      <c r="D625" s="272">
        <f t="shared" si="27"/>
        <v>1.296372E-2</v>
      </c>
      <c r="I625" s="114">
        <v>7.134016E-3</v>
      </c>
      <c r="J625" s="269">
        <v>2.4856750000000001</v>
      </c>
      <c r="K625" s="272">
        <f t="shared" si="28"/>
        <v>2.4856750000000001E-3</v>
      </c>
      <c r="P625" s="114">
        <v>7.8474180000000001E-3</v>
      </c>
      <c r="Q625" s="269">
        <v>2.7342430000000002</v>
      </c>
      <c r="R625" s="272">
        <f t="shared" si="29"/>
        <v>2.7342430000000004E-3</v>
      </c>
    </row>
    <row r="626" spans="2:18" ht="15" customHeight="1" x14ac:dyDescent="0.25">
      <c r="B626" s="114">
        <v>0.52717159999999996</v>
      </c>
      <c r="C626" s="269">
        <v>12.98508</v>
      </c>
      <c r="D626" s="272">
        <f t="shared" si="27"/>
        <v>1.298508E-2</v>
      </c>
      <c r="I626" s="114">
        <v>7.1457689999999997E-3</v>
      </c>
      <c r="J626" s="269">
        <v>2.4861230000000001</v>
      </c>
      <c r="K626" s="272">
        <f t="shared" si="28"/>
        <v>2.4861230000000002E-3</v>
      </c>
      <c r="P626" s="114">
        <v>7.8603460000000007E-3</v>
      </c>
      <c r="Q626" s="269">
        <v>2.7347350000000001</v>
      </c>
      <c r="R626" s="272">
        <f t="shared" si="29"/>
        <v>2.7347350000000003E-3</v>
      </c>
    </row>
    <row r="627" spans="2:18" ht="15" customHeight="1" x14ac:dyDescent="0.25">
      <c r="B627" s="114">
        <v>0.52803860000000002</v>
      </c>
      <c r="C627" s="269">
        <v>13.00643</v>
      </c>
      <c r="D627" s="272">
        <f t="shared" si="27"/>
        <v>1.3006429999999999E-2</v>
      </c>
      <c r="I627" s="114">
        <v>7.1575220000000004E-3</v>
      </c>
      <c r="J627" s="269">
        <v>2.4865699999999999</v>
      </c>
      <c r="K627" s="272">
        <f t="shared" si="28"/>
        <v>2.48657E-3</v>
      </c>
      <c r="P627" s="114">
        <v>7.8732739999999996E-3</v>
      </c>
      <c r="Q627" s="269">
        <v>2.7352270000000001</v>
      </c>
      <c r="R627" s="272">
        <f t="shared" si="29"/>
        <v>2.7352270000000002E-3</v>
      </c>
    </row>
    <row r="628" spans="2:18" ht="15" customHeight="1" x14ac:dyDescent="0.25">
      <c r="B628" s="114">
        <v>0.52890570000000003</v>
      </c>
      <c r="C628" s="269">
        <v>13.02779</v>
      </c>
      <c r="D628" s="272">
        <f t="shared" si="27"/>
        <v>1.3027789999999999E-2</v>
      </c>
      <c r="I628" s="114">
        <v>7.1692750000000001E-3</v>
      </c>
      <c r="J628" s="269">
        <v>2.4870160000000001</v>
      </c>
      <c r="K628" s="272">
        <f t="shared" si="28"/>
        <v>2.4870160000000003E-3</v>
      </c>
      <c r="P628" s="114">
        <v>7.8862029999999996E-3</v>
      </c>
      <c r="Q628" s="269">
        <v>2.7357170000000002</v>
      </c>
      <c r="R628" s="272">
        <f t="shared" si="29"/>
        <v>2.7357170000000004E-3</v>
      </c>
    </row>
    <row r="629" spans="2:18" ht="15" customHeight="1" x14ac:dyDescent="0.25">
      <c r="B629" s="114">
        <v>0.52977269999999999</v>
      </c>
      <c r="C629" s="269">
        <v>13.049149999999999</v>
      </c>
      <c r="D629" s="272">
        <f t="shared" si="27"/>
        <v>1.3049149999999999E-2</v>
      </c>
      <c r="I629" s="114">
        <v>7.1810279999999999E-3</v>
      </c>
      <c r="J629" s="269">
        <v>2.4874610000000001</v>
      </c>
      <c r="K629" s="272">
        <f t="shared" si="28"/>
        <v>2.4874610000000003E-3</v>
      </c>
      <c r="P629" s="114">
        <v>7.8991310000000002E-3</v>
      </c>
      <c r="Q629" s="269">
        <v>2.7362069999999998</v>
      </c>
      <c r="R629" s="272">
        <f t="shared" si="29"/>
        <v>2.736207E-3</v>
      </c>
    </row>
    <row r="630" spans="2:18" ht="15" customHeight="1" x14ac:dyDescent="0.25">
      <c r="B630" s="114">
        <v>0.53063979999999999</v>
      </c>
      <c r="C630" s="269">
        <v>13.070510000000001</v>
      </c>
      <c r="D630" s="272">
        <f t="shared" si="27"/>
        <v>1.307051E-2</v>
      </c>
      <c r="I630" s="114">
        <v>7.1927809999999997E-3</v>
      </c>
      <c r="J630" s="269">
        <v>2.487905</v>
      </c>
      <c r="K630" s="272">
        <f t="shared" si="28"/>
        <v>2.4879049999999999E-3</v>
      </c>
      <c r="P630" s="114">
        <v>7.9120590000000008E-3</v>
      </c>
      <c r="Q630" s="269">
        <v>2.7366959999999998</v>
      </c>
      <c r="R630" s="272">
        <f t="shared" si="29"/>
        <v>2.7366959999999998E-3</v>
      </c>
    </row>
    <row r="631" spans="2:18" ht="15" customHeight="1" x14ac:dyDescent="0.25">
      <c r="B631" s="114">
        <v>0.5315069</v>
      </c>
      <c r="C631" s="269">
        <v>13.09186</v>
      </c>
      <c r="D631" s="272">
        <f t="shared" si="27"/>
        <v>1.309186E-2</v>
      </c>
      <c r="I631" s="114">
        <v>7.2045340000000003E-3</v>
      </c>
      <c r="J631" s="269">
        <v>2.4883489999999999</v>
      </c>
      <c r="K631" s="272">
        <f t="shared" si="28"/>
        <v>2.4883489999999999E-3</v>
      </c>
      <c r="P631" s="114">
        <v>7.9249869999999997E-3</v>
      </c>
      <c r="Q631" s="269">
        <v>2.7371840000000001</v>
      </c>
      <c r="R631" s="272">
        <f t="shared" si="29"/>
        <v>2.7371840000000001E-3</v>
      </c>
    </row>
    <row r="632" spans="2:18" ht="15" customHeight="1" x14ac:dyDescent="0.25">
      <c r="B632" s="114">
        <v>0.53237389999999996</v>
      </c>
      <c r="C632" s="269">
        <v>13.11322</v>
      </c>
      <c r="D632" s="272">
        <f t="shared" si="27"/>
        <v>1.311322E-2</v>
      </c>
      <c r="I632" s="114">
        <v>7.216287E-3</v>
      </c>
      <c r="J632" s="269">
        <v>2.488791</v>
      </c>
      <c r="K632" s="272">
        <f t="shared" si="28"/>
        <v>2.4887910000000002E-3</v>
      </c>
      <c r="P632" s="114">
        <v>7.9379150000000002E-3</v>
      </c>
      <c r="Q632" s="269">
        <v>2.7376710000000002</v>
      </c>
      <c r="R632" s="272">
        <f t="shared" si="29"/>
        <v>2.7376710000000001E-3</v>
      </c>
    </row>
    <row r="633" spans="2:18" ht="15" customHeight="1" x14ac:dyDescent="0.25">
      <c r="B633" s="114">
        <v>0.53324099999999997</v>
      </c>
      <c r="C633" s="269">
        <v>13.13458</v>
      </c>
      <c r="D633" s="272">
        <f t="shared" si="27"/>
        <v>1.313458E-2</v>
      </c>
      <c r="I633" s="114">
        <v>7.2280399999999998E-3</v>
      </c>
      <c r="J633" s="269">
        <v>2.489233</v>
      </c>
      <c r="K633" s="272">
        <f t="shared" si="28"/>
        <v>2.489233E-3</v>
      </c>
      <c r="P633" s="114">
        <v>7.9508440000000003E-3</v>
      </c>
      <c r="Q633" s="269">
        <v>2.7381570000000002</v>
      </c>
      <c r="R633" s="272">
        <f t="shared" si="29"/>
        <v>2.7381570000000002E-3</v>
      </c>
    </row>
    <row r="634" spans="2:18" ht="15" customHeight="1" x14ac:dyDescent="0.25">
      <c r="B634" s="114">
        <v>0.53410800000000003</v>
      </c>
      <c r="C634" s="269">
        <v>13.15593</v>
      </c>
      <c r="D634" s="272">
        <f t="shared" si="27"/>
        <v>1.315593E-2</v>
      </c>
      <c r="I634" s="114">
        <v>7.2397929999999996E-3</v>
      </c>
      <c r="J634" s="269">
        <v>2.4896750000000001</v>
      </c>
      <c r="K634" s="272">
        <f t="shared" si="28"/>
        <v>2.4896750000000002E-3</v>
      </c>
      <c r="P634" s="114">
        <v>7.9637719999999992E-3</v>
      </c>
      <c r="Q634" s="269">
        <v>2.738642</v>
      </c>
      <c r="R634" s="272">
        <f t="shared" si="29"/>
        <v>2.7386419999999999E-3</v>
      </c>
    </row>
    <row r="635" spans="2:18" ht="15" customHeight="1" x14ac:dyDescent="0.25">
      <c r="B635" s="114">
        <v>0.53497510000000004</v>
      </c>
      <c r="C635" s="269">
        <v>13.177289999999999</v>
      </c>
      <c r="D635" s="272">
        <f t="shared" si="27"/>
        <v>1.3177289999999999E-2</v>
      </c>
      <c r="I635" s="114">
        <v>7.2515460000000002E-3</v>
      </c>
      <c r="J635" s="269">
        <v>2.4901149999999999</v>
      </c>
      <c r="K635" s="272">
        <f t="shared" si="28"/>
        <v>2.4901149999999998E-3</v>
      </c>
      <c r="P635" s="114">
        <v>7.9766999999999998E-3</v>
      </c>
      <c r="Q635" s="269">
        <v>2.7391269999999999</v>
      </c>
      <c r="R635" s="272">
        <f t="shared" si="29"/>
        <v>2.7391270000000001E-3</v>
      </c>
    </row>
    <row r="636" spans="2:18" ht="15" customHeight="1" x14ac:dyDescent="0.25">
      <c r="B636" s="114">
        <v>0.53584220000000005</v>
      </c>
      <c r="C636" s="269">
        <v>13.198650000000001</v>
      </c>
      <c r="D636" s="272">
        <f t="shared" si="27"/>
        <v>1.3198650000000001E-2</v>
      </c>
      <c r="I636" s="114">
        <v>7.2632979999999996E-3</v>
      </c>
      <c r="J636" s="269">
        <v>2.4905550000000001</v>
      </c>
      <c r="K636" s="272">
        <f t="shared" si="28"/>
        <v>2.4905550000000002E-3</v>
      </c>
      <c r="P636" s="114">
        <v>7.9896280000000004E-3</v>
      </c>
      <c r="Q636" s="269">
        <v>2.7396099999999999</v>
      </c>
      <c r="R636" s="272">
        <f t="shared" si="29"/>
        <v>2.73961E-3</v>
      </c>
    </row>
    <row r="637" spans="2:18" ht="15" customHeight="1" x14ac:dyDescent="0.25">
      <c r="B637" s="114">
        <v>0.5367092</v>
      </c>
      <c r="C637" s="269">
        <v>13.22</v>
      </c>
      <c r="D637" s="272">
        <f t="shared" si="27"/>
        <v>1.3220000000000001E-2</v>
      </c>
      <c r="I637" s="114">
        <v>7.2750510000000003E-3</v>
      </c>
      <c r="J637" s="269">
        <v>2.4909940000000002</v>
      </c>
      <c r="K637" s="272">
        <f t="shared" si="28"/>
        <v>2.4909940000000003E-3</v>
      </c>
      <c r="P637" s="114">
        <v>8.0025559999999992E-3</v>
      </c>
      <c r="Q637" s="269">
        <v>2.7400929999999999</v>
      </c>
      <c r="R637" s="272">
        <f t="shared" si="29"/>
        <v>2.7400929999999999E-3</v>
      </c>
    </row>
    <row r="638" spans="2:18" ht="15" customHeight="1" x14ac:dyDescent="0.25">
      <c r="B638" s="114">
        <v>0.53757630000000001</v>
      </c>
      <c r="C638" s="269">
        <v>13.24136</v>
      </c>
      <c r="D638" s="272">
        <f t="shared" si="27"/>
        <v>1.3241360000000001E-2</v>
      </c>
      <c r="I638" s="114">
        <v>7.286804E-3</v>
      </c>
      <c r="J638" s="269">
        <v>2.4914320000000001</v>
      </c>
      <c r="K638" s="272">
        <f t="shared" si="28"/>
        <v>2.491432E-3</v>
      </c>
      <c r="P638" s="114">
        <v>8.0154849999999993E-3</v>
      </c>
      <c r="Q638" s="269">
        <v>2.7405750000000002</v>
      </c>
      <c r="R638" s="272">
        <f t="shared" si="29"/>
        <v>2.7405750000000003E-3</v>
      </c>
    </row>
    <row r="639" spans="2:18" ht="15" customHeight="1" x14ac:dyDescent="0.25">
      <c r="B639" s="114">
        <v>0.53844329999999996</v>
      </c>
      <c r="C639" s="269">
        <v>13.26272</v>
      </c>
      <c r="D639" s="272">
        <f t="shared" si="27"/>
        <v>1.326272E-2</v>
      </c>
      <c r="I639" s="114">
        <v>7.2985569999999998E-3</v>
      </c>
      <c r="J639" s="269">
        <v>2.4918689999999999</v>
      </c>
      <c r="K639" s="272">
        <f t="shared" si="28"/>
        <v>2.4918689999999999E-3</v>
      </c>
      <c r="P639" s="114">
        <v>8.0284129999999999E-3</v>
      </c>
      <c r="Q639" s="269">
        <v>2.7410559999999999</v>
      </c>
      <c r="R639" s="272">
        <f t="shared" si="29"/>
        <v>2.741056E-3</v>
      </c>
    </row>
    <row r="640" spans="2:18" ht="15" customHeight="1" x14ac:dyDescent="0.25">
      <c r="B640" s="114">
        <v>0.53931039999999997</v>
      </c>
      <c r="C640" s="269">
        <v>13.284079999999999</v>
      </c>
      <c r="D640" s="272">
        <f t="shared" si="27"/>
        <v>1.328408E-2</v>
      </c>
      <c r="I640" s="114">
        <v>7.3103100000000004E-3</v>
      </c>
      <c r="J640" s="269">
        <v>2.4923060000000001</v>
      </c>
      <c r="K640" s="272">
        <f t="shared" si="28"/>
        <v>2.4923060000000001E-3</v>
      </c>
      <c r="P640" s="114">
        <v>8.0413410000000005E-3</v>
      </c>
      <c r="Q640" s="269">
        <v>2.7415370000000001</v>
      </c>
      <c r="R640" s="272">
        <f t="shared" si="29"/>
        <v>2.7415370000000001E-3</v>
      </c>
    </row>
    <row r="641" spans="2:18" ht="15" customHeight="1" x14ac:dyDescent="0.25">
      <c r="B641" s="114">
        <v>0.54017740000000003</v>
      </c>
      <c r="C641" s="269">
        <v>13.305429999999999</v>
      </c>
      <c r="D641" s="272">
        <f t="shared" si="27"/>
        <v>1.330543E-2</v>
      </c>
      <c r="I641" s="114">
        <v>7.3220630000000002E-3</v>
      </c>
      <c r="J641" s="269">
        <v>2.4927419999999998</v>
      </c>
      <c r="K641" s="272">
        <f t="shared" si="28"/>
        <v>2.4927419999999996E-3</v>
      </c>
      <c r="P641" s="114">
        <v>8.0542689999999993E-3</v>
      </c>
      <c r="Q641" s="269">
        <v>2.742016</v>
      </c>
      <c r="R641" s="272">
        <f t="shared" si="29"/>
        <v>2.7420159999999999E-3</v>
      </c>
    </row>
    <row r="642" spans="2:18" ht="15" customHeight="1" x14ac:dyDescent="0.25">
      <c r="B642" s="114">
        <v>0.54104450000000004</v>
      </c>
      <c r="C642" s="269">
        <v>13.326790000000001</v>
      </c>
      <c r="D642" s="272">
        <f t="shared" si="27"/>
        <v>1.3326790000000002E-2</v>
      </c>
      <c r="I642" s="114">
        <v>7.3338159999999999E-3</v>
      </c>
      <c r="J642" s="269">
        <v>2.4931770000000002</v>
      </c>
      <c r="K642" s="272">
        <f t="shared" si="28"/>
        <v>2.4931770000000001E-3</v>
      </c>
      <c r="P642" s="114">
        <v>8.0671969999999999E-3</v>
      </c>
      <c r="Q642" s="269">
        <v>2.7424949999999999</v>
      </c>
      <c r="R642" s="272">
        <f t="shared" si="29"/>
        <v>2.7424949999999997E-3</v>
      </c>
    </row>
    <row r="643" spans="2:18" ht="15" customHeight="1" x14ac:dyDescent="0.25">
      <c r="B643" s="114">
        <v>0.54191160000000005</v>
      </c>
      <c r="C643" s="269">
        <v>13.34815</v>
      </c>
      <c r="D643" s="272">
        <f t="shared" si="27"/>
        <v>1.334815E-2</v>
      </c>
      <c r="I643" s="114">
        <v>7.3455689999999997E-3</v>
      </c>
      <c r="J643" s="269">
        <v>2.4936120000000002</v>
      </c>
      <c r="K643" s="272">
        <f t="shared" si="28"/>
        <v>2.4936120000000001E-3</v>
      </c>
      <c r="P643" s="114">
        <v>8.080126E-3</v>
      </c>
      <c r="Q643" s="269">
        <v>2.7429730000000001</v>
      </c>
      <c r="R643" s="272">
        <f t="shared" si="29"/>
        <v>2.7429730000000001E-3</v>
      </c>
    </row>
    <row r="644" spans="2:18" ht="15" customHeight="1" x14ac:dyDescent="0.25">
      <c r="B644" s="114">
        <v>0.5427786</v>
      </c>
      <c r="C644" s="269">
        <v>13.3695</v>
      </c>
      <c r="D644" s="272">
        <f t="shared" si="27"/>
        <v>1.3369500000000001E-2</v>
      </c>
      <c r="I644" s="114">
        <v>7.3573220000000003E-3</v>
      </c>
      <c r="J644" s="269">
        <v>2.494046</v>
      </c>
      <c r="K644" s="272">
        <f t="shared" si="28"/>
        <v>2.4940460000000002E-3</v>
      </c>
      <c r="P644" s="114">
        <v>8.0930540000000006E-3</v>
      </c>
      <c r="Q644" s="269">
        <v>2.7434500000000002</v>
      </c>
      <c r="R644" s="272">
        <f t="shared" si="29"/>
        <v>2.7434500000000001E-3</v>
      </c>
    </row>
    <row r="645" spans="2:18" ht="15" customHeight="1" x14ac:dyDescent="0.25">
      <c r="B645" s="114">
        <v>0.54364570000000001</v>
      </c>
      <c r="C645" s="269">
        <v>13.39086</v>
      </c>
      <c r="D645" s="272">
        <f t="shared" si="27"/>
        <v>1.3390859999999999E-2</v>
      </c>
      <c r="I645" s="114">
        <v>7.3690750000000001E-3</v>
      </c>
      <c r="J645" s="269">
        <v>2.4944790000000001</v>
      </c>
      <c r="K645" s="272">
        <f t="shared" si="28"/>
        <v>2.494479E-3</v>
      </c>
      <c r="P645" s="114">
        <v>8.1059819999999994E-3</v>
      </c>
      <c r="Q645" s="269">
        <v>2.7439269999999998</v>
      </c>
      <c r="R645" s="272">
        <f t="shared" si="29"/>
        <v>2.7439269999999997E-3</v>
      </c>
    </row>
    <row r="646" spans="2:18" ht="15" customHeight="1" x14ac:dyDescent="0.25">
      <c r="B646" s="114">
        <v>0.54451269999999996</v>
      </c>
      <c r="C646" s="269">
        <v>13.41222</v>
      </c>
      <c r="D646" s="272">
        <f t="shared" si="27"/>
        <v>1.3412219999999999E-2</v>
      </c>
      <c r="I646" s="114">
        <v>7.3808279999999999E-3</v>
      </c>
      <c r="J646" s="269">
        <v>2.4949110000000001</v>
      </c>
      <c r="K646" s="272">
        <f t="shared" si="28"/>
        <v>2.4949110000000003E-3</v>
      </c>
      <c r="P646" s="114">
        <v>8.11891E-3</v>
      </c>
      <c r="Q646" s="269">
        <v>2.744402</v>
      </c>
      <c r="R646" s="272">
        <f t="shared" si="29"/>
        <v>2.744402E-3</v>
      </c>
    </row>
    <row r="647" spans="2:18" ht="15" customHeight="1" x14ac:dyDescent="0.25">
      <c r="B647" s="114">
        <v>0.54537979999999997</v>
      </c>
      <c r="C647" s="269">
        <v>13.43357</v>
      </c>
      <c r="D647" s="272">
        <f t="shared" si="27"/>
        <v>1.3433569999999999E-2</v>
      </c>
      <c r="I647" s="114">
        <v>7.3925800000000002E-3</v>
      </c>
      <c r="J647" s="269">
        <v>2.4953430000000001</v>
      </c>
      <c r="K647" s="272">
        <f t="shared" si="28"/>
        <v>2.4953430000000001E-3</v>
      </c>
      <c r="P647" s="114">
        <v>8.1318380000000006E-3</v>
      </c>
      <c r="Q647" s="269">
        <v>2.7448769999999998</v>
      </c>
      <c r="R647" s="272">
        <f t="shared" si="29"/>
        <v>2.7448769999999997E-3</v>
      </c>
    </row>
    <row r="648" spans="2:18" ht="15" customHeight="1" x14ac:dyDescent="0.25">
      <c r="B648" s="114">
        <v>0.54624689999999998</v>
      </c>
      <c r="C648" s="269">
        <v>13.454929999999999</v>
      </c>
      <c r="D648" s="272">
        <f t="shared" si="27"/>
        <v>1.3454929999999999E-2</v>
      </c>
      <c r="I648" s="114">
        <v>7.4043329999999999E-3</v>
      </c>
      <c r="J648" s="269">
        <v>2.4957739999999999</v>
      </c>
      <c r="K648" s="272">
        <f t="shared" si="28"/>
        <v>2.4957740000000001E-3</v>
      </c>
      <c r="P648" s="114">
        <v>8.1447670000000007E-3</v>
      </c>
      <c r="Q648" s="269">
        <v>2.7453509999999999</v>
      </c>
      <c r="R648" s="272">
        <f t="shared" si="29"/>
        <v>2.745351E-3</v>
      </c>
    </row>
    <row r="649" spans="2:18" ht="15" customHeight="1" x14ac:dyDescent="0.25">
      <c r="B649" s="114">
        <v>0.54711390000000004</v>
      </c>
      <c r="C649" s="269">
        <v>13.476290000000001</v>
      </c>
      <c r="D649" s="272">
        <f t="shared" si="27"/>
        <v>1.347629E-2</v>
      </c>
      <c r="I649" s="114">
        <v>7.4160859999999997E-3</v>
      </c>
      <c r="J649" s="269">
        <v>2.4962040000000001</v>
      </c>
      <c r="K649" s="272">
        <f t="shared" si="28"/>
        <v>2.4962040000000001E-3</v>
      </c>
      <c r="P649" s="114">
        <v>8.1576949999999995E-3</v>
      </c>
      <c r="Q649" s="269">
        <v>2.745825</v>
      </c>
      <c r="R649" s="272">
        <f t="shared" si="29"/>
        <v>2.7458249999999999E-3</v>
      </c>
    </row>
    <row r="650" spans="2:18" ht="15" customHeight="1" x14ac:dyDescent="0.25">
      <c r="B650" s="114">
        <v>0.54798100000000005</v>
      </c>
      <c r="C650" s="269">
        <v>13.49765</v>
      </c>
      <c r="D650" s="272">
        <f t="shared" si="27"/>
        <v>1.349765E-2</v>
      </c>
      <c r="I650" s="114">
        <v>7.4278390000000003E-3</v>
      </c>
      <c r="J650" s="269">
        <v>2.4966339999999998</v>
      </c>
      <c r="K650" s="272">
        <f t="shared" si="28"/>
        <v>2.4966339999999997E-3</v>
      </c>
      <c r="P650" s="114">
        <v>8.1706230000000001E-3</v>
      </c>
      <c r="Q650" s="269">
        <v>2.7462970000000002</v>
      </c>
      <c r="R650" s="272">
        <f t="shared" si="29"/>
        <v>2.7462970000000004E-3</v>
      </c>
    </row>
    <row r="651" spans="2:18" ht="15" customHeight="1" x14ac:dyDescent="0.25">
      <c r="B651" s="114">
        <v>0.548848</v>
      </c>
      <c r="C651" s="269">
        <v>13.519</v>
      </c>
      <c r="D651" s="272">
        <f t="shared" si="27"/>
        <v>1.3519E-2</v>
      </c>
      <c r="I651" s="114">
        <v>7.4395920000000001E-3</v>
      </c>
      <c r="J651" s="269">
        <v>2.4970629999999998</v>
      </c>
      <c r="K651" s="272">
        <f t="shared" si="28"/>
        <v>2.4970629999999999E-3</v>
      </c>
      <c r="P651" s="114">
        <v>8.1835510000000007E-3</v>
      </c>
      <c r="Q651" s="269">
        <v>2.746769</v>
      </c>
      <c r="R651" s="272">
        <f t="shared" si="29"/>
        <v>2.746769E-3</v>
      </c>
    </row>
    <row r="652" spans="2:18" ht="15" customHeight="1" x14ac:dyDescent="0.25">
      <c r="B652" s="114">
        <v>0.54971510000000001</v>
      </c>
      <c r="C652" s="269">
        <v>13.54036</v>
      </c>
      <c r="D652" s="272">
        <f t="shared" si="27"/>
        <v>1.354036E-2</v>
      </c>
      <c r="I652" s="114">
        <v>7.4513449999999998E-3</v>
      </c>
      <c r="J652" s="269">
        <v>2.4974910000000001</v>
      </c>
      <c r="K652" s="272">
        <f t="shared" si="28"/>
        <v>2.4974910000000001E-3</v>
      </c>
      <c r="P652" s="114">
        <v>8.1964789999999996E-3</v>
      </c>
      <c r="Q652" s="269">
        <v>2.7472400000000001</v>
      </c>
      <c r="R652" s="272">
        <f t="shared" si="29"/>
        <v>2.7472400000000002E-3</v>
      </c>
    </row>
    <row r="653" spans="2:18" ht="15" customHeight="1" x14ac:dyDescent="0.25">
      <c r="B653" s="114">
        <v>0.55058209999999996</v>
      </c>
      <c r="C653" s="269">
        <v>13.561719999999999</v>
      </c>
      <c r="D653" s="272">
        <f t="shared" si="27"/>
        <v>1.3561719999999999E-2</v>
      </c>
      <c r="I653" s="114">
        <v>7.4630979999999996E-3</v>
      </c>
      <c r="J653" s="269">
        <v>2.4979179999999999</v>
      </c>
      <c r="K653" s="272">
        <f t="shared" si="28"/>
        <v>2.497918E-3</v>
      </c>
      <c r="P653" s="114">
        <v>8.2094079999999996E-3</v>
      </c>
      <c r="Q653" s="269">
        <v>2.7477100000000001</v>
      </c>
      <c r="R653" s="272">
        <f t="shared" si="29"/>
        <v>2.74771E-3</v>
      </c>
    </row>
    <row r="654" spans="2:18" ht="15" customHeight="1" x14ac:dyDescent="0.25">
      <c r="B654" s="114">
        <v>0.55144919999999997</v>
      </c>
      <c r="C654" s="269">
        <v>13.583069999999999</v>
      </c>
      <c r="D654" s="272">
        <f t="shared" si="27"/>
        <v>1.3583069999999999E-2</v>
      </c>
      <c r="I654" s="114">
        <v>7.4748510000000002E-3</v>
      </c>
      <c r="J654" s="269">
        <v>2.498345</v>
      </c>
      <c r="K654" s="272">
        <f t="shared" si="28"/>
        <v>2.4983449999999999E-3</v>
      </c>
      <c r="P654" s="114">
        <v>8.2223360000000002E-3</v>
      </c>
      <c r="Q654" s="269">
        <v>2.7481800000000001</v>
      </c>
      <c r="R654" s="272">
        <f t="shared" si="29"/>
        <v>2.7481800000000002E-3</v>
      </c>
    </row>
    <row r="655" spans="2:18" ht="15" customHeight="1" x14ac:dyDescent="0.25">
      <c r="B655" s="114">
        <v>0.55231629999999998</v>
      </c>
      <c r="C655" s="269">
        <v>13.604430000000001</v>
      </c>
      <c r="D655" s="272">
        <f t="shared" si="27"/>
        <v>1.3604430000000001E-2</v>
      </c>
      <c r="I655" s="114">
        <v>7.486604E-3</v>
      </c>
      <c r="J655" s="269">
        <v>2.4987720000000002</v>
      </c>
      <c r="K655" s="272">
        <f t="shared" si="28"/>
        <v>2.4987720000000002E-3</v>
      </c>
      <c r="P655" s="114">
        <v>8.2352640000000008E-3</v>
      </c>
      <c r="Q655" s="269">
        <v>2.7486489999999999</v>
      </c>
      <c r="R655" s="272">
        <f t="shared" si="29"/>
        <v>2.7486489999999997E-3</v>
      </c>
    </row>
    <row r="656" spans="2:18" ht="15" customHeight="1" x14ac:dyDescent="0.25">
      <c r="B656" s="114">
        <v>0.55318330000000004</v>
      </c>
      <c r="C656" s="269">
        <v>13.62579</v>
      </c>
      <c r="D656" s="272">
        <f t="shared" si="27"/>
        <v>1.362579E-2</v>
      </c>
      <c r="I656" s="114">
        <v>7.4983569999999998E-3</v>
      </c>
      <c r="J656" s="269">
        <v>2.4991970000000001</v>
      </c>
      <c r="K656" s="272">
        <f t="shared" si="28"/>
        <v>2.4991970000000003E-3</v>
      </c>
      <c r="P656" s="114">
        <v>8.2481919999999997E-3</v>
      </c>
      <c r="Q656" s="269">
        <v>2.749117</v>
      </c>
      <c r="R656" s="272">
        <f t="shared" si="29"/>
        <v>2.7491170000000001E-3</v>
      </c>
    </row>
    <row r="657" spans="2:18" ht="15" customHeight="1" x14ac:dyDescent="0.25">
      <c r="B657" s="114">
        <v>0.55405040000000005</v>
      </c>
      <c r="C657" s="269">
        <v>13.64714</v>
      </c>
      <c r="D657" s="272">
        <f t="shared" si="27"/>
        <v>1.364714E-2</v>
      </c>
      <c r="I657" s="114">
        <v>7.5101100000000004E-3</v>
      </c>
      <c r="J657" s="269">
        <v>2.499622</v>
      </c>
      <c r="K657" s="272">
        <f t="shared" si="28"/>
        <v>2.499622E-3</v>
      </c>
      <c r="P657" s="114">
        <v>8.2611200000000003E-3</v>
      </c>
      <c r="Q657" s="269">
        <v>2.749584</v>
      </c>
      <c r="R657" s="272">
        <f t="shared" si="29"/>
        <v>2.7495840000000002E-3</v>
      </c>
    </row>
    <row r="658" spans="2:18" ht="15" customHeight="1" x14ac:dyDescent="0.25">
      <c r="B658" s="114">
        <v>0.55491740000000001</v>
      </c>
      <c r="C658" s="269">
        <v>13.6685</v>
      </c>
      <c r="D658" s="272">
        <f t="shared" ref="D658:D721" si="30">C658/1000</f>
        <v>1.36685E-2</v>
      </c>
      <c r="I658" s="114">
        <v>7.5218619999999998E-3</v>
      </c>
      <c r="J658" s="269">
        <v>2.5000460000000002</v>
      </c>
      <c r="K658" s="272">
        <f t="shared" ref="K658:K721" si="31">J658/1000</f>
        <v>2.5000460000000001E-3</v>
      </c>
      <c r="P658" s="114">
        <v>8.2740490000000003E-3</v>
      </c>
      <c r="Q658" s="269">
        <v>2.750051</v>
      </c>
      <c r="R658" s="272">
        <f t="shared" ref="R658:R721" si="32">Q658/1000</f>
        <v>2.7500509999999999E-3</v>
      </c>
    </row>
    <row r="659" spans="2:18" ht="15" customHeight="1" x14ac:dyDescent="0.25">
      <c r="B659" s="114">
        <v>0.55578450000000001</v>
      </c>
      <c r="C659" s="269">
        <v>13.689859999999999</v>
      </c>
      <c r="D659" s="272">
        <f t="shared" si="30"/>
        <v>1.368986E-2</v>
      </c>
      <c r="I659" s="114">
        <v>7.5336149999999996E-3</v>
      </c>
      <c r="J659" s="269">
        <v>2.50047</v>
      </c>
      <c r="K659" s="272">
        <f t="shared" si="31"/>
        <v>2.5004699999999999E-3</v>
      </c>
      <c r="P659" s="114">
        <v>8.2869769999999992E-3</v>
      </c>
      <c r="Q659" s="269">
        <v>2.7505169999999999</v>
      </c>
      <c r="R659" s="272">
        <f t="shared" si="32"/>
        <v>2.7505170000000001E-3</v>
      </c>
    </row>
    <row r="660" spans="2:18" ht="15" customHeight="1" x14ac:dyDescent="0.25">
      <c r="B660" s="114">
        <v>0.55665160000000002</v>
      </c>
      <c r="C660" s="269">
        <v>13.711220000000001</v>
      </c>
      <c r="D660" s="272">
        <f t="shared" si="30"/>
        <v>1.3711220000000001E-2</v>
      </c>
      <c r="I660" s="114">
        <v>7.5453680000000002E-3</v>
      </c>
      <c r="J660" s="269">
        <v>2.500893</v>
      </c>
      <c r="K660" s="272">
        <f t="shared" si="31"/>
        <v>2.5008930000000001E-3</v>
      </c>
      <c r="P660" s="114">
        <v>8.2999049999999998E-3</v>
      </c>
      <c r="Q660" s="269">
        <v>2.750982</v>
      </c>
      <c r="R660" s="272">
        <f t="shared" si="32"/>
        <v>2.7509819999999999E-3</v>
      </c>
    </row>
    <row r="661" spans="2:18" ht="15" customHeight="1" x14ac:dyDescent="0.25">
      <c r="B661" s="114">
        <v>0.55751859999999998</v>
      </c>
      <c r="C661" s="269">
        <v>13.732570000000001</v>
      </c>
      <c r="D661" s="272">
        <f t="shared" si="30"/>
        <v>1.3732570000000001E-2</v>
      </c>
      <c r="I661" s="114">
        <v>7.557121E-3</v>
      </c>
      <c r="J661" s="269">
        <v>2.501315</v>
      </c>
      <c r="K661" s="272">
        <f t="shared" si="31"/>
        <v>2.501315E-3</v>
      </c>
      <c r="P661" s="114">
        <v>8.3128330000000004E-3</v>
      </c>
      <c r="Q661" s="269">
        <v>2.7514470000000002</v>
      </c>
      <c r="R661" s="272">
        <f t="shared" si="32"/>
        <v>2.7514470000000002E-3</v>
      </c>
    </row>
    <row r="662" spans="2:18" ht="15" customHeight="1" x14ac:dyDescent="0.25">
      <c r="B662" s="114">
        <v>0.55838569999999998</v>
      </c>
      <c r="C662" s="269">
        <v>13.75393</v>
      </c>
      <c r="D662" s="272">
        <f t="shared" si="30"/>
        <v>1.3753930000000001E-2</v>
      </c>
      <c r="I662" s="114">
        <v>7.5688739999999997E-3</v>
      </c>
      <c r="J662" s="269">
        <v>2.5017369999999999</v>
      </c>
      <c r="K662" s="272">
        <f t="shared" si="31"/>
        <v>2.501737E-3</v>
      </c>
      <c r="P662" s="114">
        <v>8.3257609999999992E-3</v>
      </c>
      <c r="Q662" s="269">
        <v>2.7519100000000001</v>
      </c>
      <c r="R662" s="272">
        <f t="shared" si="32"/>
        <v>2.7519100000000002E-3</v>
      </c>
    </row>
    <row r="663" spans="2:18" ht="15" customHeight="1" x14ac:dyDescent="0.25">
      <c r="B663" s="114">
        <v>0.55925270000000005</v>
      </c>
      <c r="C663" s="269">
        <v>13.77529</v>
      </c>
      <c r="D663" s="272">
        <f t="shared" si="30"/>
        <v>1.3775290000000001E-2</v>
      </c>
      <c r="I663" s="114">
        <v>7.5806270000000004E-3</v>
      </c>
      <c r="J663" s="269">
        <v>2.5021580000000001</v>
      </c>
      <c r="K663" s="272">
        <f t="shared" si="31"/>
        <v>2.502158E-3</v>
      </c>
      <c r="P663" s="114">
        <v>8.3386899999999993E-3</v>
      </c>
      <c r="Q663" s="269">
        <v>2.7523740000000001</v>
      </c>
      <c r="R663" s="272">
        <f t="shared" si="32"/>
        <v>2.7523740000000001E-3</v>
      </c>
    </row>
    <row r="664" spans="2:18" ht="15" customHeight="1" x14ac:dyDescent="0.25">
      <c r="B664" s="114">
        <v>0.56011979999999995</v>
      </c>
      <c r="C664" s="269">
        <v>13.79664</v>
      </c>
      <c r="D664" s="272">
        <f t="shared" si="30"/>
        <v>1.3796640000000001E-2</v>
      </c>
      <c r="I664" s="114">
        <v>7.5923800000000001E-3</v>
      </c>
      <c r="J664" s="269">
        <v>2.5025780000000002</v>
      </c>
      <c r="K664" s="272">
        <f t="shared" si="31"/>
        <v>2.5025780000000001E-3</v>
      </c>
      <c r="P664" s="114">
        <v>8.3516179999999999E-3</v>
      </c>
      <c r="Q664" s="269">
        <v>2.7528359999999998</v>
      </c>
      <c r="R664" s="272">
        <f t="shared" si="32"/>
        <v>2.7528359999999998E-3</v>
      </c>
    </row>
    <row r="665" spans="2:18" ht="15" customHeight="1" x14ac:dyDescent="0.25">
      <c r="B665" s="114">
        <v>0.56098680000000001</v>
      </c>
      <c r="C665" s="269">
        <v>13.818</v>
      </c>
      <c r="D665" s="272">
        <f t="shared" si="30"/>
        <v>1.3818E-2</v>
      </c>
      <c r="I665" s="114">
        <v>7.6041329999999999E-3</v>
      </c>
      <c r="J665" s="269">
        <v>2.5029979999999998</v>
      </c>
      <c r="K665" s="272">
        <f t="shared" si="31"/>
        <v>2.5029979999999998E-3</v>
      </c>
      <c r="P665" s="114">
        <v>8.3645460000000005E-3</v>
      </c>
      <c r="Q665" s="269">
        <v>2.753298</v>
      </c>
      <c r="R665" s="272">
        <f t="shared" si="32"/>
        <v>2.7532979999999999E-3</v>
      </c>
    </row>
    <row r="666" spans="2:18" ht="15" customHeight="1" x14ac:dyDescent="0.25">
      <c r="B666" s="114">
        <v>0.56185390000000002</v>
      </c>
      <c r="C666" s="269">
        <v>13.839359999999999</v>
      </c>
      <c r="D666" s="272">
        <f t="shared" si="30"/>
        <v>1.3839359999999998E-2</v>
      </c>
      <c r="I666" s="114">
        <v>7.6158859999999997E-3</v>
      </c>
      <c r="J666" s="269">
        <v>2.5034169999999998</v>
      </c>
      <c r="K666" s="272">
        <f t="shared" si="31"/>
        <v>2.503417E-3</v>
      </c>
      <c r="P666" s="114">
        <v>8.3774739999999993E-3</v>
      </c>
      <c r="Q666" s="269">
        <v>2.7537590000000001</v>
      </c>
      <c r="R666" s="272">
        <f t="shared" si="32"/>
        <v>2.7537590000000002E-3</v>
      </c>
    </row>
    <row r="667" spans="2:18" ht="15" customHeight="1" x14ac:dyDescent="0.25">
      <c r="B667" s="114">
        <v>0.56272100000000003</v>
      </c>
      <c r="C667" s="269">
        <v>13.860720000000001</v>
      </c>
      <c r="D667" s="272">
        <f t="shared" si="30"/>
        <v>1.386072E-2</v>
      </c>
      <c r="I667" s="114">
        <v>7.6276390000000003E-3</v>
      </c>
      <c r="J667" s="269">
        <v>2.5038360000000002</v>
      </c>
      <c r="K667" s="272">
        <f t="shared" si="31"/>
        <v>2.5038360000000002E-3</v>
      </c>
      <c r="P667" s="114">
        <v>8.3904019999999999E-3</v>
      </c>
      <c r="Q667" s="269">
        <v>2.754219</v>
      </c>
      <c r="R667" s="272">
        <f t="shared" si="32"/>
        <v>2.754219E-3</v>
      </c>
    </row>
    <row r="668" spans="2:18" ht="15" customHeight="1" x14ac:dyDescent="0.25">
      <c r="B668" s="114">
        <v>0.56358799999999998</v>
      </c>
      <c r="C668" s="269">
        <v>13.882070000000001</v>
      </c>
      <c r="D668" s="272">
        <f t="shared" si="30"/>
        <v>1.388207E-2</v>
      </c>
      <c r="I668" s="114">
        <v>7.6393920000000001E-3</v>
      </c>
      <c r="J668" s="269">
        <v>2.5042529999999998</v>
      </c>
      <c r="K668" s="272">
        <f t="shared" si="31"/>
        <v>2.5042529999999997E-3</v>
      </c>
      <c r="P668" s="114">
        <v>8.403331E-3</v>
      </c>
      <c r="Q668" s="269">
        <v>2.7546789999999999</v>
      </c>
      <c r="R668" s="272">
        <f t="shared" si="32"/>
        <v>2.7546789999999999E-3</v>
      </c>
    </row>
    <row r="669" spans="2:18" ht="15" customHeight="1" x14ac:dyDescent="0.25">
      <c r="B669" s="114">
        <v>0.56445509999999999</v>
      </c>
      <c r="C669" s="269">
        <v>13.90343</v>
      </c>
      <c r="D669" s="272">
        <f t="shared" si="30"/>
        <v>1.390343E-2</v>
      </c>
      <c r="I669" s="114">
        <v>7.6511440000000003E-3</v>
      </c>
      <c r="J669" s="269">
        <v>2.5046710000000001</v>
      </c>
      <c r="K669" s="272">
        <f t="shared" si="31"/>
        <v>2.504671E-3</v>
      </c>
      <c r="P669" s="114">
        <v>8.4162590000000006E-3</v>
      </c>
      <c r="Q669" s="269">
        <v>2.7551380000000001</v>
      </c>
      <c r="R669" s="272">
        <f t="shared" si="32"/>
        <v>2.7551380000000003E-3</v>
      </c>
    </row>
    <row r="670" spans="2:18" ht="15" customHeight="1" x14ac:dyDescent="0.25">
      <c r="B670" s="114">
        <v>0.56532210000000005</v>
      </c>
      <c r="C670" s="269">
        <v>13.92479</v>
      </c>
      <c r="D670" s="272">
        <f t="shared" si="30"/>
        <v>1.3924789999999999E-2</v>
      </c>
      <c r="I670" s="114">
        <v>7.6628970000000001E-3</v>
      </c>
      <c r="J670" s="269">
        <v>2.5050870000000001</v>
      </c>
      <c r="K670" s="272">
        <f t="shared" si="31"/>
        <v>2.505087E-3</v>
      </c>
      <c r="P670" s="114">
        <v>8.4291869999999994E-3</v>
      </c>
      <c r="Q670" s="269">
        <v>2.7555960000000002</v>
      </c>
      <c r="R670" s="272">
        <f t="shared" si="32"/>
        <v>2.7555960000000003E-3</v>
      </c>
    </row>
    <row r="671" spans="2:18" ht="15" customHeight="1" x14ac:dyDescent="0.25">
      <c r="B671" s="114">
        <v>0.56618919999999995</v>
      </c>
      <c r="C671" s="269">
        <v>13.94614</v>
      </c>
      <c r="D671" s="272">
        <f t="shared" si="30"/>
        <v>1.3946139999999999E-2</v>
      </c>
      <c r="I671" s="114">
        <v>7.6746499999999999E-3</v>
      </c>
      <c r="J671" s="269">
        <v>2.5055040000000002</v>
      </c>
      <c r="K671" s="272">
        <f t="shared" si="31"/>
        <v>2.505504E-3</v>
      </c>
      <c r="P671" s="114">
        <v>8.442115E-3</v>
      </c>
      <c r="Q671" s="269">
        <v>2.7560539999999998</v>
      </c>
      <c r="R671" s="272">
        <f t="shared" si="32"/>
        <v>2.756054E-3</v>
      </c>
    </row>
    <row r="672" spans="2:18" ht="15" customHeight="1" x14ac:dyDescent="0.25">
      <c r="B672" s="114">
        <v>0.56705629999999996</v>
      </c>
      <c r="C672" s="269">
        <v>13.967499999999999</v>
      </c>
      <c r="D672" s="272">
        <f t="shared" si="30"/>
        <v>1.3967499999999999E-2</v>
      </c>
      <c r="I672" s="114">
        <v>7.6864029999999996E-3</v>
      </c>
      <c r="J672" s="269">
        <v>2.505919</v>
      </c>
      <c r="K672" s="272">
        <f t="shared" si="31"/>
        <v>2.5059190000000001E-3</v>
      </c>
      <c r="P672" s="114">
        <v>8.4550430000000006E-3</v>
      </c>
      <c r="Q672" s="269">
        <v>2.7565110000000002</v>
      </c>
      <c r="R672" s="272">
        <f t="shared" si="32"/>
        <v>2.7565110000000001E-3</v>
      </c>
    </row>
    <row r="673" spans="2:18" ht="15" customHeight="1" x14ac:dyDescent="0.25">
      <c r="B673" s="114">
        <v>0.56792330000000002</v>
      </c>
      <c r="C673" s="269">
        <v>13.988860000000001</v>
      </c>
      <c r="D673" s="272">
        <f t="shared" si="30"/>
        <v>1.3988860000000001E-2</v>
      </c>
      <c r="I673" s="114">
        <v>7.6981560000000003E-3</v>
      </c>
      <c r="J673" s="269">
        <v>2.5063339999999998</v>
      </c>
      <c r="K673" s="272">
        <f t="shared" si="31"/>
        <v>2.5063339999999998E-3</v>
      </c>
      <c r="P673" s="114">
        <v>8.4679720000000007E-3</v>
      </c>
      <c r="Q673" s="269">
        <v>2.7569669999999999</v>
      </c>
      <c r="R673" s="272">
        <f t="shared" si="32"/>
        <v>2.7569669999999999E-3</v>
      </c>
    </row>
    <row r="674" spans="2:18" ht="15" customHeight="1" x14ac:dyDescent="0.25">
      <c r="B674" s="114">
        <v>0.56879040000000003</v>
      </c>
      <c r="C674" s="269">
        <v>14.010210000000001</v>
      </c>
      <c r="D674" s="272">
        <f t="shared" si="30"/>
        <v>1.401021E-2</v>
      </c>
      <c r="I674" s="114">
        <v>7.709909E-3</v>
      </c>
      <c r="J674" s="269">
        <v>2.506748</v>
      </c>
      <c r="K674" s="272">
        <f t="shared" si="31"/>
        <v>2.506748E-3</v>
      </c>
      <c r="P674" s="114">
        <v>8.4808999999999996E-3</v>
      </c>
      <c r="Q674" s="269">
        <v>2.7574230000000002</v>
      </c>
      <c r="R674" s="272">
        <f t="shared" si="32"/>
        <v>2.7574230000000002E-3</v>
      </c>
    </row>
    <row r="675" spans="2:18" ht="15" customHeight="1" x14ac:dyDescent="0.25">
      <c r="B675" s="114">
        <v>0.56965739999999998</v>
      </c>
      <c r="C675" s="269">
        <v>14.03157</v>
      </c>
      <c r="D675" s="272">
        <f t="shared" si="30"/>
        <v>1.403157E-2</v>
      </c>
      <c r="I675" s="114">
        <v>7.7216619999999998E-3</v>
      </c>
      <c r="J675" s="269">
        <v>2.5071620000000001</v>
      </c>
      <c r="K675" s="272">
        <f t="shared" si="31"/>
        <v>2.5071620000000003E-3</v>
      </c>
      <c r="P675" s="114">
        <v>8.4938280000000001E-3</v>
      </c>
      <c r="Q675" s="269">
        <v>2.7578779999999998</v>
      </c>
      <c r="R675" s="272">
        <f t="shared" si="32"/>
        <v>2.7578779999999996E-3</v>
      </c>
    </row>
    <row r="676" spans="2:18" ht="15" customHeight="1" x14ac:dyDescent="0.25">
      <c r="B676" s="114">
        <v>0.57052449999999999</v>
      </c>
      <c r="C676" s="269">
        <v>14.05293</v>
      </c>
      <c r="D676" s="272">
        <f t="shared" si="30"/>
        <v>1.405293E-2</v>
      </c>
      <c r="I676" s="114">
        <v>7.7334150000000004E-3</v>
      </c>
      <c r="J676" s="269">
        <v>2.5075750000000001</v>
      </c>
      <c r="K676" s="272">
        <f t="shared" si="31"/>
        <v>2.5075750000000002E-3</v>
      </c>
      <c r="P676" s="114">
        <v>8.5067560000000007E-3</v>
      </c>
      <c r="Q676" s="269">
        <v>2.7583329999999999</v>
      </c>
      <c r="R676" s="272">
        <f t="shared" si="32"/>
        <v>2.758333E-3</v>
      </c>
    </row>
    <row r="677" spans="2:18" ht="15" customHeight="1" x14ac:dyDescent="0.25">
      <c r="B677" s="114">
        <v>0.57139150000000005</v>
      </c>
      <c r="C677" s="269">
        <v>14.07429</v>
      </c>
      <c r="D677" s="272">
        <f t="shared" si="30"/>
        <v>1.407429E-2</v>
      </c>
      <c r="I677" s="114">
        <v>7.7451680000000002E-3</v>
      </c>
      <c r="J677" s="269">
        <v>2.5079880000000001</v>
      </c>
      <c r="K677" s="272">
        <f t="shared" si="31"/>
        <v>2.5079880000000001E-3</v>
      </c>
      <c r="P677" s="114">
        <v>8.5196839999999996E-3</v>
      </c>
      <c r="Q677" s="269">
        <v>2.7587860000000002</v>
      </c>
      <c r="R677" s="272">
        <f t="shared" si="32"/>
        <v>2.7587860000000001E-3</v>
      </c>
    </row>
    <row r="678" spans="2:18" ht="15" customHeight="1" x14ac:dyDescent="0.25">
      <c r="B678" s="114">
        <v>0.57225859999999995</v>
      </c>
      <c r="C678" s="269">
        <v>14.09564</v>
      </c>
      <c r="D678" s="272">
        <f t="shared" si="30"/>
        <v>1.409564E-2</v>
      </c>
      <c r="I678" s="114">
        <v>7.756921E-3</v>
      </c>
      <c r="J678" s="269">
        <v>2.5084</v>
      </c>
      <c r="K678" s="272">
        <f t="shared" si="31"/>
        <v>2.5084E-3</v>
      </c>
      <c r="P678" s="114">
        <v>8.5326129999999997E-3</v>
      </c>
      <c r="Q678" s="269">
        <v>2.7592400000000001</v>
      </c>
      <c r="R678" s="272">
        <f t="shared" si="32"/>
        <v>2.75924E-3</v>
      </c>
    </row>
    <row r="679" spans="2:18" ht="15" customHeight="1" x14ac:dyDescent="0.25">
      <c r="B679" s="114">
        <v>0.57312569999999996</v>
      </c>
      <c r="C679" s="269">
        <v>14.117000000000001</v>
      </c>
      <c r="D679" s="272">
        <f t="shared" si="30"/>
        <v>1.4117000000000001E-2</v>
      </c>
      <c r="I679" s="114">
        <v>7.7686739999999997E-3</v>
      </c>
      <c r="J679" s="269">
        <v>2.5088110000000001</v>
      </c>
      <c r="K679" s="272">
        <f t="shared" si="31"/>
        <v>2.5088110000000001E-3</v>
      </c>
      <c r="P679" s="114">
        <v>8.5455410000000002E-3</v>
      </c>
      <c r="Q679" s="269">
        <v>2.7596919999999998</v>
      </c>
      <c r="R679" s="272">
        <f t="shared" si="32"/>
        <v>2.7596919999999998E-3</v>
      </c>
    </row>
    <row r="680" spans="2:18" ht="15" customHeight="1" x14ac:dyDescent="0.25">
      <c r="B680" s="114">
        <v>0.57399270000000002</v>
      </c>
      <c r="C680" s="269">
        <v>14.13836</v>
      </c>
      <c r="D680" s="272">
        <f t="shared" si="30"/>
        <v>1.4138360000000001E-2</v>
      </c>
      <c r="I680" s="114">
        <v>7.780426E-3</v>
      </c>
      <c r="J680" s="269">
        <v>2.5092219999999998</v>
      </c>
      <c r="K680" s="272">
        <f t="shared" si="31"/>
        <v>2.5092219999999998E-3</v>
      </c>
      <c r="P680" s="114">
        <v>8.5584690000000008E-3</v>
      </c>
      <c r="Q680" s="269">
        <v>2.7601439999999999</v>
      </c>
      <c r="R680" s="272">
        <f t="shared" si="32"/>
        <v>2.760144E-3</v>
      </c>
    </row>
    <row r="681" spans="2:18" ht="15" customHeight="1" x14ac:dyDescent="0.25">
      <c r="B681" s="114">
        <v>0.57485980000000003</v>
      </c>
      <c r="C681" s="269">
        <v>14.15971</v>
      </c>
      <c r="D681" s="272">
        <f t="shared" si="30"/>
        <v>1.4159710000000001E-2</v>
      </c>
      <c r="I681" s="114">
        <v>7.7921789999999998E-3</v>
      </c>
      <c r="J681" s="269">
        <v>2.5096319999999999</v>
      </c>
      <c r="K681" s="272">
        <f t="shared" si="31"/>
        <v>2.5096319999999999E-3</v>
      </c>
      <c r="P681" s="114">
        <v>8.5713969999999997E-3</v>
      </c>
      <c r="Q681" s="269">
        <v>2.7605949999999999</v>
      </c>
      <c r="R681" s="272">
        <f t="shared" si="32"/>
        <v>2.7605949999999998E-3</v>
      </c>
    </row>
    <row r="682" spans="2:18" ht="15" customHeight="1" x14ac:dyDescent="0.25">
      <c r="B682" s="114">
        <v>0.57572679999999998</v>
      </c>
      <c r="C682" s="269">
        <v>14.18107</v>
      </c>
      <c r="D682" s="272">
        <f t="shared" si="30"/>
        <v>1.418107E-2</v>
      </c>
      <c r="I682" s="114">
        <v>7.8039320000000004E-3</v>
      </c>
      <c r="J682" s="269">
        <v>2.5100419999999999</v>
      </c>
      <c r="K682" s="272">
        <f t="shared" si="31"/>
        <v>2.5100420000000001E-3</v>
      </c>
      <c r="P682" s="114">
        <v>8.5843259999999998E-3</v>
      </c>
      <c r="Q682" s="269">
        <v>2.7610459999999999</v>
      </c>
      <c r="R682" s="272">
        <f t="shared" si="32"/>
        <v>2.7610460000000001E-3</v>
      </c>
    </row>
    <row r="683" spans="2:18" ht="15" customHeight="1" x14ac:dyDescent="0.25">
      <c r="B683" s="114">
        <v>0.57659389999999999</v>
      </c>
      <c r="C683" s="269">
        <v>14.20243</v>
      </c>
      <c r="D683" s="272">
        <f t="shared" si="30"/>
        <v>1.420243E-2</v>
      </c>
      <c r="I683" s="114">
        <v>7.8156849999999993E-3</v>
      </c>
      <c r="J683" s="269">
        <v>2.5104510000000002</v>
      </c>
      <c r="K683" s="272">
        <f t="shared" si="31"/>
        <v>2.5104510000000003E-3</v>
      </c>
      <c r="P683" s="114">
        <v>8.5972540000000004E-3</v>
      </c>
      <c r="Q683" s="269">
        <v>2.7614960000000002</v>
      </c>
      <c r="R683" s="272">
        <f t="shared" si="32"/>
        <v>2.761496E-3</v>
      </c>
    </row>
    <row r="684" spans="2:18" ht="15" customHeight="1" x14ac:dyDescent="0.25">
      <c r="B684" s="114">
        <v>0.577461</v>
      </c>
      <c r="C684" s="269">
        <v>14.22378</v>
      </c>
      <c r="D684" s="272">
        <f t="shared" si="30"/>
        <v>1.422378E-2</v>
      </c>
      <c r="I684" s="114">
        <v>7.8274380000000008E-3</v>
      </c>
      <c r="J684" s="269">
        <v>2.5108600000000001</v>
      </c>
      <c r="K684" s="272">
        <f t="shared" si="31"/>
        <v>2.5108600000000002E-3</v>
      </c>
      <c r="P684" s="114">
        <v>8.6101819999999992E-3</v>
      </c>
      <c r="Q684" s="269">
        <v>2.761946</v>
      </c>
      <c r="R684" s="272">
        <f t="shared" si="32"/>
        <v>2.7619459999999999E-3</v>
      </c>
    </row>
    <row r="685" spans="2:18" ht="15" customHeight="1" x14ac:dyDescent="0.25">
      <c r="B685" s="114">
        <v>0.57832799999999995</v>
      </c>
      <c r="C685" s="269">
        <v>14.245139999999999</v>
      </c>
      <c r="D685" s="272">
        <f t="shared" si="30"/>
        <v>1.424514E-2</v>
      </c>
      <c r="I685" s="114">
        <v>7.8391910000000006E-3</v>
      </c>
      <c r="J685" s="269">
        <v>2.5112679999999998</v>
      </c>
      <c r="K685" s="272">
        <f t="shared" si="31"/>
        <v>2.5112679999999997E-3</v>
      </c>
      <c r="P685" s="114">
        <v>8.6231099999999998E-3</v>
      </c>
      <c r="Q685" s="269">
        <v>2.762394</v>
      </c>
      <c r="R685" s="272">
        <f t="shared" si="32"/>
        <v>2.762394E-3</v>
      </c>
    </row>
    <row r="686" spans="2:18" ht="15" customHeight="1" x14ac:dyDescent="0.25">
      <c r="B686" s="114">
        <v>0.57919509999999996</v>
      </c>
      <c r="C686" s="269">
        <v>14.266500000000001</v>
      </c>
      <c r="D686" s="272">
        <f t="shared" si="30"/>
        <v>1.4266500000000001E-2</v>
      </c>
      <c r="I686" s="114">
        <v>7.8509440000000003E-3</v>
      </c>
      <c r="J686" s="269">
        <v>2.5116749999999999</v>
      </c>
      <c r="K686" s="272">
        <f t="shared" si="31"/>
        <v>2.5116749999999997E-3</v>
      </c>
      <c r="P686" s="114">
        <v>8.6360380000000004E-3</v>
      </c>
      <c r="Q686" s="269">
        <v>2.7628430000000002</v>
      </c>
      <c r="R686" s="272">
        <f t="shared" si="32"/>
        <v>2.7628430000000001E-3</v>
      </c>
    </row>
    <row r="687" spans="2:18" ht="15" customHeight="1" x14ac:dyDescent="0.25">
      <c r="B687" s="114">
        <v>0.58006210000000002</v>
      </c>
      <c r="C687" s="269">
        <v>14.28786</v>
      </c>
      <c r="D687" s="272">
        <f t="shared" si="30"/>
        <v>1.4287859999999999E-2</v>
      </c>
      <c r="I687" s="114">
        <v>7.8626970000000001E-3</v>
      </c>
      <c r="J687" s="269">
        <v>2.5120819999999999</v>
      </c>
      <c r="K687" s="272">
        <f t="shared" si="31"/>
        <v>2.5120820000000001E-3</v>
      </c>
      <c r="P687" s="114">
        <v>8.6489670000000005E-3</v>
      </c>
      <c r="Q687" s="269">
        <v>2.76329</v>
      </c>
      <c r="R687" s="272">
        <f t="shared" si="32"/>
        <v>2.7632899999999998E-3</v>
      </c>
    </row>
    <row r="688" spans="2:18" ht="15" customHeight="1" x14ac:dyDescent="0.25">
      <c r="B688" s="114">
        <v>0.58092920000000003</v>
      </c>
      <c r="C688" s="269">
        <v>14.30921</v>
      </c>
      <c r="D688" s="272">
        <f t="shared" si="30"/>
        <v>1.4309210000000001E-2</v>
      </c>
      <c r="I688" s="114">
        <v>7.8744499999999999E-3</v>
      </c>
      <c r="J688" s="269">
        <v>2.512489</v>
      </c>
      <c r="K688" s="272">
        <f t="shared" si="31"/>
        <v>2.5124890000000001E-3</v>
      </c>
      <c r="P688" s="114">
        <v>8.6618949999999993E-3</v>
      </c>
      <c r="Q688" s="269">
        <v>2.7637369999999999</v>
      </c>
      <c r="R688" s="272">
        <f t="shared" si="32"/>
        <v>2.7637370000000001E-3</v>
      </c>
    </row>
    <row r="689" spans="2:18" ht="15" customHeight="1" x14ac:dyDescent="0.25">
      <c r="B689" s="114">
        <v>0.58179630000000004</v>
      </c>
      <c r="C689" s="269">
        <v>14.33057</v>
      </c>
      <c r="D689" s="272">
        <f t="shared" si="30"/>
        <v>1.4330569999999999E-2</v>
      </c>
      <c r="I689" s="114">
        <v>7.8862029999999996E-3</v>
      </c>
      <c r="J689" s="269">
        <v>2.5128940000000002</v>
      </c>
      <c r="K689" s="272">
        <f t="shared" si="31"/>
        <v>2.5128940000000003E-3</v>
      </c>
      <c r="P689" s="114">
        <v>8.6748229999999999E-3</v>
      </c>
      <c r="Q689" s="269">
        <v>2.7641840000000002</v>
      </c>
      <c r="R689" s="272">
        <f t="shared" si="32"/>
        <v>2.7641840000000003E-3</v>
      </c>
    </row>
    <row r="690" spans="2:18" ht="15" customHeight="1" x14ac:dyDescent="0.25">
      <c r="B690" s="114">
        <v>0.5826633</v>
      </c>
      <c r="C690" s="269">
        <v>14.351929999999999</v>
      </c>
      <c r="D690" s="272">
        <f t="shared" si="30"/>
        <v>1.4351929999999999E-2</v>
      </c>
      <c r="I690" s="114">
        <v>7.8979559999999994E-3</v>
      </c>
      <c r="J690" s="269">
        <v>2.5133000000000001</v>
      </c>
      <c r="K690" s="272">
        <f t="shared" si="31"/>
        <v>2.5133E-3</v>
      </c>
      <c r="P690" s="114">
        <v>8.6877510000000005E-3</v>
      </c>
      <c r="Q690" s="269">
        <v>2.7646299999999999</v>
      </c>
      <c r="R690" s="272">
        <f t="shared" si="32"/>
        <v>2.7646300000000001E-3</v>
      </c>
    </row>
    <row r="691" spans="2:18" ht="15" customHeight="1" x14ac:dyDescent="0.25">
      <c r="B691" s="114">
        <v>0.5835304</v>
      </c>
      <c r="C691" s="269">
        <v>14.373279999999999</v>
      </c>
      <c r="D691" s="272">
        <f t="shared" si="30"/>
        <v>1.4373279999999999E-2</v>
      </c>
      <c r="I691" s="114">
        <v>7.9097079999999997E-3</v>
      </c>
      <c r="J691" s="269">
        <v>2.5137049999999999</v>
      </c>
      <c r="K691" s="272">
        <f t="shared" si="31"/>
        <v>2.5137049999999998E-3</v>
      </c>
      <c r="P691" s="114">
        <v>8.7006789999999994E-3</v>
      </c>
      <c r="Q691" s="269">
        <v>2.7650749999999999</v>
      </c>
      <c r="R691" s="272">
        <f t="shared" si="32"/>
        <v>2.7650750000000001E-3</v>
      </c>
    </row>
    <row r="692" spans="2:18" ht="15" customHeight="1" x14ac:dyDescent="0.25">
      <c r="B692" s="114">
        <v>0.58439739999999996</v>
      </c>
      <c r="C692" s="269">
        <v>14.394640000000001</v>
      </c>
      <c r="D692" s="272">
        <f t="shared" si="30"/>
        <v>1.439464E-2</v>
      </c>
      <c r="I692" s="114">
        <v>7.9214609999999994E-3</v>
      </c>
      <c r="J692" s="269">
        <v>2.5141089999999999</v>
      </c>
      <c r="K692" s="272">
        <f t="shared" si="31"/>
        <v>2.514109E-3</v>
      </c>
      <c r="P692" s="114">
        <v>8.7136079999999994E-3</v>
      </c>
      <c r="Q692" s="269">
        <v>2.76552</v>
      </c>
      <c r="R692" s="272">
        <f t="shared" si="32"/>
        <v>2.76552E-3</v>
      </c>
    </row>
    <row r="693" spans="2:18" ht="15" customHeight="1" x14ac:dyDescent="0.25">
      <c r="B693" s="114">
        <v>0.58526449999999997</v>
      </c>
      <c r="C693" s="269">
        <v>14.416</v>
      </c>
      <c r="D693" s="272">
        <f t="shared" si="30"/>
        <v>1.4416E-2</v>
      </c>
      <c r="I693" s="114">
        <v>7.9332139999999992E-3</v>
      </c>
      <c r="J693" s="269">
        <v>2.514513</v>
      </c>
      <c r="K693" s="272">
        <f t="shared" si="31"/>
        <v>2.5145129999999999E-3</v>
      </c>
      <c r="P693" s="114">
        <v>8.726536E-3</v>
      </c>
      <c r="Q693" s="269">
        <v>2.7659639999999999</v>
      </c>
      <c r="R693" s="272">
        <f t="shared" si="32"/>
        <v>2.7659639999999997E-3</v>
      </c>
    </row>
    <row r="694" spans="2:18" ht="15" customHeight="1" x14ac:dyDescent="0.25">
      <c r="B694" s="114">
        <v>0.58613150000000003</v>
      </c>
      <c r="C694" s="269">
        <v>14.43736</v>
      </c>
      <c r="D694" s="272">
        <f t="shared" si="30"/>
        <v>1.443736E-2</v>
      </c>
      <c r="I694" s="114">
        <v>7.9449670000000007E-3</v>
      </c>
      <c r="J694" s="269">
        <v>2.5149159999999999</v>
      </c>
      <c r="K694" s="272">
        <f t="shared" si="31"/>
        <v>2.5149159999999999E-3</v>
      </c>
      <c r="P694" s="114">
        <v>8.7394640000000006E-3</v>
      </c>
      <c r="Q694" s="269">
        <v>2.7664070000000001</v>
      </c>
      <c r="R694" s="272">
        <f t="shared" si="32"/>
        <v>2.7664070000000002E-3</v>
      </c>
    </row>
    <row r="695" spans="2:18" ht="15" customHeight="1" x14ac:dyDescent="0.25">
      <c r="B695" s="114">
        <v>0.58699860000000004</v>
      </c>
      <c r="C695" s="269">
        <v>14.45871</v>
      </c>
      <c r="D695" s="272">
        <f t="shared" si="30"/>
        <v>1.445871E-2</v>
      </c>
      <c r="I695" s="114">
        <v>7.9567200000000005E-3</v>
      </c>
      <c r="J695" s="269">
        <v>2.5153189999999999</v>
      </c>
      <c r="K695" s="272">
        <f t="shared" si="31"/>
        <v>2.5153189999999998E-3</v>
      </c>
      <c r="P695" s="114">
        <v>8.7523919999999995E-3</v>
      </c>
      <c r="Q695" s="269">
        <v>2.7668499999999998</v>
      </c>
      <c r="R695" s="272">
        <f t="shared" si="32"/>
        <v>2.76685E-3</v>
      </c>
    </row>
    <row r="696" spans="2:18" ht="15" customHeight="1" x14ac:dyDescent="0.25">
      <c r="B696" s="114">
        <v>0.58786570000000005</v>
      </c>
      <c r="C696" s="269">
        <v>14.48007</v>
      </c>
      <c r="D696" s="272">
        <f t="shared" si="30"/>
        <v>1.4480069999999999E-2</v>
      </c>
      <c r="I696" s="114">
        <v>7.9684730000000002E-3</v>
      </c>
      <c r="J696" s="269">
        <v>2.5157210000000001</v>
      </c>
      <c r="K696" s="272">
        <f t="shared" si="31"/>
        <v>2.5157210000000003E-3</v>
      </c>
      <c r="P696" s="114">
        <v>8.7653200000000001E-3</v>
      </c>
      <c r="Q696" s="269">
        <v>2.767293</v>
      </c>
      <c r="R696" s="272">
        <f t="shared" si="32"/>
        <v>2.7672930000000001E-3</v>
      </c>
    </row>
    <row r="697" spans="2:18" ht="15" customHeight="1" x14ac:dyDescent="0.25">
      <c r="B697" s="114">
        <v>0.5887327</v>
      </c>
      <c r="C697" s="269">
        <v>14.501429999999999</v>
      </c>
      <c r="D697" s="272">
        <f t="shared" si="30"/>
        <v>1.4501429999999999E-2</v>
      </c>
      <c r="I697" s="114">
        <v>7.980226E-3</v>
      </c>
      <c r="J697" s="269">
        <v>2.5161220000000002</v>
      </c>
      <c r="K697" s="272">
        <f t="shared" si="31"/>
        <v>2.516122E-3</v>
      </c>
      <c r="P697" s="114">
        <v>8.7782490000000001E-3</v>
      </c>
      <c r="Q697" s="269">
        <v>2.7677350000000001</v>
      </c>
      <c r="R697" s="272">
        <f t="shared" si="32"/>
        <v>2.7677349999999999E-3</v>
      </c>
    </row>
    <row r="698" spans="2:18" ht="15" customHeight="1" x14ac:dyDescent="0.25">
      <c r="B698" s="114">
        <v>0.58959980000000001</v>
      </c>
      <c r="C698" s="269">
        <v>14.522779999999999</v>
      </c>
      <c r="D698" s="272">
        <f t="shared" si="30"/>
        <v>1.4522779999999999E-2</v>
      </c>
      <c r="I698" s="114">
        <v>7.9919789999999997E-3</v>
      </c>
      <c r="J698" s="269">
        <v>2.516524</v>
      </c>
      <c r="K698" s="272">
        <f t="shared" si="31"/>
        <v>2.516524E-3</v>
      </c>
      <c r="P698" s="114">
        <v>8.7911770000000007E-3</v>
      </c>
      <c r="Q698" s="269">
        <v>2.768176</v>
      </c>
      <c r="R698" s="272">
        <f t="shared" si="32"/>
        <v>2.7681759999999998E-3</v>
      </c>
    </row>
    <row r="699" spans="2:18" ht="15" customHeight="1" x14ac:dyDescent="0.25">
      <c r="B699" s="114">
        <v>0.59046679999999996</v>
      </c>
      <c r="C699" s="269">
        <v>14.544140000000001</v>
      </c>
      <c r="D699" s="272">
        <f t="shared" si="30"/>
        <v>1.4544140000000001E-2</v>
      </c>
      <c r="I699" s="114">
        <v>8.0037319999999995E-3</v>
      </c>
      <c r="J699" s="269">
        <v>2.5169239999999999</v>
      </c>
      <c r="K699" s="272">
        <f t="shared" si="31"/>
        <v>2.5169239999999998E-3</v>
      </c>
      <c r="P699" s="114">
        <v>8.8041049999999996E-3</v>
      </c>
      <c r="Q699" s="269">
        <v>2.7686169999999999</v>
      </c>
      <c r="R699" s="272">
        <f t="shared" si="32"/>
        <v>2.7686169999999997E-3</v>
      </c>
    </row>
    <row r="700" spans="2:18" ht="15" customHeight="1" x14ac:dyDescent="0.25">
      <c r="B700" s="114">
        <v>0.59133389999999997</v>
      </c>
      <c r="C700" s="269">
        <v>14.5655</v>
      </c>
      <c r="D700" s="272">
        <f t="shared" si="30"/>
        <v>1.45655E-2</v>
      </c>
      <c r="I700" s="114">
        <v>8.0154849999999993E-3</v>
      </c>
      <c r="J700" s="269">
        <v>2.5173239999999999</v>
      </c>
      <c r="K700" s="272">
        <f t="shared" si="31"/>
        <v>2.517324E-3</v>
      </c>
      <c r="P700" s="114">
        <v>8.8170330000000002E-3</v>
      </c>
      <c r="Q700" s="269">
        <v>2.7690570000000001</v>
      </c>
      <c r="R700" s="272">
        <f t="shared" si="32"/>
        <v>2.7690570000000001E-3</v>
      </c>
    </row>
    <row r="701" spans="2:18" ht="15" customHeight="1" x14ac:dyDescent="0.25">
      <c r="B701" s="114">
        <v>0.59220099999999998</v>
      </c>
      <c r="C701" s="269">
        <v>14.58685</v>
      </c>
      <c r="D701" s="272">
        <f t="shared" si="30"/>
        <v>1.458685E-2</v>
      </c>
      <c r="I701" s="114">
        <v>8.0272380000000008E-3</v>
      </c>
      <c r="J701" s="269">
        <v>2.5177239999999999</v>
      </c>
      <c r="K701" s="272">
        <f t="shared" si="31"/>
        <v>2.5177239999999998E-3</v>
      </c>
      <c r="P701" s="114">
        <v>8.8299610000000008E-3</v>
      </c>
      <c r="Q701" s="269">
        <v>2.7694969999999999</v>
      </c>
      <c r="R701" s="272">
        <f t="shared" si="32"/>
        <v>2.7694969999999997E-3</v>
      </c>
    </row>
    <row r="702" spans="2:18" ht="15" customHeight="1" x14ac:dyDescent="0.25">
      <c r="B702" s="114">
        <v>0.59306800000000004</v>
      </c>
      <c r="C702" s="269">
        <v>14.60821</v>
      </c>
      <c r="D702" s="272">
        <f t="shared" si="30"/>
        <v>1.460821E-2</v>
      </c>
      <c r="I702" s="114">
        <v>8.0389899999999993E-3</v>
      </c>
      <c r="J702" s="269">
        <v>2.5181230000000001</v>
      </c>
      <c r="K702" s="272">
        <f t="shared" si="31"/>
        <v>2.5181230000000001E-3</v>
      </c>
      <c r="P702" s="114">
        <v>8.8428900000000008E-3</v>
      </c>
      <c r="Q702" s="269">
        <v>2.769936</v>
      </c>
      <c r="R702" s="272">
        <f t="shared" si="32"/>
        <v>2.7699359999999998E-3</v>
      </c>
    </row>
    <row r="703" spans="2:18" ht="15" customHeight="1" x14ac:dyDescent="0.25">
      <c r="B703" s="114">
        <v>0.59393510000000005</v>
      </c>
      <c r="C703" s="269">
        <v>14.629569999999999</v>
      </c>
      <c r="D703" s="272">
        <f t="shared" si="30"/>
        <v>1.462957E-2</v>
      </c>
      <c r="I703" s="114">
        <v>8.0507430000000008E-3</v>
      </c>
      <c r="J703" s="269">
        <v>2.5185219999999999</v>
      </c>
      <c r="K703" s="272">
        <f t="shared" si="31"/>
        <v>2.518522E-3</v>
      </c>
      <c r="P703" s="114">
        <v>8.8558179999999997E-3</v>
      </c>
      <c r="Q703" s="269">
        <v>2.7703739999999999</v>
      </c>
      <c r="R703" s="272">
        <f t="shared" si="32"/>
        <v>2.7703739999999999E-3</v>
      </c>
    </row>
    <row r="704" spans="2:18" ht="15" customHeight="1" x14ac:dyDescent="0.25">
      <c r="B704" s="114">
        <v>0.5948021</v>
      </c>
      <c r="C704" s="269">
        <v>14.650930000000001</v>
      </c>
      <c r="D704" s="272">
        <f t="shared" si="30"/>
        <v>1.4650930000000001E-2</v>
      </c>
      <c r="I704" s="114">
        <v>8.0624960000000006E-3</v>
      </c>
      <c r="J704" s="269">
        <v>2.51892</v>
      </c>
      <c r="K704" s="272">
        <f t="shared" si="31"/>
        <v>2.51892E-3</v>
      </c>
      <c r="P704" s="114">
        <v>8.8687460000000003E-3</v>
      </c>
      <c r="Q704" s="269">
        <v>2.7708119999999998</v>
      </c>
      <c r="R704" s="272">
        <f t="shared" si="32"/>
        <v>2.7708119999999997E-3</v>
      </c>
    </row>
    <row r="705" spans="2:18" ht="15" customHeight="1" x14ac:dyDescent="0.25">
      <c r="B705" s="114">
        <v>0.59566920000000001</v>
      </c>
      <c r="C705" s="269">
        <v>14.672280000000001</v>
      </c>
      <c r="D705" s="272">
        <f t="shared" si="30"/>
        <v>1.4672280000000001E-2</v>
      </c>
      <c r="I705" s="114">
        <v>8.0742490000000004E-3</v>
      </c>
      <c r="J705" s="269">
        <v>2.5193180000000002</v>
      </c>
      <c r="K705" s="272">
        <f t="shared" si="31"/>
        <v>2.519318E-3</v>
      </c>
      <c r="P705" s="114">
        <v>8.8816740000000009E-3</v>
      </c>
      <c r="Q705" s="269">
        <v>2.7712500000000002</v>
      </c>
      <c r="R705" s="272">
        <f t="shared" si="32"/>
        <v>2.7712500000000003E-3</v>
      </c>
    </row>
    <row r="706" spans="2:18" ht="15" customHeight="1" x14ac:dyDescent="0.25">
      <c r="B706" s="114">
        <v>0.59653619999999996</v>
      </c>
      <c r="C706" s="269">
        <v>14.69364</v>
      </c>
      <c r="D706" s="272">
        <f t="shared" si="30"/>
        <v>1.4693640000000001E-2</v>
      </c>
      <c r="I706" s="114">
        <v>8.0860020000000001E-3</v>
      </c>
      <c r="J706" s="269">
        <v>2.5197150000000001</v>
      </c>
      <c r="K706" s="272">
        <f t="shared" si="31"/>
        <v>2.5197150000000001E-3</v>
      </c>
      <c r="P706" s="114">
        <v>8.8946019999999997E-3</v>
      </c>
      <c r="Q706" s="269">
        <v>2.771687</v>
      </c>
      <c r="R706" s="272">
        <f t="shared" si="32"/>
        <v>2.7716870000000001E-3</v>
      </c>
    </row>
    <row r="707" spans="2:18" ht="15" customHeight="1" x14ac:dyDescent="0.25">
      <c r="B707" s="114">
        <v>0.59740329999999997</v>
      </c>
      <c r="C707" s="269">
        <v>14.715</v>
      </c>
      <c r="D707" s="272">
        <f t="shared" si="30"/>
        <v>1.4715000000000001E-2</v>
      </c>
      <c r="I707" s="114">
        <v>8.0977549999999999E-3</v>
      </c>
      <c r="J707" s="269">
        <v>2.5201120000000001</v>
      </c>
      <c r="K707" s="272">
        <f t="shared" si="31"/>
        <v>2.5201120000000001E-3</v>
      </c>
      <c r="P707" s="114">
        <v>8.9075309999999998E-3</v>
      </c>
      <c r="Q707" s="269">
        <v>2.7721230000000001</v>
      </c>
      <c r="R707" s="272">
        <f t="shared" si="32"/>
        <v>2.772123E-3</v>
      </c>
    </row>
    <row r="708" spans="2:18" ht="15" customHeight="1" x14ac:dyDescent="0.25">
      <c r="B708" s="114">
        <v>0.59827039999999998</v>
      </c>
      <c r="C708" s="269">
        <v>14.73635</v>
      </c>
      <c r="D708" s="272">
        <f t="shared" si="30"/>
        <v>1.473635E-2</v>
      </c>
      <c r="I708" s="114">
        <v>8.1095079999999996E-3</v>
      </c>
      <c r="J708" s="269">
        <v>2.520508</v>
      </c>
      <c r="K708" s="272">
        <f t="shared" si="31"/>
        <v>2.5205079999999999E-3</v>
      </c>
      <c r="P708" s="114">
        <v>8.9204590000000004E-3</v>
      </c>
      <c r="Q708" s="269">
        <v>2.7725590000000002</v>
      </c>
      <c r="R708" s="272">
        <f t="shared" si="32"/>
        <v>2.7725590000000004E-3</v>
      </c>
    </row>
    <row r="709" spans="2:18" ht="15" customHeight="1" x14ac:dyDescent="0.25">
      <c r="B709" s="114">
        <v>0.59913740000000004</v>
      </c>
      <c r="C709" s="269">
        <v>14.757709999999999</v>
      </c>
      <c r="D709" s="272">
        <f t="shared" si="30"/>
        <v>1.475771E-2</v>
      </c>
      <c r="I709" s="114">
        <v>8.1212609999999994E-3</v>
      </c>
      <c r="J709" s="269">
        <v>2.5209039999999998</v>
      </c>
      <c r="K709" s="272">
        <f t="shared" si="31"/>
        <v>2.520904E-3</v>
      </c>
      <c r="P709" s="114">
        <v>8.9333869999999992E-3</v>
      </c>
      <c r="Q709" s="269">
        <v>2.7729940000000002</v>
      </c>
      <c r="R709" s="272">
        <f t="shared" si="32"/>
        <v>2.772994E-3</v>
      </c>
    </row>
    <row r="710" spans="2:18" ht="15" customHeight="1" x14ac:dyDescent="0.25">
      <c r="B710" s="114">
        <v>0.60000450000000005</v>
      </c>
      <c r="C710" s="269">
        <v>14.779070000000001</v>
      </c>
      <c r="D710" s="272">
        <f t="shared" si="30"/>
        <v>1.477907E-2</v>
      </c>
      <c r="I710" s="114">
        <v>8.1330139999999992E-3</v>
      </c>
      <c r="J710" s="269">
        <v>2.521299</v>
      </c>
      <c r="K710" s="272">
        <f t="shared" si="31"/>
        <v>2.5212989999999998E-3</v>
      </c>
      <c r="P710" s="114">
        <v>8.9463149999999998E-3</v>
      </c>
      <c r="Q710" s="269">
        <v>2.7734290000000001</v>
      </c>
      <c r="R710" s="272">
        <f t="shared" si="32"/>
        <v>2.773429E-3</v>
      </c>
    </row>
    <row r="711" spans="2:18" ht="15" customHeight="1" x14ac:dyDescent="0.25">
      <c r="B711" s="114">
        <v>0.6008715</v>
      </c>
      <c r="C711" s="269">
        <v>14.800420000000001</v>
      </c>
      <c r="D711" s="272">
        <f t="shared" si="30"/>
        <v>1.4800420000000002E-2</v>
      </c>
      <c r="I711" s="114">
        <v>8.1447670000000007E-3</v>
      </c>
      <c r="J711" s="269">
        <v>2.5216940000000001</v>
      </c>
      <c r="K711" s="272">
        <f t="shared" si="31"/>
        <v>2.5216940000000001E-3</v>
      </c>
      <c r="P711" s="114">
        <v>8.9592430000000004E-3</v>
      </c>
      <c r="Q711" s="269">
        <v>2.773863</v>
      </c>
      <c r="R711" s="272">
        <f t="shared" si="32"/>
        <v>2.7738630000000001E-3</v>
      </c>
    </row>
    <row r="712" spans="2:18" ht="15" customHeight="1" x14ac:dyDescent="0.25">
      <c r="B712" s="114">
        <v>0.60173860000000001</v>
      </c>
      <c r="C712" s="269">
        <v>14.82178</v>
      </c>
      <c r="D712" s="272">
        <f t="shared" si="30"/>
        <v>1.482178E-2</v>
      </c>
      <c r="I712" s="114">
        <v>8.1565200000000004E-3</v>
      </c>
      <c r="J712" s="269">
        <v>2.5220880000000001</v>
      </c>
      <c r="K712" s="272">
        <f t="shared" si="31"/>
        <v>2.522088E-3</v>
      </c>
      <c r="P712" s="114">
        <v>8.9721720000000005E-3</v>
      </c>
      <c r="Q712" s="269">
        <v>2.7742969999999998</v>
      </c>
      <c r="R712" s="272">
        <f t="shared" si="32"/>
        <v>2.7742969999999998E-3</v>
      </c>
    </row>
    <row r="713" spans="2:18" ht="15" customHeight="1" x14ac:dyDescent="0.25">
      <c r="B713" s="114">
        <v>0.60260570000000002</v>
      </c>
      <c r="C713" s="269">
        <v>14.84314</v>
      </c>
      <c r="D713" s="272">
        <f t="shared" si="30"/>
        <v>1.4843139999999999E-2</v>
      </c>
      <c r="I713" s="114">
        <v>8.1682720000000007E-3</v>
      </c>
      <c r="J713" s="269">
        <v>2.5224820000000001</v>
      </c>
      <c r="K713" s="272">
        <f t="shared" si="31"/>
        <v>2.5224819999999999E-3</v>
      </c>
      <c r="P713" s="114">
        <v>8.9850999999999993E-3</v>
      </c>
      <c r="Q713" s="269">
        <v>2.7747310000000001</v>
      </c>
      <c r="R713" s="272">
        <f t="shared" si="32"/>
        <v>2.7747309999999999E-3</v>
      </c>
    </row>
    <row r="714" spans="2:18" ht="15" customHeight="1" x14ac:dyDescent="0.25">
      <c r="B714" s="114">
        <v>0.60347269999999997</v>
      </c>
      <c r="C714" s="269">
        <v>14.8645</v>
      </c>
      <c r="D714" s="272">
        <f t="shared" si="30"/>
        <v>1.4864499999999999E-2</v>
      </c>
      <c r="I714" s="114">
        <v>8.1800250000000005E-3</v>
      </c>
      <c r="J714" s="269">
        <v>2.5228760000000001</v>
      </c>
      <c r="K714" s="272">
        <f t="shared" si="31"/>
        <v>2.5228760000000003E-3</v>
      </c>
      <c r="P714" s="114">
        <v>8.9980279999999999E-3</v>
      </c>
      <c r="Q714" s="269">
        <v>2.775163</v>
      </c>
      <c r="R714" s="272">
        <f t="shared" si="32"/>
        <v>2.7751630000000002E-3</v>
      </c>
    </row>
    <row r="715" spans="2:18" ht="15" customHeight="1" x14ac:dyDescent="0.25">
      <c r="B715" s="114">
        <v>0.60433979999999998</v>
      </c>
      <c r="C715" s="269">
        <v>14.88585</v>
      </c>
      <c r="D715" s="272">
        <f t="shared" si="30"/>
        <v>1.4885849999999999E-2</v>
      </c>
      <c r="I715" s="114">
        <v>8.1917780000000003E-3</v>
      </c>
      <c r="J715" s="269">
        <v>2.523269</v>
      </c>
      <c r="K715" s="272">
        <f t="shared" si="31"/>
        <v>2.5232689999999999E-3</v>
      </c>
      <c r="P715" s="114">
        <v>9.0109560000000005E-3</v>
      </c>
      <c r="Q715" s="269">
        <v>2.7755960000000002</v>
      </c>
      <c r="R715" s="272">
        <f t="shared" si="32"/>
        <v>2.775596E-3</v>
      </c>
    </row>
    <row r="716" spans="2:18" ht="15" customHeight="1" x14ac:dyDescent="0.25">
      <c r="B716" s="114">
        <v>0.60520680000000004</v>
      </c>
      <c r="C716" s="269">
        <v>14.907209999999999</v>
      </c>
      <c r="D716" s="272">
        <f t="shared" si="30"/>
        <v>1.4907209999999999E-2</v>
      </c>
      <c r="I716" s="114">
        <v>8.203531E-3</v>
      </c>
      <c r="J716" s="269">
        <v>2.5236610000000002</v>
      </c>
      <c r="K716" s="272">
        <f t="shared" si="31"/>
        <v>2.523661E-3</v>
      </c>
      <c r="P716" s="114">
        <v>9.0238839999999994E-3</v>
      </c>
      <c r="Q716" s="269">
        <v>2.776027</v>
      </c>
      <c r="R716" s="272">
        <f t="shared" si="32"/>
        <v>2.7760269999999999E-3</v>
      </c>
    </row>
    <row r="717" spans="2:18" ht="15" customHeight="1" x14ac:dyDescent="0.25">
      <c r="B717" s="114">
        <v>0.60607390000000005</v>
      </c>
      <c r="C717" s="269">
        <v>14.928570000000001</v>
      </c>
      <c r="D717" s="272">
        <f t="shared" si="30"/>
        <v>1.492857E-2</v>
      </c>
      <c r="I717" s="114">
        <v>8.2152839999999998E-3</v>
      </c>
      <c r="J717" s="269">
        <v>2.5240529999999999</v>
      </c>
      <c r="K717" s="272">
        <f t="shared" si="31"/>
        <v>2.5240530000000001E-3</v>
      </c>
      <c r="P717" s="114">
        <v>9.0368129999999994E-3</v>
      </c>
      <c r="Q717" s="269">
        <v>2.776459</v>
      </c>
      <c r="R717" s="272">
        <f t="shared" si="32"/>
        <v>2.7764590000000002E-3</v>
      </c>
    </row>
    <row r="718" spans="2:18" ht="15" customHeight="1" x14ac:dyDescent="0.25">
      <c r="B718" s="114">
        <v>0.60694090000000001</v>
      </c>
      <c r="C718" s="269">
        <v>14.949920000000001</v>
      </c>
      <c r="D718" s="272">
        <f t="shared" si="30"/>
        <v>1.494992E-2</v>
      </c>
      <c r="I718" s="114">
        <v>8.2270369999999995E-3</v>
      </c>
      <c r="J718" s="269">
        <v>2.5244450000000001</v>
      </c>
      <c r="K718" s="272">
        <f t="shared" si="31"/>
        <v>2.5244450000000002E-3</v>
      </c>
      <c r="P718" s="114">
        <v>9.049741E-3</v>
      </c>
      <c r="Q718" s="269">
        <v>2.7768890000000002</v>
      </c>
      <c r="R718" s="272">
        <f t="shared" si="32"/>
        <v>2.7768890000000003E-3</v>
      </c>
    </row>
    <row r="719" spans="2:18" ht="15" customHeight="1" x14ac:dyDescent="0.25">
      <c r="B719" s="114">
        <v>0.60780800000000001</v>
      </c>
      <c r="C719" s="269">
        <v>14.97128</v>
      </c>
      <c r="D719" s="272">
        <f t="shared" si="30"/>
        <v>1.497128E-2</v>
      </c>
      <c r="I719" s="114">
        <v>8.2387899999999993E-3</v>
      </c>
      <c r="J719" s="269">
        <v>2.5248360000000001</v>
      </c>
      <c r="K719" s="272">
        <f t="shared" si="31"/>
        <v>2.5248359999999999E-3</v>
      </c>
      <c r="P719" s="114">
        <v>9.0626690000000006E-3</v>
      </c>
      <c r="Q719" s="269">
        <v>2.77732</v>
      </c>
      <c r="R719" s="272">
        <f t="shared" si="32"/>
        <v>2.7773200000000002E-3</v>
      </c>
    </row>
    <row r="720" spans="2:18" ht="15" customHeight="1" x14ac:dyDescent="0.25">
      <c r="B720" s="114">
        <v>0.60867510000000002</v>
      </c>
      <c r="C720" s="269">
        <v>14.99264</v>
      </c>
      <c r="D720" s="272">
        <f t="shared" si="30"/>
        <v>1.499264E-2</v>
      </c>
      <c r="I720" s="114">
        <v>8.2505430000000008E-3</v>
      </c>
      <c r="J720" s="269">
        <v>2.5252270000000001</v>
      </c>
      <c r="K720" s="272">
        <f t="shared" si="31"/>
        <v>2.5252270000000001E-3</v>
      </c>
      <c r="P720" s="114">
        <v>9.0755969999999995E-3</v>
      </c>
      <c r="Q720" s="269">
        <v>2.7777500000000002</v>
      </c>
      <c r="R720" s="272">
        <f t="shared" si="32"/>
        <v>2.7777500000000003E-3</v>
      </c>
    </row>
    <row r="721" spans="2:18" ht="15" customHeight="1" x14ac:dyDescent="0.25">
      <c r="B721" s="114">
        <v>0.60954209999999998</v>
      </c>
      <c r="C721" s="269">
        <v>15.013999999999999</v>
      </c>
      <c r="D721" s="272">
        <f t="shared" si="30"/>
        <v>1.5014E-2</v>
      </c>
      <c r="I721" s="114">
        <v>8.2622960000000006E-3</v>
      </c>
      <c r="J721" s="269">
        <v>2.525617</v>
      </c>
      <c r="K721" s="272">
        <f t="shared" si="31"/>
        <v>2.525617E-3</v>
      </c>
      <c r="P721" s="114">
        <v>9.0885250000000001E-3</v>
      </c>
      <c r="Q721" s="269">
        <v>2.7781790000000002</v>
      </c>
      <c r="R721" s="272">
        <f t="shared" si="32"/>
        <v>2.778179E-3</v>
      </c>
    </row>
    <row r="722" spans="2:18" ht="15" customHeight="1" x14ac:dyDescent="0.25">
      <c r="B722" s="114">
        <v>0.61040919999999999</v>
      </c>
      <c r="C722" s="269">
        <v>15.035349999999999</v>
      </c>
      <c r="D722" s="272">
        <f t="shared" ref="D722:D785" si="33">C722/1000</f>
        <v>1.5035349999999999E-2</v>
      </c>
      <c r="I722" s="114">
        <v>8.2740490000000003E-3</v>
      </c>
      <c r="J722" s="269">
        <v>2.5260069999999999</v>
      </c>
      <c r="K722" s="272">
        <f t="shared" ref="K722:K785" si="34">J722/1000</f>
        <v>2.5260069999999998E-3</v>
      </c>
      <c r="P722" s="114">
        <v>9.1014540000000001E-3</v>
      </c>
      <c r="Q722" s="269">
        <v>2.7786080000000002</v>
      </c>
      <c r="R722" s="272">
        <f t="shared" ref="R722:R785" si="35">Q722/1000</f>
        <v>2.7786080000000001E-3</v>
      </c>
    </row>
    <row r="723" spans="2:18" ht="15" customHeight="1" x14ac:dyDescent="0.25">
      <c r="B723" s="114">
        <v>0.61127620000000005</v>
      </c>
      <c r="C723" s="269">
        <v>15.056710000000001</v>
      </c>
      <c r="D723" s="272">
        <f t="shared" si="33"/>
        <v>1.5056710000000001E-2</v>
      </c>
      <c r="I723" s="114">
        <v>8.2858020000000001E-3</v>
      </c>
      <c r="J723" s="269">
        <v>2.5263960000000001</v>
      </c>
      <c r="K723" s="272">
        <f t="shared" si="34"/>
        <v>2.5263960000000002E-3</v>
      </c>
      <c r="P723" s="114">
        <v>9.1143820000000007E-3</v>
      </c>
      <c r="Q723" s="269">
        <v>2.7790360000000001</v>
      </c>
      <c r="R723" s="272">
        <f t="shared" si="35"/>
        <v>2.7790359999999999E-3</v>
      </c>
    </row>
    <row r="724" spans="2:18" ht="15" customHeight="1" x14ac:dyDescent="0.25">
      <c r="B724" s="114">
        <v>0.61214329999999995</v>
      </c>
      <c r="C724" s="269">
        <v>15.07807</v>
      </c>
      <c r="D724" s="272">
        <f t="shared" si="33"/>
        <v>1.5078070000000001E-2</v>
      </c>
      <c r="I724" s="114">
        <v>8.2975540000000004E-3</v>
      </c>
      <c r="J724" s="269">
        <v>2.5267849999999998</v>
      </c>
      <c r="K724" s="272">
        <f t="shared" si="34"/>
        <v>2.5267849999999997E-3</v>
      </c>
      <c r="P724" s="114">
        <v>9.1273099999999996E-3</v>
      </c>
      <c r="Q724" s="269">
        <v>2.7794639999999999</v>
      </c>
      <c r="R724" s="272">
        <f t="shared" si="35"/>
        <v>2.7794639999999997E-3</v>
      </c>
    </row>
    <row r="725" spans="2:18" ht="15" customHeight="1" x14ac:dyDescent="0.25">
      <c r="B725" s="114">
        <v>0.61301039999999996</v>
      </c>
      <c r="C725" s="269">
        <v>15.09942</v>
      </c>
      <c r="D725" s="272">
        <f t="shared" si="33"/>
        <v>1.5099420000000001E-2</v>
      </c>
      <c r="I725" s="114">
        <v>8.3093070000000002E-3</v>
      </c>
      <c r="J725" s="269">
        <v>2.527174</v>
      </c>
      <c r="K725" s="272">
        <f t="shared" si="34"/>
        <v>2.5271740000000001E-3</v>
      </c>
      <c r="P725" s="114">
        <v>9.1402380000000002E-3</v>
      </c>
      <c r="Q725" s="269">
        <v>2.7798910000000001</v>
      </c>
      <c r="R725" s="272">
        <f t="shared" si="35"/>
        <v>2.779891E-3</v>
      </c>
    </row>
    <row r="726" spans="2:18" ht="15" customHeight="1" x14ac:dyDescent="0.25">
      <c r="B726" s="114">
        <v>0.61387740000000002</v>
      </c>
      <c r="C726" s="269">
        <v>15.12078</v>
      </c>
      <c r="D726" s="272">
        <f t="shared" si="33"/>
        <v>1.512078E-2</v>
      </c>
      <c r="I726" s="114">
        <v>8.3210599999999999E-3</v>
      </c>
      <c r="J726" s="269">
        <v>2.5275620000000001</v>
      </c>
      <c r="K726" s="272">
        <f t="shared" si="34"/>
        <v>2.5275620000000001E-3</v>
      </c>
      <c r="P726" s="114">
        <v>9.1531660000000008E-3</v>
      </c>
      <c r="Q726" s="269">
        <v>2.7803179999999998</v>
      </c>
      <c r="R726" s="272">
        <f t="shared" si="35"/>
        <v>2.7803179999999999E-3</v>
      </c>
    </row>
    <row r="727" spans="2:18" ht="15" customHeight="1" x14ac:dyDescent="0.25">
      <c r="B727" s="114">
        <v>0.61474450000000003</v>
      </c>
      <c r="C727" s="269">
        <v>15.142139999999999</v>
      </c>
      <c r="D727" s="272">
        <f t="shared" si="33"/>
        <v>1.514214E-2</v>
      </c>
      <c r="I727" s="114">
        <v>8.3328129999999997E-3</v>
      </c>
      <c r="J727" s="269">
        <v>2.5279500000000001</v>
      </c>
      <c r="K727" s="272">
        <f t="shared" si="34"/>
        <v>2.5279500000000002E-3</v>
      </c>
      <c r="P727" s="114">
        <v>9.1660950000000008E-3</v>
      </c>
      <c r="Q727" s="269">
        <v>2.780745</v>
      </c>
      <c r="R727" s="272">
        <f t="shared" si="35"/>
        <v>2.7807449999999998E-3</v>
      </c>
    </row>
    <row r="728" spans="2:18" ht="15" customHeight="1" x14ac:dyDescent="0.25">
      <c r="B728" s="114">
        <v>0.61561149999999998</v>
      </c>
      <c r="C728" s="269">
        <v>15.163489999999999</v>
      </c>
      <c r="D728" s="272">
        <f t="shared" si="33"/>
        <v>1.516349E-2</v>
      </c>
      <c r="I728" s="114">
        <v>8.3445659999999994E-3</v>
      </c>
      <c r="J728" s="269">
        <v>2.5283370000000001</v>
      </c>
      <c r="K728" s="272">
        <f t="shared" si="34"/>
        <v>2.5283369999999999E-3</v>
      </c>
      <c r="P728" s="114">
        <v>9.1790229999999997E-3</v>
      </c>
      <c r="Q728" s="269">
        <v>2.7811710000000001</v>
      </c>
      <c r="R728" s="272">
        <f t="shared" si="35"/>
        <v>2.7811710000000003E-3</v>
      </c>
    </row>
    <row r="729" spans="2:18" ht="15" customHeight="1" x14ac:dyDescent="0.25">
      <c r="B729" s="114">
        <v>0.61647859999999999</v>
      </c>
      <c r="C729" s="269">
        <v>15.184850000000001</v>
      </c>
      <c r="D729" s="272">
        <f t="shared" si="33"/>
        <v>1.5184850000000001E-2</v>
      </c>
      <c r="I729" s="114">
        <v>8.3563189999999992E-3</v>
      </c>
      <c r="J729" s="269">
        <v>2.528724</v>
      </c>
      <c r="K729" s="272">
        <f t="shared" si="34"/>
        <v>2.528724E-3</v>
      </c>
      <c r="P729" s="114">
        <v>9.1919510000000003E-3</v>
      </c>
      <c r="Q729" s="269">
        <v>2.781596</v>
      </c>
      <c r="R729" s="272">
        <f t="shared" si="35"/>
        <v>2.7815959999999999E-3</v>
      </c>
    </row>
    <row r="730" spans="2:18" ht="15" customHeight="1" x14ac:dyDescent="0.25">
      <c r="B730" s="114">
        <v>0.61734560000000005</v>
      </c>
      <c r="C730" s="269">
        <v>15.20621</v>
      </c>
      <c r="D730" s="272">
        <f t="shared" si="33"/>
        <v>1.5206210000000001E-2</v>
      </c>
      <c r="I730" s="114">
        <v>8.3680720000000007E-3</v>
      </c>
      <c r="J730" s="269">
        <v>2.5291100000000002</v>
      </c>
      <c r="K730" s="272">
        <f t="shared" si="34"/>
        <v>2.5291100000000002E-3</v>
      </c>
      <c r="P730" s="114">
        <v>9.2048789999999991E-3</v>
      </c>
      <c r="Q730" s="269">
        <v>2.7820209999999999</v>
      </c>
      <c r="R730" s="272">
        <f t="shared" si="35"/>
        <v>2.782021E-3</v>
      </c>
    </row>
    <row r="731" spans="2:18" ht="15" customHeight="1" x14ac:dyDescent="0.25">
      <c r="B731" s="114">
        <v>0.61821269999999995</v>
      </c>
      <c r="C731" s="269">
        <v>15.22757</v>
      </c>
      <c r="D731" s="272">
        <f t="shared" si="33"/>
        <v>1.5227569999999999E-2</v>
      </c>
      <c r="I731" s="114">
        <v>8.3798250000000005E-3</v>
      </c>
      <c r="J731" s="269">
        <v>2.529496</v>
      </c>
      <c r="K731" s="272">
        <f t="shared" si="34"/>
        <v>2.529496E-3</v>
      </c>
      <c r="P731" s="114">
        <v>9.2178069999999997E-3</v>
      </c>
      <c r="Q731" s="269">
        <v>2.7824460000000002</v>
      </c>
      <c r="R731" s="272">
        <f t="shared" si="35"/>
        <v>2.7824460000000001E-3</v>
      </c>
    </row>
    <row r="732" spans="2:18" ht="15" customHeight="1" x14ac:dyDescent="0.25">
      <c r="B732" s="114">
        <v>0.61907979999999996</v>
      </c>
      <c r="C732" s="269">
        <v>15.24892</v>
      </c>
      <c r="D732" s="272">
        <f t="shared" si="33"/>
        <v>1.5248920000000001E-2</v>
      </c>
      <c r="I732" s="114">
        <v>8.3915780000000002E-3</v>
      </c>
      <c r="J732" s="269">
        <v>2.5298820000000002</v>
      </c>
      <c r="K732" s="272">
        <f t="shared" si="34"/>
        <v>2.5298820000000002E-3</v>
      </c>
      <c r="P732" s="114">
        <v>9.2307359999999998E-3</v>
      </c>
      <c r="Q732" s="269">
        <v>2.78287</v>
      </c>
      <c r="R732" s="272">
        <f t="shared" si="35"/>
        <v>2.7828699999999998E-3</v>
      </c>
    </row>
    <row r="733" spans="2:18" ht="15" customHeight="1" x14ac:dyDescent="0.25">
      <c r="B733" s="114">
        <v>0.61994680000000002</v>
      </c>
      <c r="C733" s="269">
        <v>15.27028</v>
      </c>
      <c r="D733" s="272">
        <f t="shared" si="33"/>
        <v>1.5270279999999999E-2</v>
      </c>
      <c r="I733" s="114">
        <v>8.403331E-3</v>
      </c>
      <c r="J733" s="269">
        <v>2.5302669999999998</v>
      </c>
      <c r="K733" s="272">
        <f t="shared" si="34"/>
        <v>2.5302669999999997E-3</v>
      </c>
      <c r="P733" s="114">
        <v>9.2436640000000004E-3</v>
      </c>
      <c r="Q733" s="269">
        <v>2.7832940000000002</v>
      </c>
      <c r="R733" s="272">
        <f t="shared" si="35"/>
        <v>2.783294E-3</v>
      </c>
    </row>
    <row r="734" spans="2:18" ht="15" customHeight="1" x14ac:dyDescent="0.25">
      <c r="B734" s="114">
        <v>0.62081390000000003</v>
      </c>
      <c r="C734" s="269">
        <v>15.291639999999999</v>
      </c>
      <c r="D734" s="272">
        <f t="shared" si="33"/>
        <v>1.5291639999999999E-2</v>
      </c>
      <c r="I734" s="114">
        <v>8.4150839999999998E-3</v>
      </c>
      <c r="J734" s="269">
        <v>2.5306519999999999</v>
      </c>
      <c r="K734" s="272">
        <f t="shared" si="34"/>
        <v>2.530652E-3</v>
      </c>
      <c r="P734" s="114">
        <v>9.2565919999999993E-3</v>
      </c>
      <c r="Q734" s="269">
        <v>2.7837170000000002</v>
      </c>
      <c r="R734" s="272">
        <f t="shared" si="35"/>
        <v>2.7837170000000002E-3</v>
      </c>
    </row>
    <row r="735" spans="2:18" ht="15" customHeight="1" x14ac:dyDescent="0.25">
      <c r="B735" s="114">
        <v>0.62168089999999998</v>
      </c>
      <c r="C735" s="269">
        <v>15.312989999999999</v>
      </c>
      <c r="D735" s="272">
        <f t="shared" si="33"/>
        <v>1.5312989999999999E-2</v>
      </c>
      <c r="I735" s="114">
        <v>8.4268369999999995E-3</v>
      </c>
      <c r="J735" s="269">
        <v>2.5310359999999998</v>
      </c>
      <c r="K735" s="272">
        <f t="shared" si="34"/>
        <v>2.531036E-3</v>
      </c>
      <c r="P735" s="114">
        <v>9.2695199999999998E-3</v>
      </c>
      <c r="Q735" s="269">
        <v>2.7841399999999998</v>
      </c>
      <c r="R735" s="272">
        <f t="shared" si="35"/>
        <v>2.7841400000000001E-3</v>
      </c>
    </row>
    <row r="736" spans="2:18" ht="15" customHeight="1" x14ac:dyDescent="0.25">
      <c r="B736" s="114">
        <v>0.62254799999999999</v>
      </c>
      <c r="C736" s="269">
        <v>15.334350000000001</v>
      </c>
      <c r="D736" s="272">
        <f t="shared" si="33"/>
        <v>1.533435E-2</v>
      </c>
      <c r="I736" s="114">
        <v>8.4385889999999998E-3</v>
      </c>
      <c r="J736" s="269">
        <v>2.5314199999999998</v>
      </c>
      <c r="K736" s="272">
        <f t="shared" si="34"/>
        <v>2.5314199999999999E-3</v>
      </c>
      <c r="P736" s="114">
        <v>9.2824480000000004E-3</v>
      </c>
      <c r="Q736" s="269">
        <v>2.7845620000000002</v>
      </c>
      <c r="R736" s="272">
        <f t="shared" si="35"/>
        <v>2.7845620000000004E-3</v>
      </c>
    </row>
    <row r="737" spans="2:18" ht="15" customHeight="1" x14ac:dyDescent="0.25">
      <c r="B737" s="114">
        <v>0.6234151</v>
      </c>
      <c r="C737" s="269">
        <v>15.35571</v>
      </c>
      <c r="D737" s="272">
        <f t="shared" si="33"/>
        <v>1.535571E-2</v>
      </c>
      <c r="I737" s="114">
        <v>8.4503419999999996E-3</v>
      </c>
      <c r="J737" s="269">
        <v>2.531803</v>
      </c>
      <c r="K737" s="272">
        <f t="shared" si="34"/>
        <v>2.531803E-3</v>
      </c>
      <c r="P737" s="114">
        <v>9.2953770000000005E-3</v>
      </c>
      <c r="Q737" s="269">
        <v>2.7849840000000001</v>
      </c>
      <c r="R737" s="272">
        <f t="shared" si="35"/>
        <v>2.7849840000000003E-3</v>
      </c>
    </row>
    <row r="738" spans="2:18" ht="15" customHeight="1" x14ac:dyDescent="0.25">
      <c r="B738" s="114">
        <v>0.62428209999999995</v>
      </c>
      <c r="C738" s="269">
        <v>15.37706</v>
      </c>
      <c r="D738" s="272">
        <f t="shared" si="33"/>
        <v>1.537706E-2</v>
      </c>
      <c r="I738" s="114">
        <v>8.4620949999999993E-3</v>
      </c>
      <c r="J738" s="269">
        <v>2.532187</v>
      </c>
      <c r="K738" s="272">
        <f t="shared" si="34"/>
        <v>2.532187E-3</v>
      </c>
      <c r="P738" s="114">
        <v>9.3083049999999994E-3</v>
      </c>
      <c r="Q738" s="269">
        <v>2.7854049999999999</v>
      </c>
      <c r="R738" s="272">
        <f t="shared" si="35"/>
        <v>2.7854049999999999E-3</v>
      </c>
    </row>
    <row r="739" spans="2:18" ht="15" customHeight="1" x14ac:dyDescent="0.25">
      <c r="B739" s="114">
        <v>0.62514919999999996</v>
      </c>
      <c r="C739" s="269">
        <v>15.39842</v>
      </c>
      <c r="D739" s="272">
        <f t="shared" si="33"/>
        <v>1.5398419999999999E-2</v>
      </c>
      <c r="I739" s="114">
        <v>8.4738480000000008E-3</v>
      </c>
      <c r="J739" s="269">
        <v>2.5325690000000001</v>
      </c>
      <c r="K739" s="272">
        <f t="shared" si="34"/>
        <v>2.5325690000000001E-3</v>
      </c>
      <c r="P739" s="114">
        <v>9.3212329999999999E-3</v>
      </c>
      <c r="Q739" s="269">
        <v>2.7858260000000001</v>
      </c>
      <c r="R739" s="272">
        <f t="shared" si="35"/>
        <v>2.7858259999999999E-3</v>
      </c>
    </row>
    <row r="740" spans="2:18" ht="15" customHeight="1" x14ac:dyDescent="0.25">
      <c r="B740" s="114">
        <v>0.62601620000000002</v>
      </c>
      <c r="C740" s="269">
        <v>15.419779999999999</v>
      </c>
      <c r="D740" s="272">
        <f t="shared" si="33"/>
        <v>1.5419779999999999E-2</v>
      </c>
      <c r="I740" s="114">
        <v>8.4856010000000006E-3</v>
      </c>
      <c r="J740" s="269">
        <v>2.5329519999999999</v>
      </c>
      <c r="K740" s="272">
        <f t="shared" si="34"/>
        <v>2.5329519999999998E-3</v>
      </c>
      <c r="P740" s="114">
        <v>9.3341610000000005E-3</v>
      </c>
      <c r="Q740" s="269">
        <v>2.7862469999999999</v>
      </c>
      <c r="R740" s="272">
        <f t="shared" si="35"/>
        <v>2.7862469999999999E-3</v>
      </c>
    </row>
    <row r="741" spans="2:18" ht="15" customHeight="1" x14ac:dyDescent="0.25">
      <c r="B741" s="114">
        <v>0.62688330000000003</v>
      </c>
      <c r="C741" s="269">
        <v>15.441140000000001</v>
      </c>
      <c r="D741" s="272">
        <f t="shared" si="33"/>
        <v>1.5441140000000001E-2</v>
      </c>
      <c r="I741" s="114">
        <v>8.4973540000000004E-3</v>
      </c>
      <c r="J741" s="269">
        <v>2.533334</v>
      </c>
      <c r="K741" s="272">
        <f t="shared" si="34"/>
        <v>2.5333339999999999E-3</v>
      </c>
      <c r="P741" s="114">
        <v>9.3470889999999994E-3</v>
      </c>
      <c r="Q741" s="269">
        <v>2.786667</v>
      </c>
      <c r="R741" s="272">
        <f t="shared" si="35"/>
        <v>2.7866670000000001E-3</v>
      </c>
    </row>
    <row r="742" spans="2:18" ht="15" customHeight="1" x14ac:dyDescent="0.25">
      <c r="B742" s="114">
        <v>0.62775040000000004</v>
      </c>
      <c r="C742" s="269">
        <v>15.462490000000001</v>
      </c>
      <c r="D742" s="272">
        <f t="shared" si="33"/>
        <v>1.5462490000000001E-2</v>
      </c>
      <c r="I742" s="114">
        <v>8.5091070000000001E-3</v>
      </c>
      <c r="J742" s="269">
        <v>2.5337149999999999</v>
      </c>
      <c r="K742" s="272">
        <f t="shared" si="34"/>
        <v>2.5337149999999998E-3</v>
      </c>
      <c r="P742" s="114">
        <v>9.3600179999999995E-3</v>
      </c>
      <c r="Q742" s="269">
        <v>2.7870870000000001</v>
      </c>
      <c r="R742" s="272">
        <f t="shared" si="35"/>
        <v>2.7870870000000002E-3</v>
      </c>
    </row>
    <row r="743" spans="2:18" ht="15" customHeight="1" x14ac:dyDescent="0.25">
      <c r="B743" s="114">
        <v>0.62861739999999999</v>
      </c>
      <c r="C743" s="269">
        <v>15.48385</v>
      </c>
      <c r="D743" s="272">
        <f t="shared" si="33"/>
        <v>1.548385E-2</v>
      </c>
      <c r="I743" s="114">
        <v>8.5208599999999999E-3</v>
      </c>
      <c r="J743" s="269">
        <v>2.5340959999999999</v>
      </c>
      <c r="K743" s="272">
        <f t="shared" si="34"/>
        <v>2.534096E-3</v>
      </c>
      <c r="P743" s="114">
        <v>9.3729460000000001E-3</v>
      </c>
      <c r="Q743" s="269">
        <v>2.787506</v>
      </c>
      <c r="R743" s="272">
        <f t="shared" si="35"/>
        <v>2.7875059999999999E-3</v>
      </c>
    </row>
    <row r="744" spans="2:18" ht="15" customHeight="1" x14ac:dyDescent="0.25">
      <c r="B744" s="114">
        <v>0.6294845</v>
      </c>
      <c r="C744" s="269">
        <v>15.50521</v>
      </c>
      <c r="D744" s="272">
        <f t="shared" si="33"/>
        <v>1.550521E-2</v>
      </c>
      <c r="I744" s="114">
        <v>8.5326129999999997E-3</v>
      </c>
      <c r="J744" s="269">
        <v>2.5344769999999999</v>
      </c>
      <c r="K744" s="272">
        <f t="shared" si="34"/>
        <v>2.5344769999999998E-3</v>
      </c>
      <c r="P744" s="114">
        <v>9.3858740000000006E-3</v>
      </c>
      <c r="Q744" s="269">
        <v>2.787925</v>
      </c>
      <c r="R744" s="272">
        <f t="shared" si="35"/>
        <v>2.7879250000000001E-3</v>
      </c>
    </row>
    <row r="745" spans="2:18" ht="15" customHeight="1" x14ac:dyDescent="0.25">
      <c r="B745" s="114">
        <v>0.63035149999999995</v>
      </c>
      <c r="C745" s="269">
        <v>15.52656</v>
      </c>
      <c r="D745" s="272">
        <f t="shared" si="33"/>
        <v>1.552656E-2</v>
      </c>
      <c r="I745" s="114">
        <v>8.5443659999999994E-3</v>
      </c>
      <c r="J745" s="269">
        <v>2.5348570000000001</v>
      </c>
      <c r="K745" s="272">
        <f t="shared" si="34"/>
        <v>2.5348570000000002E-3</v>
      </c>
      <c r="P745" s="114">
        <v>9.3988019999999995E-3</v>
      </c>
      <c r="Q745" s="269">
        <v>2.7883429999999998</v>
      </c>
      <c r="R745" s="272">
        <f t="shared" si="35"/>
        <v>2.788343E-3</v>
      </c>
    </row>
    <row r="746" spans="2:18" ht="15" customHeight="1" x14ac:dyDescent="0.25">
      <c r="B746" s="114">
        <v>0.63121859999999996</v>
      </c>
      <c r="C746" s="269">
        <v>15.54792</v>
      </c>
      <c r="D746" s="272">
        <f t="shared" si="33"/>
        <v>1.554792E-2</v>
      </c>
      <c r="I746" s="114">
        <v>8.5561189999999992E-3</v>
      </c>
      <c r="J746" s="269">
        <v>2.535237</v>
      </c>
      <c r="K746" s="272">
        <f t="shared" si="34"/>
        <v>2.5352370000000001E-3</v>
      </c>
      <c r="P746" s="114">
        <v>9.4117300000000001E-3</v>
      </c>
      <c r="Q746" s="269">
        <v>2.788761</v>
      </c>
      <c r="R746" s="272">
        <f t="shared" si="35"/>
        <v>2.7887609999999998E-3</v>
      </c>
    </row>
    <row r="747" spans="2:18" ht="15" customHeight="1" x14ac:dyDescent="0.25">
      <c r="B747" s="114">
        <v>0.63208560000000003</v>
      </c>
      <c r="C747" s="269">
        <v>15.569279999999999</v>
      </c>
      <c r="D747" s="272">
        <f t="shared" si="33"/>
        <v>1.556928E-2</v>
      </c>
      <c r="I747" s="114">
        <v>8.5678709999999995E-3</v>
      </c>
      <c r="J747" s="269">
        <v>2.5356169999999998</v>
      </c>
      <c r="K747" s="272">
        <f t="shared" si="34"/>
        <v>2.535617E-3</v>
      </c>
      <c r="P747" s="114">
        <v>9.4246590000000002E-3</v>
      </c>
      <c r="Q747" s="269">
        <v>2.7891789999999999</v>
      </c>
      <c r="R747" s="272">
        <f t="shared" si="35"/>
        <v>2.7891789999999997E-3</v>
      </c>
    </row>
    <row r="748" spans="2:18" ht="15" customHeight="1" x14ac:dyDescent="0.25">
      <c r="B748" s="114">
        <v>0.63295270000000003</v>
      </c>
      <c r="C748" s="269">
        <v>15.59064</v>
      </c>
      <c r="D748" s="272">
        <f t="shared" si="33"/>
        <v>1.5590640000000001E-2</v>
      </c>
      <c r="I748" s="114">
        <v>8.5796239999999992E-3</v>
      </c>
      <c r="J748" s="269">
        <v>2.5359959999999999</v>
      </c>
      <c r="K748" s="272">
        <f t="shared" si="34"/>
        <v>2.535996E-3</v>
      </c>
      <c r="P748" s="114">
        <v>9.4375870000000008E-3</v>
      </c>
      <c r="Q748" s="269">
        <v>2.789596</v>
      </c>
      <c r="R748" s="272">
        <f t="shared" si="35"/>
        <v>2.7895960000000001E-3</v>
      </c>
    </row>
    <row r="749" spans="2:18" ht="15" customHeight="1" x14ac:dyDescent="0.25">
      <c r="B749" s="114">
        <v>0.63381980000000004</v>
      </c>
      <c r="C749" s="269">
        <v>15.61199</v>
      </c>
      <c r="D749" s="272">
        <f t="shared" si="33"/>
        <v>1.5611990000000001E-2</v>
      </c>
      <c r="I749" s="114">
        <v>8.5913770000000007E-3</v>
      </c>
      <c r="J749" s="269">
        <v>2.536375</v>
      </c>
      <c r="K749" s="272">
        <f t="shared" si="34"/>
        <v>2.536375E-3</v>
      </c>
      <c r="P749" s="114">
        <v>9.4505149999999996E-3</v>
      </c>
      <c r="Q749" s="269">
        <v>2.7900130000000001</v>
      </c>
      <c r="R749" s="272">
        <f t="shared" si="35"/>
        <v>2.790013E-3</v>
      </c>
    </row>
    <row r="750" spans="2:18" ht="15" customHeight="1" x14ac:dyDescent="0.25">
      <c r="B750" s="114">
        <v>0.6346868</v>
      </c>
      <c r="C750" s="269">
        <v>15.63335</v>
      </c>
      <c r="D750" s="272">
        <f t="shared" si="33"/>
        <v>1.5633350000000001E-2</v>
      </c>
      <c r="I750" s="114">
        <v>8.6031300000000005E-3</v>
      </c>
      <c r="J750" s="269">
        <v>2.5367540000000002</v>
      </c>
      <c r="K750" s="272">
        <f t="shared" si="34"/>
        <v>2.536754E-3</v>
      </c>
      <c r="P750" s="114">
        <v>9.4634430000000002E-3</v>
      </c>
      <c r="Q750" s="269">
        <v>2.790429</v>
      </c>
      <c r="R750" s="272">
        <f t="shared" si="35"/>
        <v>2.7904290000000001E-3</v>
      </c>
    </row>
    <row r="751" spans="2:18" ht="15" customHeight="1" x14ac:dyDescent="0.25">
      <c r="B751" s="114">
        <v>0.6355539</v>
      </c>
      <c r="C751" s="269">
        <v>15.65471</v>
      </c>
      <c r="D751" s="272">
        <f t="shared" si="33"/>
        <v>1.5654709999999999E-2</v>
      </c>
      <c r="I751" s="114">
        <v>8.6148830000000003E-3</v>
      </c>
      <c r="J751" s="269">
        <v>2.5371320000000002</v>
      </c>
      <c r="K751" s="272">
        <f t="shared" si="34"/>
        <v>2.5371320000000001E-3</v>
      </c>
      <c r="P751" s="114">
        <v>9.4763710000000008E-3</v>
      </c>
      <c r="Q751" s="269">
        <v>2.790845</v>
      </c>
      <c r="R751" s="272">
        <f t="shared" si="35"/>
        <v>2.7908450000000001E-3</v>
      </c>
    </row>
    <row r="752" spans="2:18" ht="15" customHeight="1" x14ac:dyDescent="0.25">
      <c r="B752" s="114">
        <v>0.63642089999999996</v>
      </c>
      <c r="C752" s="269">
        <v>15.67606</v>
      </c>
      <c r="D752" s="272">
        <f t="shared" si="33"/>
        <v>1.5676059999999999E-2</v>
      </c>
      <c r="I752" s="114">
        <v>8.626636E-3</v>
      </c>
      <c r="J752" s="269">
        <v>2.537509</v>
      </c>
      <c r="K752" s="272">
        <f t="shared" si="34"/>
        <v>2.5375089999999999E-3</v>
      </c>
      <c r="P752" s="114">
        <v>9.4893000000000009E-3</v>
      </c>
      <c r="Q752" s="269">
        <v>2.7912599999999999</v>
      </c>
      <c r="R752" s="272">
        <f t="shared" si="35"/>
        <v>2.7912599999999998E-3</v>
      </c>
    </row>
    <row r="753" spans="2:18" ht="15" customHeight="1" x14ac:dyDescent="0.25">
      <c r="B753" s="114">
        <v>0.63728799999999997</v>
      </c>
      <c r="C753" s="269">
        <v>15.697419999999999</v>
      </c>
      <c r="D753" s="272">
        <f t="shared" si="33"/>
        <v>1.569742E-2</v>
      </c>
      <c r="I753" s="114">
        <v>8.6383889999999998E-3</v>
      </c>
      <c r="J753" s="269">
        <v>2.537887</v>
      </c>
      <c r="K753" s="272">
        <f t="shared" si="34"/>
        <v>2.537887E-3</v>
      </c>
      <c r="P753" s="114">
        <v>9.5022279999999997E-3</v>
      </c>
      <c r="Q753" s="269">
        <v>2.7916759999999998</v>
      </c>
      <c r="R753" s="272">
        <f t="shared" si="35"/>
        <v>2.7916759999999999E-3</v>
      </c>
    </row>
    <row r="754" spans="2:18" ht="15" customHeight="1" x14ac:dyDescent="0.25">
      <c r="B754" s="114">
        <v>0.63815509999999998</v>
      </c>
      <c r="C754" s="269">
        <v>15.718780000000001</v>
      </c>
      <c r="D754" s="272">
        <f t="shared" si="33"/>
        <v>1.5718780000000002E-2</v>
      </c>
      <c r="I754" s="114">
        <v>8.6501419999999996E-3</v>
      </c>
      <c r="J754" s="269">
        <v>2.5382639999999999</v>
      </c>
      <c r="K754" s="272">
        <f t="shared" si="34"/>
        <v>2.5382639999999997E-3</v>
      </c>
      <c r="P754" s="114">
        <v>9.5151560000000003E-3</v>
      </c>
      <c r="Q754" s="269">
        <v>2.79209</v>
      </c>
      <c r="R754" s="272">
        <f t="shared" si="35"/>
        <v>2.7920900000000001E-3</v>
      </c>
    </row>
    <row r="755" spans="2:18" ht="15" customHeight="1" x14ac:dyDescent="0.25">
      <c r="B755" s="114">
        <v>0.63902210000000004</v>
      </c>
      <c r="C755" s="269">
        <v>15.740130000000001</v>
      </c>
      <c r="D755" s="272">
        <f t="shared" si="33"/>
        <v>1.5740130000000001E-2</v>
      </c>
      <c r="I755" s="114">
        <v>8.6618949999999993E-3</v>
      </c>
      <c r="J755" s="269">
        <v>2.53864</v>
      </c>
      <c r="K755" s="272">
        <f t="shared" si="34"/>
        <v>2.53864E-3</v>
      </c>
      <c r="P755" s="114">
        <v>9.5280839999999992E-3</v>
      </c>
      <c r="Q755" s="269">
        <v>2.7925049999999998</v>
      </c>
      <c r="R755" s="272">
        <f t="shared" si="35"/>
        <v>2.7925049999999998E-3</v>
      </c>
    </row>
    <row r="756" spans="2:18" ht="15" customHeight="1" x14ac:dyDescent="0.25">
      <c r="B756" s="114">
        <v>0.63988920000000005</v>
      </c>
      <c r="C756" s="269">
        <v>15.76149</v>
      </c>
      <c r="D756" s="272">
        <f t="shared" si="33"/>
        <v>1.576149E-2</v>
      </c>
      <c r="I756" s="114">
        <v>8.6736480000000008E-3</v>
      </c>
      <c r="J756" s="269">
        <v>2.5390169999999999</v>
      </c>
      <c r="K756" s="272">
        <f t="shared" si="34"/>
        <v>2.5390169999999997E-3</v>
      </c>
      <c r="P756" s="114">
        <v>9.5410119999999998E-3</v>
      </c>
      <c r="Q756" s="269">
        <v>2.7929179999999998</v>
      </c>
      <c r="R756" s="272">
        <f t="shared" si="35"/>
        <v>2.7929179999999997E-3</v>
      </c>
    </row>
    <row r="757" spans="2:18" ht="15" customHeight="1" x14ac:dyDescent="0.25">
      <c r="B757" s="114">
        <v>0.6407562</v>
      </c>
      <c r="C757" s="269">
        <v>15.78285</v>
      </c>
      <c r="D757" s="272">
        <f t="shared" si="33"/>
        <v>1.5782850000000001E-2</v>
      </c>
      <c r="I757" s="114">
        <v>8.6854010000000006E-3</v>
      </c>
      <c r="J757" s="269">
        <v>2.539393</v>
      </c>
      <c r="K757" s="272">
        <f t="shared" si="34"/>
        <v>2.539393E-3</v>
      </c>
      <c r="P757" s="114">
        <v>9.5539409999999998E-3</v>
      </c>
      <c r="Q757" s="269">
        <v>2.7933319999999999</v>
      </c>
      <c r="R757" s="272">
        <f t="shared" si="35"/>
        <v>2.7933319999999999E-3</v>
      </c>
    </row>
    <row r="758" spans="2:18" ht="15" customHeight="1" x14ac:dyDescent="0.25">
      <c r="B758" s="114">
        <v>0.64162330000000001</v>
      </c>
      <c r="C758" s="269">
        <v>15.804209999999999</v>
      </c>
      <c r="D758" s="272">
        <f t="shared" si="33"/>
        <v>1.5804209999999999E-2</v>
      </c>
      <c r="I758" s="114">
        <v>8.6971529999999991E-3</v>
      </c>
      <c r="J758" s="269">
        <v>2.539768</v>
      </c>
      <c r="K758" s="272">
        <f t="shared" si="34"/>
        <v>2.539768E-3</v>
      </c>
      <c r="P758" s="114">
        <v>9.5668690000000004E-3</v>
      </c>
      <c r="Q758" s="269">
        <v>2.7937449999999999</v>
      </c>
      <c r="R758" s="272">
        <f t="shared" si="35"/>
        <v>2.7937449999999998E-3</v>
      </c>
    </row>
    <row r="759" spans="2:18" ht="15" customHeight="1" x14ac:dyDescent="0.25">
      <c r="B759" s="114">
        <v>0.64249029999999996</v>
      </c>
      <c r="C759" s="269">
        <v>15.825559999999999</v>
      </c>
      <c r="D759" s="272">
        <f t="shared" si="33"/>
        <v>1.5825559999999999E-2</v>
      </c>
      <c r="I759" s="114">
        <v>8.7089060000000006E-3</v>
      </c>
      <c r="J759" s="269">
        <v>2.540143</v>
      </c>
      <c r="K759" s="272">
        <f t="shared" si="34"/>
        <v>2.5401429999999999E-3</v>
      </c>
      <c r="P759" s="114">
        <v>9.5797969999999993E-3</v>
      </c>
      <c r="Q759" s="269">
        <v>2.7941579999999999</v>
      </c>
      <c r="R759" s="272">
        <f t="shared" si="35"/>
        <v>2.7941579999999997E-3</v>
      </c>
    </row>
    <row r="760" spans="2:18" ht="15" customHeight="1" x14ac:dyDescent="0.25">
      <c r="B760" s="114">
        <v>0.64335739999999997</v>
      </c>
      <c r="C760" s="269">
        <v>15.846920000000001</v>
      </c>
      <c r="D760" s="272">
        <f t="shared" si="33"/>
        <v>1.584692E-2</v>
      </c>
      <c r="I760" s="114">
        <v>8.7206590000000004E-3</v>
      </c>
      <c r="J760" s="269">
        <v>2.5405180000000001</v>
      </c>
      <c r="K760" s="272">
        <f t="shared" si="34"/>
        <v>2.5405179999999999E-3</v>
      </c>
      <c r="P760" s="114">
        <v>9.5927249999999999E-3</v>
      </c>
      <c r="Q760" s="269">
        <v>2.7945700000000002</v>
      </c>
      <c r="R760" s="272">
        <f t="shared" si="35"/>
        <v>2.7945700000000001E-3</v>
      </c>
    </row>
    <row r="761" spans="2:18" ht="15" customHeight="1" x14ac:dyDescent="0.25">
      <c r="B761" s="114">
        <v>0.64422449999999998</v>
      </c>
      <c r="C761" s="269">
        <v>15.86828</v>
      </c>
      <c r="D761" s="272">
        <f t="shared" si="33"/>
        <v>1.5868280000000002E-2</v>
      </c>
      <c r="I761" s="114">
        <v>8.7324120000000002E-3</v>
      </c>
      <c r="J761" s="269">
        <v>2.5408930000000001</v>
      </c>
      <c r="K761" s="272">
        <f t="shared" si="34"/>
        <v>2.5408930000000002E-3</v>
      </c>
      <c r="P761" s="114">
        <v>9.6056530000000005E-3</v>
      </c>
      <c r="Q761" s="269">
        <v>2.7949820000000001</v>
      </c>
      <c r="R761" s="272">
        <f t="shared" si="35"/>
        <v>2.7949820000000001E-3</v>
      </c>
    </row>
    <row r="762" spans="2:18" ht="15" customHeight="1" x14ac:dyDescent="0.25">
      <c r="B762" s="114">
        <v>0.64509150000000004</v>
      </c>
      <c r="C762" s="269">
        <v>15.88963</v>
      </c>
      <c r="D762" s="272">
        <f t="shared" si="33"/>
        <v>1.5889630000000002E-2</v>
      </c>
      <c r="I762" s="114">
        <v>8.7441649999999999E-3</v>
      </c>
      <c r="J762" s="269">
        <v>2.5412669999999999</v>
      </c>
      <c r="K762" s="272">
        <f t="shared" si="34"/>
        <v>2.5412669999999998E-3</v>
      </c>
      <c r="P762" s="114">
        <v>9.6185820000000005E-3</v>
      </c>
      <c r="Q762" s="269">
        <v>2.7953939999999999</v>
      </c>
      <c r="R762" s="272">
        <f t="shared" si="35"/>
        <v>2.7953940000000001E-3</v>
      </c>
    </row>
    <row r="763" spans="2:18" ht="15" customHeight="1" x14ac:dyDescent="0.25">
      <c r="B763" s="114">
        <v>0.64595860000000005</v>
      </c>
      <c r="C763" s="269">
        <v>15.91099</v>
      </c>
      <c r="D763" s="272">
        <f t="shared" si="33"/>
        <v>1.591099E-2</v>
      </c>
      <c r="I763" s="114">
        <v>8.7559179999999997E-3</v>
      </c>
      <c r="J763" s="269">
        <v>2.5416409999999998</v>
      </c>
      <c r="K763" s="272">
        <f t="shared" si="34"/>
        <v>2.5416409999999999E-3</v>
      </c>
      <c r="P763" s="114">
        <v>9.6315099999999994E-3</v>
      </c>
      <c r="Q763" s="269">
        <v>2.7958050000000001</v>
      </c>
      <c r="R763" s="272">
        <f t="shared" si="35"/>
        <v>2.7958050000000002E-3</v>
      </c>
    </row>
    <row r="764" spans="2:18" ht="15" customHeight="1" x14ac:dyDescent="0.25">
      <c r="B764" s="114">
        <v>0.6468256</v>
      </c>
      <c r="C764" s="269">
        <v>15.93235</v>
      </c>
      <c r="D764" s="272">
        <f t="shared" si="33"/>
        <v>1.5932349999999998E-2</v>
      </c>
      <c r="I764" s="114">
        <v>8.7676709999999995E-3</v>
      </c>
      <c r="J764" s="269">
        <v>2.542014</v>
      </c>
      <c r="K764" s="272">
        <f t="shared" si="34"/>
        <v>2.542014E-3</v>
      </c>
      <c r="P764" s="114">
        <v>9.644438E-3</v>
      </c>
      <c r="Q764" s="269">
        <v>2.7962159999999998</v>
      </c>
      <c r="R764" s="272">
        <f t="shared" si="35"/>
        <v>2.7962159999999998E-3</v>
      </c>
    </row>
    <row r="765" spans="2:18" ht="15" customHeight="1" x14ac:dyDescent="0.25">
      <c r="B765" s="114">
        <v>0.64769270000000001</v>
      </c>
      <c r="C765" s="269">
        <v>15.9537</v>
      </c>
      <c r="D765" s="272">
        <f t="shared" si="33"/>
        <v>1.5953700000000001E-2</v>
      </c>
      <c r="I765" s="114">
        <v>8.7794239999999992E-3</v>
      </c>
      <c r="J765" s="269">
        <v>2.5423870000000002</v>
      </c>
      <c r="K765" s="272">
        <f t="shared" si="34"/>
        <v>2.5423870000000001E-3</v>
      </c>
      <c r="P765" s="114">
        <v>9.6573660000000006E-3</v>
      </c>
      <c r="Q765" s="269">
        <v>2.7966259999999998</v>
      </c>
      <c r="R765" s="272">
        <f t="shared" si="35"/>
        <v>2.796626E-3</v>
      </c>
    </row>
    <row r="766" spans="2:18" ht="15" customHeight="1" x14ac:dyDescent="0.25">
      <c r="B766" s="114">
        <v>0.64855980000000002</v>
      </c>
      <c r="C766" s="269">
        <v>15.975059999999999</v>
      </c>
      <c r="D766" s="272">
        <f t="shared" si="33"/>
        <v>1.5975059999999999E-2</v>
      </c>
      <c r="I766" s="114">
        <v>8.7911770000000007E-3</v>
      </c>
      <c r="J766" s="269">
        <v>2.5427599999999999</v>
      </c>
      <c r="K766" s="272">
        <f t="shared" si="34"/>
        <v>2.5427599999999998E-3</v>
      </c>
      <c r="P766" s="114">
        <v>9.6702939999999994E-3</v>
      </c>
      <c r="Q766" s="269">
        <v>2.7970359999999999</v>
      </c>
      <c r="R766" s="272">
        <f t="shared" si="35"/>
        <v>2.7970359999999997E-3</v>
      </c>
    </row>
    <row r="767" spans="2:18" ht="15" customHeight="1" x14ac:dyDescent="0.25">
      <c r="B767" s="114">
        <v>0.64942679999999997</v>
      </c>
      <c r="C767" s="269">
        <v>15.996420000000001</v>
      </c>
      <c r="D767" s="272">
        <f t="shared" si="33"/>
        <v>1.5996420000000001E-2</v>
      </c>
      <c r="I767" s="114">
        <v>8.8029300000000005E-3</v>
      </c>
      <c r="J767" s="269">
        <v>2.5431319999999999</v>
      </c>
      <c r="K767" s="272">
        <f t="shared" si="34"/>
        <v>2.543132E-3</v>
      </c>
      <c r="P767" s="114">
        <v>9.6832229999999995E-3</v>
      </c>
      <c r="Q767" s="269">
        <v>2.7974459999999999</v>
      </c>
      <c r="R767" s="272">
        <f t="shared" si="35"/>
        <v>2.7974459999999999E-3</v>
      </c>
    </row>
    <row r="768" spans="2:18" ht="15" customHeight="1" x14ac:dyDescent="0.25">
      <c r="B768" s="114">
        <v>0.65029389999999998</v>
      </c>
      <c r="C768" s="269">
        <v>16.017779999999998</v>
      </c>
      <c r="D768" s="272">
        <f t="shared" si="33"/>
        <v>1.6017779999999999E-2</v>
      </c>
      <c r="I768" s="114">
        <v>1.224766E-2</v>
      </c>
      <c r="J768" s="269">
        <v>2.6428389999999999</v>
      </c>
      <c r="K768" s="272">
        <f t="shared" si="34"/>
        <v>2.6428390000000001E-3</v>
      </c>
      <c r="P768" s="114">
        <v>1.3125599999999999E-2</v>
      </c>
      <c r="Q768" s="269">
        <v>2.897653</v>
      </c>
      <c r="R768" s="272">
        <f t="shared" si="35"/>
        <v>2.897653E-3</v>
      </c>
    </row>
    <row r="769" spans="2:18" ht="15" customHeight="1" x14ac:dyDescent="0.25">
      <c r="B769" s="114">
        <v>0.65116090000000004</v>
      </c>
      <c r="C769" s="269">
        <v>16.03913</v>
      </c>
      <c r="D769" s="272">
        <f t="shared" si="33"/>
        <v>1.6039129999999999E-2</v>
      </c>
      <c r="I769" s="114">
        <v>1.5680630000000001E-2</v>
      </c>
      <c r="J769" s="269">
        <v>2.7335189999999998</v>
      </c>
      <c r="K769" s="272">
        <f t="shared" si="34"/>
        <v>2.7335189999999998E-3</v>
      </c>
      <c r="P769" s="114">
        <v>1.6555050000000002E-2</v>
      </c>
      <c r="Q769" s="269">
        <v>2.9888870000000001</v>
      </c>
      <c r="R769" s="272">
        <f t="shared" si="35"/>
        <v>2.988887E-3</v>
      </c>
    </row>
    <row r="770" spans="2:18" ht="15" customHeight="1" x14ac:dyDescent="0.25">
      <c r="B770" s="114">
        <v>0.65202800000000005</v>
      </c>
      <c r="C770" s="269">
        <v>16.060490000000001</v>
      </c>
      <c r="D770" s="272">
        <f t="shared" si="33"/>
        <v>1.606049E-2</v>
      </c>
      <c r="I770" s="114">
        <v>1.911361E-2</v>
      </c>
      <c r="J770" s="269">
        <v>2.8211930000000001</v>
      </c>
      <c r="K770" s="272">
        <f t="shared" si="34"/>
        <v>2.8211930000000001E-3</v>
      </c>
      <c r="P770" s="114">
        <v>1.9984499999999999E-2</v>
      </c>
      <c r="Q770" s="269">
        <v>3.0769319999999998</v>
      </c>
      <c r="R770" s="272">
        <f t="shared" si="35"/>
        <v>3.0769319999999997E-3</v>
      </c>
    </row>
    <row r="771" spans="2:18" ht="15" customHeight="1" x14ac:dyDescent="0.25">
      <c r="B771" s="114">
        <v>0.652895</v>
      </c>
      <c r="C771" s="269">
        <v>16.081849999999999</v>
      </c>
      <c r="D771" s="272">
        <f t="shared" si="33"/>
        <v>1.6081849999999998E-2</v>
      </c>
      <c r="I771" s="114">
        <v>2.254658E-2</v>
      </c>
      <c r="J771" s="269">
        <v>2.9075519999999999</v>
      </c>
      <c r="K771" s="272">
        <f t="shared" si="34"/>
        <v>2.9075519999999999E-3</v>
      </c>
      <c r="P771" s="114">
        <v>2.3413949999999999E-2</v>
      </c>
      <c r="Q771" s="269">
        <v>3.1635200000000001</v>
      </c>
      <c r="R771" s="272">
        <f t="shared" si="35"/>
        <v>3.16352E-3</v>
      </c>
    </row>
    <row r="772" spans="2:18" ht="15" customHeight="1" x14ac:dyDescent="0.25">
      <c r="B772" s="114">
        <v>0.65376210000000001</v>
      </c>
      <c r="C772" s="269">
        <v>16.103200000000001</v>
      </c>
      <c r="D772" s="272">
        <f t="shared" si="33"/>
        <v>1.6103200000000002E-2</v>
      </c>
      <c r="I772" s="114">
        <v>2.5979559999999999E-2</v>
      </c>
      <c r="J772" s="269">
        <v>2.9932439999999998</v>
      </c>
      <c r="K772" s="272">
        <f t="shared" si="34"/>
        <v>2.9932439999999999E-3</v>
      </c>
      <c r="P772" s="114">
        <v>2.68434E-2</v>
      </c>
      <c r="Q772" s="269">
        <v>3.2493479999999999</v>
      </c>
      <c r="R772" s="272">
        <f t="shared" si="35"/>
        <v>3.249348E-3</v>
      </c>
    </row>
    <row r="773" spans="2:18" ht="15" customHeight="1" x14ac:dyDescent="0.25">
      <c r="B773" s="114">
        <v>0.65462920000000002</v>
      </c>
      <c r="C773" s="269">
        <v>16.124559999999999</v>
      </c>
      <c r="D773" s="272">
        <f t="shared" si="33"/>
        <v>1.612456E-2</v>
      </c>
      <c r="I773" s="114">
        <v>2.9412529999999999E-2</v>
      </c>
      <c r="J773" s="269">
        <v>3.0785629999999999</v>
      </c>
      <c r="K773" s="272">
        <f t="shared" si="34"/>
        <v>3.0785629999999999E-3</v>
      </c>
      <c r="P773" s="114">
        <v>3.027285E-2</v>
      </c>
      <c r="Q773" s="269">
        <v>3.3347410000000002</v>
      </c>
      <c r="R773" s="272">
        <f t="shared" si="35"/>
        <v>3.334741E-3</v>
      </c>
    </row>
    <row r="774" spans="2:18" ht="15" customHeight="1" x14ac:dyDescent="0.25">
      <c r="B774" s="114">
        <v>0.65549619999999997</v>
      </c>
      <c r="C774" s="269">
        <v>16.14592</v>
      </c>
      <c r="D774" s="272">
        <f t="shared" si="33"/>
        <v>1.6145920000000001E-2</v>
      </c>
      <c r="I774" s="114">
        <v>3.2845510000000001E-2</v>
      </c>
      <c r="J774" s="269">
        <v>3.163656</v>
      </c>
      <c r="K774" s="272">
        <f t="shared" si="34"/>
        <v>3.1636559999999999E-3</v>
      </c>
      <c r="P774" s="114">
        <v>3.3702299999999998E-2</v>
      </c>
      <c r="Q774" s="269">
        <v>3.419867</v>
      </c>
      <c r="R774" s="272">
        <f t="shared" si="35"/>
        <v>3.419867E-3</v>
      </c>
    </row>
    <row r="775" spans="2:18" ht="15" customHeight="1" x14ac:dyDescent="0.25">
      <c r="B775" s="114">
        <v>0.65636329999999998</v>
      </c>
      <c r="C775" s="269">
        <v>16.167269999999998</v>
      </c>
      <c r="D775" s="272">
        <f t="shared" si="33"/>
        <v>1.6167269999999997E-2</v>
      </c>
      <c r="I775" s="114">
        <v>3.6278480000000002E-2</v>
      </c>
      <c r="J775" s="269">
        <v>3.248605</v>
      </c>
      <c r="K775" s="272">
        <f t="shared" si="34"/>
        <v>3.2486049999999999E-3</v>
      </c>
      <c r="P775" s="114">
        <v>3.7131749999999998E-2</v>
      </c>
      <c r="Q775" s="269">
        <v>3.5048210000000002</v>
      </c>
      <c r="R775" s="272">
        <f t="shared" si="35"/>
        <v>3.504821E-3</v>
      </c>
    </row>
    <row r="776" spans="2:18" ht="15" customHeight="1" x14ac:dyDescent="0.25">
      <c r="B776" s="114">
        <v>0.65723030000000005</v>
      </c>
      <c r="C776" s="269">
        <v>16.18863</v>
      </c>
      <c r="D776" s="272">
        <f t="shared" si="33"/>
        <v>1.6188629999999999E-2</v>
      </c>
      <c r="I776" s="114">
        <v>3.9711459999999997E-2</v>
      </c>
      <c r="J776" s="269">
        <v>3.3334570000000001</v>
      </c>
      <c r="K776" s="272">
        <f t="shared" si="34"/>
        <v>3.3334570000000002E-3</v>
      </c>
      <c r="P776" s="114">
        <v>4.0561199999999999E-2</v>
      </c>
      <c r="Q776" s="269">
        <v>3.589658</v>
      </c>
      <c r="R776" s="272">
        <f t="shared" si="35"/>
        <v>3.5896579999999999E-3</v>
      </c>
    </row>
    <row r="777" spans="2:18" ht="15" customHeight="1" x14ac:dyDescent="0.25">
      <c r="B777" s="114">
        <v>0.65809740000000005</v>
      </c>
      <c r="C777" s="269">
        <v>16.209990000000001</v>
      </c>
      <c r="D777" s="272">
        <f t="shared" si="33"/>
        <v>1.6209990000000001E-2</v>
      </c>
      <c r="I777" s="114">
        <v>4.3144439999999999E-2</v>
      </c>
      <c r="J777" s="269">
        <v>3.4182419999999998</v>
      </c>
      <c r="K777" s="272">
        <f t="shared" si="34"/>
        <v>3.4182419999999997E-3</v>
      </c>
      <c r="P777" s="114">
        <v>4.3990639999999998E-2</v>
      </c>
      <c r="Q777" s="269">
        <v>3.6744119999999998</v>
      </c>
      <c r="R777" s="272">
        <f t="shared" si="35"/>
        <v>3.6744119999999997E-3</v>
      </c>
    </row>
    <row r="778" spans="2:18" ht="15" customHeight="1" x14ac:dyDescent="0.25">
      <c r="B778" s="114">
        <v>0.65896449999999995</v>
      </c>
      <c r="C778" s="269">
        <v>16.231349999999999</v>
      </c>
      <c r="D778" s="272">
        <f t="shared" si="33"/>
        <v>1.6231349999999999E-2</v>
      </c>
      <c r="I778" s="114">
        <v>4.657741E-2</v>
      </c>
      <c r="J778" s="269">
        <v>3.5029789999999998</v>
      </c>
      <c r="K778" s="272">
        <f t="shared" si="34"/>
        <v>3.5029789999999998E-3</v>
      </c>
      <c r="P778" s="114">
        <v>4.7420089999999998E-2</v>
      </c>
      <c r="Q778" s="269">
        <v>3.7591079999999999</v>
      </c>
      <c r="R778" s="272">
        <f t="shared" si="35"/>
        <v>3.7591079999999997E-3</v>
      </c>
    </row>
    <row r="779" spans="2:18" ht="15" customHeight="1" x14ac:dyDescent="0.25">
      <c r="B779" s="114">
        <v>0.65983150000000002</v>
      </c>
      <c r="C779" s="269">
        <v>16.252700000000001</v>
      </c>
      <c r="D779" s="272">
        <f t="shared" si="33"/>
        <v>1.6252700000000002E-2</v>
      </c>
      <c r="I779" s="114">
        <v>5.0010390000000002E-2</v>
      </c>
      <c r="J779" s="269">
        <v>3.5876800000000002</v>
      </c>
      <c r="K779" s="272">
        <f t="shared" si="34"/>
        <v>3.5876800000000002E-3</v>
      </c>
      <c r="P779" s="114">
        <v>5.0849539999999999E-2</v>
      </c>
      <c r="Q779" s="269">
        <v>3.8437600000000001</v>
      </c>
      <c r="R779" s="272">
        <f t="shared" si="35"/>
        <v>3.8437599999999999E-3</v>
      </c>
    </row>
    <row r="780" spans="2:18" ht="15" customHeight="1" x14ac:dyDescent="0.25">
      <c r="B780" s="114">
        <v>0.66069860000000002</v>
      </c>
      <c r="C780" s="269">
        <v>16.274059999999999</v>
      </c>
      <c r="D780" s="272">
        <f t="shared" si="33"/>
        <v>1.627406E-2</v>
      </c>
      <c r="I780" s="114">
        <v>5.3443360000000002E-2</v>
      </c>
      <c r="J780" s="269">
        <v>3.6723560000000002</v>
      </c>
      <c r="K780" s="272">
        <f t="shared" si="34"/>
        <v>3.6723560000000003E-3</v>
      </c>
      <c r="P780" s="114">
        <v>5.4278989999999999E-2</v>
      </c>
      <c r="Q780" s="269">
        <v>3.9283800000000002</v>
      </c>
      <c r="R780" s="272">
        <f t="shared" si="35"/>
        <v>3.9283800000000004E-3</v>
      </c>
    </row>
    <row r="781" spans="2:18" ht="15" customHeight="1" x14ac:dyDescent="0.25">
      <c r="B781" s="114">
        <v>0.66156559999999998</v>
      </c>
      <c r="C781" s="269">
        <v>16.29542</v>
      </c>
      <c r="D781" s="272">
        <f t="shared" si="33"/>
        <v>1.6295420000000001E-2</v>
      </c>
      <c r="I781" s="114">
        <v>5.6876339999999997E-2</v>
      </c>
      <c r="J781" s="269">
        <v>3.7570109999999999</v>
      </c>
      <c r="K781" s="272">
        <f t="shared" si="34"/>
        <v>3.7570109999999998E-3</v>
      </c>
      <c r="P781" s="114">
        <v>5.770844E-2</v>
      </c>
      <c r="Q781" s="269">
        <v>4.0129739999999998</v>
      </c>
      <c r="R781" s="272">
        <f t="shared" si="35"/>
        <v>4.0129739999999999E-3</v>
      </c>
    </row>
    <row r="782" spans="2:18" ht="15" customHeight="1" x14ac:dyDescent="0.25">
      <c r="B782" s="114">
        <v>0.66243269999999999</v>
      </c>
      <c r="C782" s="269">
        <v>16.316770000000002</v>
      </c>
      <c r="D782" s="272">
        <f t="shared" si="33"/>
        <v>1.6316770000000001E-2</v>
      </c>
      <c r="I782" s="114">
        <v>6.0309309999999998E-2</v>
      </c>
      <c r="J782" s="269">
        <v>3.84165</v>
      </c>
      <c r="K782" s="272">
        <f t="shared" si="34"/>
        <v>3.8416499999999998E-3</v>
      </c>
      <c r="P782" s="114">
        <v>6.113789E-2</v>
      </c>
      <c r="Q782" s="269">
        <v>4.0975479999999997</v>
      </c>
      <c r="R782" s="272">
        <f t="shared" si="35"/>
        <v>4.0975479999999995E-3</v>
      </c>
    </row>
    <row r="783" spans="2:18" ht="15" customHeight="1" x14ac:dyDescent="0.25">
      <c r="B783" s="114">
        <v>0.66329979999999999</v>
      </c>
      <c r="C783" s="269">
        <v>16.33813</v>
      </c>
      <c r="D783" s="272">
        <f t="shared" si="33"/>
        <v>1.6338129999999999E-2</v>
      </c>
      <c r="I783" s="114">
        <v>6.3742289999999993E-2</v>
      </c>
      <c r="J783" s="269">
        <v>3.9262760000000001</v>
      </c>
      <c r="K783" s="272">
        <f t="shared" si="34"/>
        <v>3.9262760000000002E-3</v>
      </c>
      <c r="P783" s="114">
        <v>6.4567340000000001E-2</v>
      </c>
      <c r="Q783" s="269">
        <v>4.1821060000000001</v>
      </c>
      <c r="R783" s="272">
        <f t="shared" si="35"/>
        <v>4.1821059999999997E-3</v>
      </c>
    </row>
    <row r="784" spans="2:18" ht="15" customHeight="1" x14ac:dyDescent="0.25">
      <c r="B784" s="114">
        <v>0.66416679999999995</v>
      </c>
      <c r="C784" s="269">
        <v>16.359490000000001</v>
      </c>
      <c r="D784" s="272">
        <f t="shared" si="33"/>
        <v>1.6359490000000001E-2</v>
      </c>
      <c r="I784" s="114">
        <v>6.7175260000000001E-2</v>
      </c>
      <c r="J784" s="269">
        <v>4.0108930000000003</v>
      </c>
      <c r="K784" s="272">
        <f t="shared" si="34"/>
        <v>4.0108930000000006E-3</v>
      </c>
      <c r="P784" s="114">
        <v>6.7996790000000001E-2</v>
      </c>
      <c r="Q784" s="269">
        <v>4.2666519999999997</v>
      </c>
      <c r="R784" s="272">
        <f t="shared" si="35"/>
        <v>4.2666519999999993E-3</v>
      </c>
    </row>
    <row r="785" spans="2:18" ht="15" customHeight="1" x14ac:dyDescent="0.25">
      <c r="B785" s="114">
        <v>0.66503389999999996</v>
      </c>
      <c r="C785" s="269">
        <v>16.380849999999999</v>
      </c>
      <c r="D785" s="272">
        <f t="shared" si="33"/>
        <v>1.6380849999999999E-2</v>
      </c>
      <c r="I785" s="114">
        <v>7.0608240000000003E-2</v>
      </c>
      <c r="J785" s="269">
        <v>4.0955009999999996</v>
      </c>
      <c r="K785" s="272">
        <f t="shared" si="34"/>
        <v>4.0955009999999997E-3</v>
      </c>
      <c r="P785" s="114">
        <v>7.1426240000000002E-2</v>
      </c>
      <c r="Q785" s="269">
        <v>4.3511870000000004</v>
      </c>
      <c r="R785" s="272">
        <f t="shared" si="35"/>
        <v>4.3511870000000003E-3</v>
      </c>
    </row>
    <row r="786" spans="2:18" ht="15" customHeight="1" x14ac:dyDescent="0.25">
      <c r="B786" s="114">
        <v>0.66590090000000002</v>
      </c>
      <c r="C786" s="269">
        <v>16.402200000000001</v>
      </c>
      <c r="D786" s="272">
        <f t="shared" ref="D786:D849" si="36">C786/1000</f>
        <v>1.6402200000000002E-2</v>
      </c>
      <c r="I786" s="114">
        <v>7.4041209999999996E-2</v>
      </c>
      <c r="J786" s="269">
        <v>4.1801029999999999</v>
      </c>
      <c r="K786" s="272">
        <f t="shared" ref="K786:K849" si="37">J786/1000</f>
        <v>4.1801030000000001E-3</v>
      </c>
      <c r="P786" s="114">
        <v>7.4855690000000003E-2</v>
      </c>
      <c r="Q786" s="269">
        <v>4.4357150000000001</v>
      </c>
      <c r="R786" s="272">
        <f t="shared" ref="R786:R849" si="38">Q786/1000</f>
        <v>4.4357149999999998E-3</v>
      </c>
    </row>
    <row r="787" spans="2:18" ht="15" customHeight="1" x14ac:dyDescent="0.25">
      <c r="B787" s="114">
        <v>0.66676800000000003</v>
      </c>
      <c r="C787" s="269">
        <v>16.423559999999998</v>
      </c>
      <c r="D787" s="272">
        <f t="shared" si="36"/>
        <v>1.6423559999999997E-2</v>
      </c>
      <c r="I787" s="114">
        <v>7.7474189999999998E-2</v>
      </c>
      <c r="J787" s="269">
        <v>4.2647000000000004</v>
      </c>
      <c r="K787" s="272">
        <f t="shared" si="37"/>
        <v>4.2647000000000006E-3</v>
      </c>
      <c r="P787" s="114">
        <v>7.8285140000000003E-2</v>
      </c>
      <c r="Q787" s="269">
        <v>4.5202349999999996</v>
      </c>
      <c r="R787" s="272">
        <f t="shared" si="38"/>
        <v>4.5202349999999992E-3</v>
      </c>
    </row>
    <row r="788" spans="2:18" ht="15" customHeight="1" x14ac:dyDescent="0.25">
      <c r="B788" s="114">
        <v>0.66763499999999998</v>
      </c>
      <c r="C788" s="269">
        <v>16.44492</v>
      </c>
      <c r="D788" s="272">
        <f t="shared" si="36"/>
        <v>1.6444919999999998E-2</v>
      </c>
      <c r="I788" s="114">
        <v>8.0907160000000006E-2</v>
      </c>
      <c r="J788" s="269">
        <v>4.3492920000000002</v>
      </c>
      <c r="K788" s="272">
        <f t="shared" si="37"/>
        <v>4.3492920000000003E-3</v>
      </c>
      <c r="P788" s="114">
        <v>8.1714590000000004E-2</v>
      </c>
      <c r="Q788" s="269">
        <v>4.604749</v>
      </c>
      <c r="R788" s="272">
        <f t="shared" si="38"/>
        <v>4.604749E-3</v>
      </c>
    </row>
    <row r="789" spans="2:18" ht="15" customHeight="1" x14ac:dyDescent="0.25">
      <c r="B789" s="114">
        <v>0.66850209999999999</v>
      </c>
      <c r="C789" s="269">
        <v>16.466270000000002</v>
      </c>
      <c r="D789" s="272">
        <f t="shared" si="36"/>
        <v>1.6466270000000002E-2</v>
      </c>
      <c r="I789" s="114">
        <v>8.4340139999999994E-2</v>
      </c>
      <c r="J789" s="269">
        <v>4.4338800000000003</v>
      </c>
      <c r="K789" s="272">
        <f t="shared" si="37"/>
        <v>4.4338800000000003E-3</v>
      </c>
      <c r="P789" s="114">
        <v>8.5144040000000004E-2</v>
      </c>
      <c r="Q789" s="269">
        <v>4.6892579999999997</v>
      </c>
      <c r="R789" s="272">
        <f t="shared" si="38"/>
        <v>4.689258E-3</v>
      </c>
    </row>
    <row r="790" spans="2:18" ht="15" customHeight="1" x14ac:dyDescent="0.25">
      <c r="B790" s="114">
        <v>0.6693692</v>
      </c>
      <c r="C790" s="269">
        <v>16.487629999999999</v>
      </c>
      <c r="D790" s="272">
        <f t="shared" si="36"/>
        <v>1.648763E-2</v>
      </c>
      <c r="I790" s="114">
        <v>8.7773110000000001E-2</v>
      </c>
      <c r="J790" s="269">
        <v>4.5184639999999998</v>
      </c>
      <c r="K790" s="272">
        <f t="shared" si="37"/>
        <v>4.5184639999999998E-3</v>
      </c>
      <c r="P790" s="114">
        <v>8.8573490000000005E-2</v>
      </c>
      <c r="Q790" s="269">
        <v>4.7737629999999998</v>
      </c>
      <c r="R790" s="272">
        <f t="shared" si="38"/>
        <v>4.7737629999999994E-3</v>
      </c>
    </row>
    <row r="791" spans="2:18" ht="15" customHeight="1" x14ac:dyDescent="0.25">
      <c r="B791" s="114">
        <v>0.67023619999999995</v>
      </c>
      <c r="C791" s="269">
        <v>16.508990000000001</v>
      </c>
      <c r="D791" s="272">
        <f t="shared" si="36"/>
        <v>1.6508990000000001E-2</v>
      </c>
      <c r="I791" s="114">
        <v>9.1206090000000004E-2</v>
      </c>
      <c r="J791" s="269">
        <v>4.603046</v>
      </c>
      <c r="K791" s="272">
        <f t="shared" si="37"/>
        <v>4.6030460000000004E-3</v>
      </c>
      <c r="P791" s="114">
        <v>9.2002940000000005E-2</v>
      </c>
      <c r="Q791" s="269">
        <v>4.8582650000000003</v>
      </c>
      <c r="R791" s="272">
        <f t="shared" si="38"/>
        <v>4.8582650000000005E-3</v>
      </c>
    </row>
    <row r="792" spans="2:18" ht="15" customHeight="1" x14ac:dyDescent="0.25">
      <c r="B792" s="114">
        <v>0.67110329999999996</v>
      </c>
      <c r="C792" s="269">
        <v>16.530339999999999</v>
      </c>
      <c r="D792" s="272">
        <f t="shared" si="36"/>
        <v>1.6530339999999998E-2</v>
      </c>
      <c r="I792" s="114">
        <v>9.4639059999999997E-2</v>
      </c>
      <c r="J792" s="269">
        <v>4.6876259999999998</v>
      </c>
      <c r="K792" s="272">
        <f t="shared" si="37"/>
        <v>4.6876259999999994E-3</v>
      </c>
      <c r="P792" s="114">
        <v>9.5432390000000006E-2</v>
      </c>
      <c r="Q792" s="269">
        <v>4.9427640000000004</v>
      </c>
      <c r="R792" s="272">
        <f t="shared" si="38"/>
        <v>4.9427640000000005E-3</v>
      </c>
    </row>
    <row r="793" spans="2:18" ht="15" customHeight="1" x14ac:dyDescent="0.25">
      <c r="B793" s="114">
        <v>0.67197030000000002</v>
      </c>
      <c r="C793" s="269">
        <v>16.5517</v>
      </c>
      <c r="D793" s="272">
        <f t="shared" si="36"/>
        <v>1.6551699999999999E-2</v>
      </c>
      <c r="I793" s="114">
        <v>9.8072039999999999E-2</v>
      </c>
      <c r="J793" s="269">
        <v>4.7722030000000002</v>
      </c>
      <c r="K793" s="272">
        <f t="shared" si="37"/>
        <v>4.772203E-3</v>
      </c>
      <c r="P793" s="114">
        <v>9.8861829999999998E-2</v>
      </c>
      <c r="Q793" s="269">
        <v>5.0272600000000001</v>
      </c>
      <c r="R793" s="272">
        <f t="shared" si="38"/>
        <v>5.0272600000000004E-3</v>
      </c>
    </row>
    <row r="794" spans="2:18" ht="15" customHeight="1" x14ac:dyDescent="0.25">
      <c r="B794" s="114">
        <v>0.67283740000000003</v>
      </c>
      <c r="C794" s="269">
        <v>16.573060000000002</v>
      </c>
      <c r="D794" s="272">
        <f t="shared" si="36"/>
        <v>1.6573060000000001E-2</v>
      </c>
      <c r="I794" s="114">
        <v>0.101505</v>
      </c>
      <c r="J794" s="269">
        <v>4.8567790000000004</v>
      </c>
      <c r="K794" s="272">
        <f t="shared" si="37"/>
        <v>4.8567790000000003E-3</v>
      </c>
      <c r="P794" s="114">
        <v>0.1022913</v>
      </c>
      <c r="Q794" s="269">
        <v>5.1117530000000002</v>
      </c>
      <c r="R794" s="272">
        <f t="shared" si="38"/>
        <v>5.1117530000000001E-3</v>
      </c>
    </row>
    <row r="795" spans="2:18" ht="15" customHeight="1" x14ac:dyDescent="0.25">
      <c r="B795" s="114">
        <v>0.67370450000000004</v>
      </c>
      <c r="C795" s="269">
        <v>16.59442</v>
      </c>
      <c r="D795" s="272">
        <f t="shared" si="36"/>
        <v>1.6594419999999999E-2</v>
      </c>
      <c r="I795" s="114">
        <v>0.104938</v>
      </c>
      <c r="J795" s="269">
        <v>4.9413530000000003</v>
      </c>
      <c r="K795" s="272">
        <f t="shared" si="37"/>
        <v>4.9413530000000008E-3</v>
      </c>
      <c r="P795" s="114">
        <v>0.1057207</v>
      </c>
      <c r="Q795" s="269">
        <v>5.1962450000000002</v>
      </c>
      <c r="R795" s="272">
        <f t="shared" si="38"/>
        <v>5.1962450000000004E-3</v>
      </c>
    </row>
    <row r="796" spans="2:18" ht="15" customHeight="1" x14ac:dyDescent="0.25">
      <c r="B796" s="114">
        <v>0.67457149999999999</v>
      </c>
      <c r="C796" s="269">
        <v>16.615770000000001</v>
      </c>
      <c r="D796" s="272">
        <f t="shared" si="36"/>
        <v>1.6615770000000002E-2</v>
      </c>
      <c r="I796" s="114">
        <v>0.108371</v>
      </c>
      <c r="J796" s="269">
        <v>5.0259260000000001</v>
      </c>
      <c r="K796" s="272">
        <f t="shared" si="37"/>
        <v>5.025926E-3</v>
      </c>
      <c r="P796" s="114">
        <v>0.1091502</v>
      </c>
      <c r="Q796" s="269">
        <v>5.280735</v>
      </c>
      <c r="R796" s="272">
        <f t="shared" si="38"/>
        <v>5.2807349999999999E-3</v>
      </c>
    </row>
    <row r="797" spans="2:18" ht="15" customHeight="1" x14ac:dyDescent="0.25">
      <c r="B797" s="114">
        <v>0.6754386</v>
      </c>
      <c r="C797" s="269">
        <v>16.637129999999999</v>
      </c>
      <c r="D797" s="272">
        <f t="shared" si="36"/>
        <v>1.663713E-2</v>
      </c>
      <c r="I797" s="114">
        <v>0.1118039</v>
      </c>
      <c r="J797" s="269">
        <v>5.1104979999999998</v>
      </c>
      <c r="K797" s="272">
        <f t="shared" si="37"/>
        <v>5.1104979999999998E-3</v>
      </c>
      <c r="P797" s="114">
        <v>0.1125796</v>
      </c>
      <c r="Q797" s="269">
        <v>5.3652230000000003</v>
      </c>
      <c r="R797" s="272">
        <f t="shared" si="38"/>
        <v>5.3652230000000006E-3</v>
      </c>
    </row>
    <row r="798" spans="2:18" ht="15" customHeight="1" x14ac:dyDescent="0.25">
      <c r="B798" s="114">
        <v>0.67630559999999995</v>
      </c>
      <c r="C798" s="269">
        <v>16.65849</v>
      </c>
      <c r="D798" s="272">
        <f t="shared" si="36"/>
        <v>1.6658490000000001E-2</v>
      </c>
      <c r="I798" s="114">
        <v>0.1152369</v>
      </c>
      <c r="J798" s="269">
        <v>5.195068</v>
      </c>
      <c r="K798" s="272">
        <f t="shared" si="37"/>
        <v>5.1950679999999997E-3</v>
      </c>
      <c r="P798" s="114">
        <v>0.1160091</v>
      </c>
      <c r="Q798" s="269">
        <v>5.4497099999999996</v>
      </c>
      <c r="R798" s="272">
        <f t="shared" si="38"/>
        <v>5.44971E-3</v>
      </c>
    </row>
    <row r="799" spans="2:18" ht="15" customHeight="1" x14ac:dyDescent="0.25">
      <c r="B799" s="114">
        <v>0.67717269999999996</v>
      </c>
      <c r="C799" s="269">
        <v>16.679839999999999</v>
      </c>
      <c r="D799" s="272">
        <f t="shared" si="36"/>
        <v>1.6679839999999998E-2</v>
      </c>
      <c r="I799" s="114">
        <v>0.11866989999999999</v>
      </c>
      <c r="J799" s="269">
        <v>5.2796380000000003</v>
      </c>
      <c r="K799" s="272">
        <f t="shared" si="37"/>
        <v>5.2796380000000006E-3</v>
      </c>
      <c r="P799" s="114">
        <v>0.1194385</v>
      </c>
      <c r="Q799" s="269">
        <v>5.5341959999999997</v>
      </c>
      <c r="R799" s="272">
        <f t="shared" si="38"/>
        <v>5.5341959999999999E-3</v>
      </c>
    </row>
    <row r="800" spans="2:18" ht="15" customHeight="1" x14ac:dyDescent="0.25">
      <c r="B800" s="114">
        <v>0.67803970000000002</v>
      </c>
      <c r="C800" s="269">
        <v>16.7012</v>
      </c>
      <c r="D800" s="272">
        <f t="shared" si="36"/>
        <v>1.6701199999999999E-2</v>
      </c>
      <c r="I800" s="114">
        <v>0.1221029</v>
      </c>
      <c r="J800" s="269">
        <v>5.3642070000000004</v>
      </c>
      <c r="K800" s="272">
        <f t="shared" si="37"/>
        <v>5.3642070000000002E-3</v>
      </c>
      <c r="P800" s="114">
        <v>0.122868</v>
      </c>
      <c r="Q800" s="269">
        <v>5.6186809999999996</v>
      </c>
      <c r="R800" s="272">
        <f t="shared" si="38"/>
        <v>5.6186809999999995E-3</v>
      </c>
    </row>
    <row r="801" spans="2:18" ht="15" customHeight="1" x14ac:dyDescent="0.25">
      <c r="B801" s="114">
        <v>0.67890680000000003</v>
      </c>
      <c r="C801" s="269">
        <v>16.722560000000001</v>
      </c>
      <c r="D801" s="272">
        <f t="shared" si="36"/>
        <v>1.6722560000000001E-2</v>
      </c>
      <c r="I801" s="114">
        <v>0.1255358</v>
      </c>
      <c r="J801" s="269">
        <v>5.4487750000000004</v>
      </c>
      <c r="K801" s="272">
        <f t="shared" si="37"/>
        <v>5.4487750000000003E-3</v>
      </c>
      <c r="P801" s="114">
        <v>0.1262974</v>
      </c>
      <c r="Q801" s="269">
        <v>5.7031650000000003</v>
      </c>
      <c r="R801" s="272">
        <f t="shared" si="38"/>
        <v>5.7031650000000005E-3</v>
      </c>
    </row>
    <row r="802" spans="2:18" ht="15" customHeight="1" x14ac:dyDescent="0.25">
      <c r="B802" s="114">
        <v>0.67977390000000004</v>
      </c>
      <c r="C802" s="269">
        <v>16.74391</v>
      </c>
      <c r="D802" s="272">
        <f t="shared" si="36"/>
        <v>1.6743910000000001E-2</v>
      </c>
      <c r="I802" s="114">
        <v>0.12896879999999999</v>
      </c>
      <c r="J802" s="269">
        <v>5.5333420000000002</v>
      </c>
      <c r="K802" s="272">
        <f t="shared" si="37"/>
        <v>5.5333420000000001E-3</v>
      </c>
      <c r="P802" s="114">
        <v>0.12972690000000001</v>
      </c>
      <c r="Q802" s="269">
        <v>5.7876479999999999</v>
      </c>
      <c r="R802" s="272">
        <f t="shared" si="38"/>
        <v>5.7876480000000003E-3</v>
      </c>
    </row>
    <row r="803" spans="2:18" ht="15" customHeight="1" x14ac:dyDescent="0.25">
      <c r="B803" s="114">
        <v>0.68064089999999999</v>
      </c>
      <c r="C803" s="269">
        <v>16.765270000000001</v>
      </c>
      <c r="D803" s="272">
        <f t="shared" si="36"/>
        <v>1.6765270000000002E-2</v>
      </c>
      <c r="I803" s="114">
        <v>0.13240179999999999</v>
      </c>
      <c r="J803" s="269">
        <v>5.617909</v>
      </c>
      <c r="K803" s="272">
        <f t="shared" si="37"/>
        <v>5.6179089999999999E-3</v>
      </c>
      <c r="P803" s="114">
        <v>0.13315630000000001</v>
      </c>
      <c r="Q803" s="269">
        <v>5.8721300000000003</v>
      </c>
      <c r="R803" s="272">
        <f t="shared" si="38"/>
        <v>5.8721300000000006E-3</v>
      </c>
    </row>
    <row r="804" spans="2:18" ht="15" customHeight="1" x14ac:dyDescent="0.25">
      <c r="B804" s="114">
        <v>0.681508</v>
      </c>
      <c r="C804" s="269">
        <v>16.786629999999999</v>
      </c>
      <c r="D804" s="272">
        <f t="shared" si="36"/>
        <v>1.678663E-2</v>
      </c>
      <c r="I804" s="114">
        <v>0.13583480000000001</v>
      </c>
      <c r="J804" s="269">
        <v>5.7024749999999997</v>
      </c>
      <c r="K804" s="272">
        <f t="shared" si="37"/>
        <v>5.7024749999999994E-3</v>
      </c>
      <c r="P804" s="114">
        <v>0.13658580000000001</v>
      </c>
      <c r="Q804" s="269">
        <v>5.9566109999999997</v>
      </c>
      <c r="R804" s="272">
        <f t="shared" si="38"/>
        <v>5.9566109999999997E-3</v>
      </c>
    </row>
    <row r="805" spans="2:18" ht="15" customHeight="1" x14ac:dyDescent="0.25">
      <c r="B805" s="114">
        <v>0.68237499999999995</v>
      </c>
      <c r="C805" s="269">
        <v>16.80799</v>
      </c>
      <c r="D805" s="272">
        <f t="shared" si="36"/>
        <v>1.6807990000000002E-2</v>
      </c>
      <c r="I805" s="114">
        <v>0.13926769999999999</v>
      </c>
      <c r="J805" s="269">
        <v>5.7870410000000003</v>
      </c>
      <c r="K805" s="272">
        <f t="shared" si="37"/>
        <v>5.7870410000000006E-3</v>
      </c>
      <c r="P805" s="114">
        <v>0.14001520000000001</v>
      </c>
      <c r="Q805" s="269">
        <v>6.0410919999999999</v>
      </c>
      <c r="R805" s="272">
        <f t="shared" si="38"/>
        <v>6.0410919999999996E-3</v>
      </c>
    </row>
    <row r="806" spans="2:18" ht="15" customHeight="1" x14ac:dyDescent="0.25">
      <c r="B806" s="114">
        <v>0.68324209999999996</v>
      </c>
      <c r="C806" s="269">
        <v>16.829339999999998</v>
      </c>
      <c r="D806" s="272">
        <f t="shared" si="36"/>
        <v>1.6829339999999998E-2</v>
      </c>
      <c r="I806" s="114">
        <v>0.14270070000000001</v>
      </c>
      <c r="J806" s="269">
        <v>5.8716059999999999</v>
      </c>
      <c r="K806" s="272">
        <f t="shared" si="37"/>
        <v>5.8716059999999997E-3</v>
      </c>
      <c r="P806" s="114">
        <v>0.14344470000000001</v>
      </c>
      <c r="Q806" s="269">
        <v>6.125572</v>
      </c>
      <c r="R806" s="272">
        <f t="shared" si="38"/>
        <v>6.1255720000000001E-3</v>
      </c>
    </row>
    <row r="807" spans="2:18" ht="15" customHeight="1" x14ac:dyDescent="0.25">
      <c r="B807" s="114">
        <v>0.68410919999999997</v>
      </c>
      <c r="C807" s="269">
        <v>16.8507</v>
      </c>
      <c r="D807" s="272">
        <f t="shared" si="36"/>
        <v>1.68507E-2</v>
      </c>
      <c r="I807" s="114">
        <v>0.14613370000000001</v>
      </c>
      <c r="J807" s="269">
        <v>5.9561710000000003</v>
      </c>
      <c r="K807" s="272">
        <f t="shared" si="37"/>
        <v>5.9561710000000006E-3</v>
      </c>
      <c r="P807" s="114">
        <v>0.14687410000000001</v>
      </c>
      <c r="Q807" s="269">
        <v>6.2100520000000001</v>
      </c>
      <c r="R807" s="272">
        <f t="shared" si="38"/>
        <v>6.2100519999999998E-3</v>
      </c>
    </row>
    <row r="808" spans="2:18" ht="15" customHeight="1" x14ac:dyDescent="0.25">
      <c r="B808" s="114">
        <v>0.68497620000000004</v>
      </c>
      <c r="C808" s="269">
        <v>16.872060000000001</v>
      </c>
      <c r="D808" s="272">
        <f t="shared" si="36"/>
        <v>1.6872060000000001E-2</v>
      </c>
      <c r="I808" s="114">
        <v>0.1495667</v>
      </c>
      <c r="J808" s="269">
        <v>6.0407359999999999</v>
      </c>
      <c r="K808" s="272">
        <f t="shared" si="37"/>
        <v>6.0407359999999997E-3</v>
      </c>
      <c r="P808" s="114">
        <v>0.15030360000000001</v>
      </c>
      <c r="Q808" s="269">
        <v>6.2945310000000001</v>
      </c>
      <c r="R808" s="272">
        <f t="shared" si="38"/>
        <v>6.2945309999999999E-3</v>
      </c>
    </row>
    <row r="809" spans="2:18" ht="15" customHeight="1" x14ac:dyDescent="0.25">
      <c r="B809" s="114">
        <v>0.68584330000000004</v>
      </c>
      <c r="C809" s="269">
        <v>16.893409999999999</v>
      </c>
      <c r="D809" s="272">
        <f t="shared" si="36"/>
        <v>1.6893410000000001E-2</v>
      </c>
      <c r="I809" s="114">
        <v>0.15299960000000001</v>
      </c>
      <c r="J809" s="269">
        <v>6.1253000000000002</v>
      </c>
      <c r="K809" s="272">
        <f t="shared" si="37"/>
        <v>6.1253000000000002E-3</v>
      </c>
      <c r="P809" s="114">
        <v>0.15373300000000001</v>
      </c>
      <c r="Q809" s="269">
        <v>6.3790100000000001</v>
      </c>
      <c r="R809" s="272">
        <f t="shared" si="38"/>
        <v>6.3790100000000001E-3</v>
      </c>
    </row>
    <row r="810" spans="2:18" ht="15" customHeight="1" x14ac:dyDescent="0.25">
      <c r="B810" s="114">
        <v>0.6867103</v>
      </c>
      <c r="C810" s="269">
        <v>16.914770000000001</v>
      </c>
      <c r="D810" s="272">
        <f t="shared" si="36"/>
        <v>1.6914769999999999E-2</v>
      </c>
      <c r="I810" s="114">
        <v>0.1564326</v>
      </c>
      <c r="J810" s="269">
        <v>6.2098639999999996</v>
      </c>
      <c r="K810" s="272">
        <f t="shared" si="37"/>
        <v>6.2098639999999998E-3</v>
      </c>
      <c r="P810" s="114">
        <v>0.15716250000000001</v>
      </c>
      <c r="Q810" s="269">
        <v>6.463489</v>
      </c>
      <c r="R810" s="272">
        <f t="shared" si="38"/>
        <v>6.4634890000000002E-3</v>
      </c>
    </row>
    <row r="811" spans="2:18" ht="15" customHeight="1" x14ac:dyDescent="0.25">
      <c r="B811" s="114">
        <v>0.68757740000000001</v>
      </c>
      <c r="C811" s="269">
        <v>16.936129999999999</v>
      </c>
      <c r="D811" s="272">
        <f t="shared" si="36"/>
        <v>1.6936129999999997E-2</v>
      </c>
      <c r="I811" s="114">
        <v>0.1598656</v>
      </c>
      <c r="J811" s="269">
        <v>6.2944279999999999</v>
      </c>
      <c r="K811" s="272">
        <f t="shared" si="37"/>
        <v>6.2944279999999995E-3</v>
      </c>
      <c r="P811" s="114">
        <v>0.16059190000000001</v>
      </c>
      <c r="Q811" s="269">
        <v>6.5479669999999999</v>
      </c>
      <c r="R811" s="272">
        <f t="shared" si="38"/>
        <v>6.547967E-3</v>
      </c>
    </row>
    <row r="812" spans="2:18" ht="15" customHeight="1" x14ac:dyDescent="0.25">
      <c r="B812" s="114">
        <v>0.68844439999999996</v>
      </c>
      <c r="C812" s="269">
        <v>16.95749</v>
      </c>
      <c r="D812" s="272">
        <f t="shared" si="36"/>
        <v>1.6957489999999999E-2</v>
      </c>
      <c r="I812" s="114">
        <v>0.16329859999999999</v>
      </c>
      <c r="J812" s="269">
        <v>6.3789910000000001</v>
      </c>
      <c r="K812" s="272">
        <f t="shared" si="37"/>
        <v>6.3789909999999997E-3</v>
      </c>
      <c r="P812" s="114">
        <v>0.16402140000000001</v>
      </c>
      <c r="Q812" s="269">
        <v>6.6324449999999997</v>
      </c>
      <c r="R812" s="272">
        <f t="shared" si="38"/>
        <v>6.6324449999999998E-3</v>
      </c>
    </row>
    <row r="813" spans="2:18" ht="15" customHeight="1" x14ac:dyDescent="0.25">
      <c r="B813" s="114">
        <v>0.68931149999999997</v>
      </c>
      <c r="C813" s="269">
        <v>16.978840000000002</v>
      </c>
      <c r="D813" s="272">
        <f t="shared" si="36"/>
        <v>1.6978840000000002E-2</v>
      </c>
      <c r="I813" s="114">
        <v>0.1667315</v>
      </c>
      <c r="J813" s="269">
        <v>6.4635540000000002</v>
      </c>
      <c r="K813" s="272">
        <f t="shared" si="37"/>
        <v>6.4635539999999998E-3</v>
      </c>
      <c r="P813" s="114">
        <v>0.16745080000000001</v>
      </c>
      <c r="Q813" s="269">
        <v>6.7169220000000003</v>
      </c>
      <c r="R813" s="272">
        <f t="shared" si="38"/>
        <v>6.7169220000000002E-3</v>
      </c>
    </row>
    <row r="814" spans="2:18" ht="15" customHeight="1" x14ac:dyDescent="0.25">
      <c r="B814" s="114">
        <v>0.69017859999999998</v>
      </c>
      <c r="C814" s="269">
        <v>17.0002</v>
      </c>
      <c r="D814" s="272">
        <f t="shared" si="36"/>
        <v>1.70002E-2</v>
      </c>
      <c r="I814" s="114">
        <v>0.1701645</v>
      </c>
      <c r="J814" s="269">
        <v>6.5481170000000004</v>
      </c>
      <c r="K814" s="272">
        <f t="shared" si="37"/>
        <v>6.548117E-3</v>
      </c>
      <c r="P814" s="114">
        <v>0.17088030000000001</v>
      </c>
      <c r="Q814" s="269">
        <v>6.801399</v>
      </c>
      <c r="R814" s="272">
        <f t="shared" si="38"/>
        <v>6.8013989999999996E-3</v>
      </c>
    </row>
    <row r="815" spans="2:18" ht="15" customHeight="1" x14ac:dyDescent="0.25">
      <c r="B815" s="114">
        <v>0.69104560000000004</v>
      </c>
      <c r="C815" s="269">
        <v>17.021560000000001</v>
      </c>
      <c r="D815" s="272">
        <f t="shared" si="36"/>
        <v>1.7021560000000002E-2</v>
      </c>
      <c r="I815" s="114">
        <v>0.17359749999999999</v>
      </c>
      <c r="J815" s="269">
        <v>6.6326799999999997</v>
      </c>
      <c r="K815" s="272">
        <f t="shared" si="37"/>
        <v>6.6326799999999993E-3</v>
      </c>
      <c r="P815" s="114">
        <v>0.17430970000000001</v>
      </c>
      <c r="Q815" s="269">
        <v>6.8858759999999997</v>
      </c>
      <c r="R815" s="272">
        <f t="shared" si="38"/>
        <v>6.885876E-3</v>
      </c>
    </row>
    <row r="816" spans="2:18" ht="15" customHeight="1" x14ac:dyDescent="0.25">
      <c r="B816" s="114">
        <v>0.69191270000000005</v>
      </c>
      <c r="C816" s="269">
        <v>17.042909999999999</v>
      </c>
      <c r="D816" s="272">
        <f t="shared" si="36"/>
        <v>1.7042909999999998E-2</v>
      </c>
      <c r="I816" s="114">
        <v>0.17703050000000001</v>
      </c>
      <c r="J816" s="269">
        <v>6.7172429999999999</v>
      </c>
      <c r="K816" s="272">
        <f t="shared" si="37"/>
        <v>6.7172429999999995E-3</v>
      </c>
      <c r="P816" s="114">
        <v>0.17773920000000001</v>
      </c>
      <c r="Q816" s="269">
        <v>6.9703530000000002</v>
      </c>
      <c r="R816" s="272">
        <f t="shared" si="38"/>
        <v>6.9703530000000003E-3</v>
      </c>
    </row>
    <row r="817" spans="2:18" ht="15" customHeight="1" x14ac:dyDescent="0.25">
      <c r="B817" s="114">
        <v>0.6927797</v>
      </c>
      <c r="C817" s="269">
        <v>17.06427</v>
      </c>
      <c r="D817" s="272">
        <f t="shared" si="36"/>
        <v>1.7064269999999999E-2</v>
      </c>
      <c r="I817" s="114">
        <v>0.1804634</v>
      </c>
      <c r="J817" s="269">
        <v>6.8018049999999999</v>
      </c>
      <c r="K817" s="272">
        <f t="shared" si="37"/>
        <v>6.8018050000000002E-3</v>
      </c>
      <c r="P817" s="114">
        <v>0.18116860000000001</v>
      </c>
      <c r="Q817" s="269">
        <v>7.0548289999999998</v>
      </c>
      <c r="R817" s="272">
        <f t="shared" si="38"/>
        <v>7.0548289999999994E-3</v>
      </c>
    </row>
    <row r="818" spans="2:18" ht="15" customHeight="1" x14ac:dyDescent="0.25">
      <c r="B818" s="114">
        <v>0.69364680000000001</v>
      </c>
      <c r="C818" s="269">
        <v>17.085629999999998</v>
      </c>
      <c r="D818" s="272">
        <f t="shared" si="36"/>
        <v>1.7085629999999997E-2</v>
      </c>
      <c r="I818" s="114">
        <v>0.18389639999999999</v>
      </c>
      <c r="J818" s="269">
        <v>6.886368</v>
      </c>
      <c r="K818" s="272">
        <f t="shared" si="37"/>
        <v>6.8863680000000004E-3</v>
      </c>
      <c r="P818" s="114">
        <v>0.18459809999999999</v>
      </c>
      <c r="Q818" s="269">
        <v>7.1393060000000004</v>
      </c>
      <c r="R818" s="272">
        <f t="shared" si="38"/>
        <v>7.1393060000000006E-3</v>
      </c>
    </row>
    <row r="819" spans="2:18" ht="15" customHeight="1" x14ac:dyDescent="0.25">
      <c r="B819" s="114">
        <v>0.69451390000000002</v>
      </c>
      <c r="C819" s="269">
        <v>17.10698</v>
      </c>
      <c r="D819" s="272">
        <f t="shared" si="36"/>
        <v>1.7106980000000001E-2</v>
      </c>
      <c r="I819" s="114">
        <v>0.18732940000000001</v>
      </c>
      <c r="J819" s="269">
        <v>6.9709300000000001</v>
      </c>
      <c r="K819" s="272">
        <f t="shared" si="37"/>
        <v>6.9709300000000002E-3</v>
      </c>
      <c r="P819" s="114">
        <v>0.18802749999999999</v>
      </c>
      <c r="Q819" s="269">
        <v>7.2237819999999999</v>
      </c>
      <c r="R819" s="272">
        <f t="shared" si="38"/>
        <v>7.2237819999999998E-3</v>
      </c>
    </row>
    <row r="820" spans="2:18" ht="15" customHeight="1" x14ac:dyDescent="0.25">
      <c r="B820" s="114">
        <v>0.69538089999999997</v>
      </c>
      <c r="C820" s="269">
        <v>17.128340000000001</v>
      </c>
      <c r="D820" s="272">
        <f t="shared" si="36"/>
        <v>1.7128340000000002E-2</v>
      </c>
      <c r="I820" s="114">
        <v>0.1907624</v>
      </c>
      <c r="J820" s="269">
        <v>7.0554920000000001</v>
      </c>
      <c r="K820" s="272">
        <f t="shared" si="37"/>
        <v>7.055492E-3</v>
      </c>
      <c r="P820" s="114">
        <v>0.19145699999999999</v>
      </c>
      <c r="Q820" s="269">
        <v>7.3082580000000004</v>
      </c>
      <c r="R820" s="272">
        <f t="shared" si="38"/>
        <v>7.3082580000000006E-3</v>
      </c>
    </row>
    <row r="821" spans="2:18" ht="15" customHeight="1" x14ac:dyDescent="0.25">
      <c r="B821" s="114">
        <v>0.69624799999999998</v>
      </c>
      <c r="C821" s="269">
        <v>17.149699999999999</v>
      </c>
      <c r="D821" s="272">
        <f t="shared" si="36"/>
        <v>1.71497E-2</v>
      </c>
      <c r="I821" s="114">
        <v>0.19419529999999999</v>
      </c>
      <c r="J821" s="269">
        <v>7.1400540000000001</v>
      </c>
      <c r="K821" s="272">
        <f t="shared" si="37"/>
        <v>7.1400539999999998E-3</v>
      </c>
      <c r="P821" s="114">
        <v>0.19488639999999999</v>
      </c>
      <c r="Q821" s="269">
        <v>7.3927329999999998</v>
      </c>
      <c r="R821" s="272">
        <f t="shared" si="38"/>
        <v>7.3927329999999994E-3</v>
      </c>
    </row>
    <row r="822" spans="2:18" ht="15" customHeight="1" x14ac:dyDescent="0.25">
      <c r="B822" s="114">
        <v>0.69711500000000004</v>
      </c>
      <c r="C822" s="269">
        <v>17.171060000000001</v>
      </c>
      <c r="D822" s="272">
        <f t="shared" si="36"/>
        <v>1.7171060000000002E-2</v>
      </c>
      <c r="I822" s="114">
        <v>0.19762830000000001</v>
      </c>
      <c r="J822" s="269">
        <v>7.224615</v>
      </c>
      <c r="K822" s="272">
        <f t="shared" si="37"/>
        <v>7.2246150000000002E-3</v>
      </c>
      <c r="P822" s="114">
        <v>0.19831589999999999</v>
      </c>
      <c r="Q822" s="269">
        <v>7.4772090000000002</v>
      </c>
      <c r="R822" s="272">
        <f t="shared" si="38"/>
        <v>7.4772090000000003E-3</v>
      </c>
    </row>
    <row r="823" spans="2:18" ht="15" customHeight="1" x14ac:dyDescent="0.25">
      <c r="B823" s="114">
        <v>0.69798210000000005</v>
      </c>
      <c r="C823" s="269">
        <v>17.192409999999999</v>
      </c>
      <c r="D823" s="272">
        <f t="shared" si="36"/>
        <v>1.7192409999999998E-2</v>
      </c>
      <c r="I823" s="114">
        <v>0.2010613</v>
      </c>
      <c r="J823" s="269">
        <v>7.309177</v>
      </c>
      <c r="K823" s="272">
        <f t="shared" si="37"/>
        <v>7.309177E-3</v>
      </c>
      <c r="P823" s="114">
        <v>0.20174529999999999</v>
      </c>
      <c r="Q823" s="269">
        <v>7.5616839999999996</v>
      </c>
      <c r="R823" s="272">
        <f t="shared" si="38"/>
        <v>7.5616839999999999E-3</v>
      </c>
    </row>
    <row r="824" spans="2:18" ht="15" customHeight="1" x14ac:dyDescent="0.25">
      <c r="B824" s="114">
        <v>0.6988491</v>
      </c>
      <c r="C824" s="269">
        <v>17.21377</v>
      </c>
      <c r="D824" s="272">
        <f t="shared" si="36"/>
        <v>1.721377E-2</v>
      </c>
      <c r="I824" s="114">
        <v>0.20449429999999999</v>
      </c>
      <c r="J824" s="269">
        <v>7.3937390000000001</v>
      </c>
      <c r="K824" s="272">
        <f t="shared" si="37"/>
        <v>7.3937389999999999E-3</v>
      </c>
      <c r="P824" s="114">
        <v>0.20517479999999999</v>
      </c>
      <c r="Q824" s="269">
        <v>7.6461600000000001</v>
      </c>
      <c r="R824" s="272">
        <f t="shared" si="38"/>
        <v>7.6461599999999999E-3</v>
      </c>
    </row>
    <row r="825" spans="2:18" ht="15" customHeight="1" x14ac:dyDescent="0.25">
      <c r="B825" s="114">
        <v>0.69971620000000001</v>
      </c>
      <c r="C825" s="269">
        <v>17.235130000000002</v>
      </c>
      <c r="D825" s="272">
        <f t="shared" si="36"/>
        <v>1.7235130000000001E-2</v>
      </c>
      <c r="I825" s="114">
        <v>0.20792720000000001</v>
      </c>
      <c r="J825" s="269">
        <v>7.4782999999999999</v>
      </c>
      <c r="K825" s="272">
        <f t="shared" si="37"/>
        <v>7.4783000000000002E-3</v>
      </c>
      <c r="P825" s="114">
        <v>0.20860419999999999</v>
      </c>
      <c r="Q825" s="269">
        <v>7.7306350000000004</v>
      </c>
      <c r="R825" s="272">
        <f t="shared" si="38"/>
        <v>7.7306350000000005E-3</v>
      </c>
    </row>
    <row r="826" spans="2:18" ht="15" customHeight="1" x14ac:dyDescent="0.25">
      <c r="B826" s="114">
        <v>0.70058330000000002</v>
      </c>
      <c r="C826" s="269">
        <v>17.25648</v>
      </c>
      <c r="D826" s="272">
        <f t="shared" si="36"/>
        <v>1.7256480000000001E-2</v>
      </c>
      <c r="I826" s="114">
        <v>0.2113602</v>
      </c>
      <c r="J826" s="269">
        <v>7.5628609999999998</v>
      </c>
      <c r="K826" s="272">
        <f t="shared" si="37"/>
        <v>7.5628609999999997E-3</v>
      </c>
      <c r="P826" s="114">
        <v>0.21203369999999999</v>
      </c>
      <c r="Q826" s="269">
        <v>7.8151099999999998</v>
      </c>
      <c r="R826" s="272">
        <f t="shared" si="38"/>
        <v>7.8151100000000001E-3</v>
      </c>
    </row>
    <row r="827" spans="2:18" ht="15" customHeight="1" x14ac:dyDescent="0.25">
      <c r="B827" s="114">
        <v>0.70145029999999997</v>
      </c>
      <c r="C827" s="269">
        <v>17.277840000000001</v>
      </c>
      <c r="D827" s="272">
        <f t="shared" si="36"/>
        <v>1.7277840000000003E-2</v>
      </c>
      <c r="I827" s="114">
        <v>0.21479319999999999</v>
      </c>
      <c r="J827" s="269">
        <v>7.6474229999999999</v>
      </c>
      <c r="K827" s="272">
        <f t="shared" si="37"/>
        <v>7.6474229999999995E-3</v>
      </c>
      <c r="P827" s="114">
        <v>0.21546309999999999</v>
      </c>
      <c r="Q827" s="269">
        <v>7.8995850000000001</v>
      </c>
      <c r="R827" s="272">
        <f t="shared" si="38"/>
        <v>7.8995850000000006E-3</v>
      </c>
    </row>
    <row r="828" spans="2:18" ht="15" customHeight="1" x14ac:dyDescent="0.25">
      <c r="B828" s="114">
        <v>0.70231739999999998</v>
      </c>
      <c r="C828" s="269">
        <v>17.299199999999999</v>
      </c>
      <c r="D828" s="272">
        <f t="shared" si="36"/>
        <v>1.7299200000000001E-2</v>
      </c>
      <c r="I828" s="114">
        <v>0.21822620000000001</v>
      </c>
      <c r="J828" s="269">
        <v>7.7319839999999997</v>
      </c>
      <c r="K828" s="272">
        <f t="shared" si="37"/>
        <v>7.7319839999999999E-3</v>
      </c>
      <c r="P828" s="114">
        <v>0.21889259999999999</v>
      </c>
      <c r="Q828" s="269">
        <v>7.9840600000000004</v>
      </c>
      <c r="R828" s="272">
        <f t="shared" si="38"/>
        <v>7.9840600000000012E-3</v>
      </c>
    </row>
    <row r="829" spans="2:18" ht="15" customHeight="1" x14ac:dyDescent="0.25">
      <c r="B829" s="114">
        <v>0.70318440000000004</v>
      </c>
      <c r="C829" s="269">
        <v>17.320550000000001</v>
      </c>
      <c r="D829" s="272">
        <f t="shared" si="36"/>
        <v>1.7320550000000001E-2</v>
      </c>
      <c r="I829" s="114">
        <v>0.2216591</v>
      </c>
      <c r="J829" s="269">
        <v>7.8165449999999996</v>
      </c>
      <c r="K829" s="272">
        <f t="shared" si="37"/>
        <v>7.8165449999999994E-3</v>
      </c>
      <c r="P829" s="114">
        <v>0.22232199999999999</v>
      </c>
      <c r="Q829" s="269">
        <v>8.0685350000000007</v>
      </c>
      <c r="R829" s="272">
        <f t="shared" si="38"/>
        <v>8.0685349999999999E-3</v>
      </c>
    </row>
    <row r="830" spans="2:18" ht="15" customHeight="1" x14ac:dyDescent="0.25">
      <c r="B830" s="114">
        <v>0.70405150000000005</v>
      </c>
      <c r="C830" s="269">
        <v>17.341909999999999</v>
      </c>
      <c r="D830" s="272">
        <f t="shared" si="36"/>
        <v>1.7341909999999999E-2</v>
      </c>
      <c r="I830" s="114">
        <v>0.22509209999999999</v>
      </c>
      <c r="J830" s="269">
        <v>7.9011060000000004</v>
      </c>
      <c r="K830" s="272">
        <f t="shared" si="37"/>
        <v>7.9011059999999998E-3</v>
      </c>
      <c r="P830" s="114">
        <v>0.22575149999999999</v>
      </c>
      <c r="Q830" s="269">
        <v>8.1530090000000008</v>
      </c>
      <c r="R830" s="272">
        <f t="shared" si="38"/>
        <v>8.153009000000001E-3</v>
      </c>
    </row>
    <row r="831" spans="2:18" ht="15" customHeight="1" x14ac:dyDescent="0.25">
      <c r="B831" s="114">
        <v>0.70491859999999995</v>
      </c>
      <c r="C831" s="269">
        <v>17.36327</v>
      </c>
      <c r="D831" s="272">
        <f t="shared" si="36"/>
        <v>1.736327E-2</v>
      </c>
      <c r="I831" s="114">
        <v>0.22852510000000001</v>
      </c>
      <c r="J831" s="269">
        <v>7.9856670000000003</v>
      </c>
      <c r="K831" s="272">
        <f t="shared" si="37"/>
        <v>7.9856670000000001E-3</v>
      </c>
      <c r="P831" s="114">
        <v>0.22918089999999999</v>
      </c>
      <c r="Q831" s="269">
        <v>8.2374840000000003</v>
      </c>
      <c r="R831" s="272">
        <f t="shared" si="38"/>
        <v>8.2374839999999998E-3</v>
      </c>
    </row>
    <row r="832" spans="2:18" ht="15" customHeight="1" x14ac:dyDescent="0.25">
      <c r="B832" s="114">
        <v>0.70578560000000001</v>
      </c>
      <c r="C832" s="269">
        <v>17.384630000000001</v>
      </c>
      <c r="D832" s="272">
        <f t="shared" si="36"/>
        <v>1.7384630000000002E-2</v>
      </c>
      <c r="I832" s="114">
        <v>0.2319581</v>
      </c>
      <c r="J832" s="269">
        <v>8.0702280000000002</v>
      </c>
      <c r="K832" s="272">
        <f t="shared" si="37"/>
        <v>8.0702280000000005E-3</v>
      </c>
      <c r="P832" s="114">
        <v>0.23261039999999999</v>
      </c>
      <c r="Q832" s="269">
        <v>8.3219589999999997</v>
      </c>
      <c r="R832" s="272">
        <f t="shared" si="38"/>
        <v>8.3219590000000003E-3</v>
      </c>
    </row>
    <row r="833" spans="2:18" ht="15" customHeight="1" x14ac:dyDescent="0.25">
      <c r="B833" s="114">
        <v>0.70665270000000002</v>
      </c>
      <c r="C833" s="269">
        <v>17.40598</v>
      </c>
      <c r="D833" s="272">
        <f t="shared" si="36"/>
        <v>1.7405979999999998E-2</v>
      </c>
      <c r="I833" s="114">
        <v>0.23539099999999999</v>
      </c>
      <c r="J833" s="269">
        <v>8.1547889999999992</v>
      </c>
      <c r="K833" s="272">
        <f t="shared" si="37"/>
        <v>8.1547889999999991E-3</v>
      </c>
      <c r="P833" s="114">
        <v>0.23603979999999999</v>
      </c>
      <c r="Q833" s="269">
        <v>8.4064329999999998</v>
      </c>
      <c r="R833" s="272">
        <f t="shared" si="38"/>
        <v>8.4064329999999996E-3</v>
      </c>
    </row>
    <row r="834" spans="2:18" ht="15" customHeight="1" x14ac:dyDescent="0.25">
      <c r="B834" s="114">
        <v>0.70751969999999997</v>
      </c>
      <c r="C834" s="269">
        <v>17.427340000000001</v>
      </c>
      <c r="D834" s="272">
        <f t="shared" si="36"/>
        <v>1.7427339999999999E-2</v>
      </c>
      <c r="I834" s="114">
        <v>0.23882400000000001</v>
      </c>
      <c r="J834" s="269">
        <v>8.23935</v>
      </c>
      <c r="K834" s="272">
        <f t="shared" si="37"/>
        <v>8.2393499999999995E-3</v>
      </c>
      <c r="P834" s="114">
        <v>0.2394693</v>
      </c>
      <c r="Q834" s="269">
        <v>8.490907</v>
      </c>
      <c r="R834" s="272">
        <f t="shared" si="38"/>
        <v>8.4909070000000007E-3</v>
      </c>
    </row>
    <row r="835" spans="2:18" ht="15" customHeight="1" x14ac:dyDescent="0.25">
      <c r="B835" s="114">
        <v>0.70838679999999998</v>
      </c>
      <c r="C835" s="269">
        <v>17.448699999999999</v>
      </c>
      <c r="D835" s="272">
        <f t="shared" si="36"/>
        <v>1.7448699999999998E-2</v>
      </c>
      <c r="I835" s="114">
        <v>0.242257</v>
      </c>
      <c r="J835" s="269">
        <v>8.3239110000000007</v>
      </c>
      <c r="K835" s="272">
        <f t="shared" si="37"/>
        <v>8.3239110000000015E-3</v>
      </c>
      <c r="P835" s="114">
        <v>0.2428987</v>
      </c>
      <c r="Q835" s="269">
        <v>8.5753819999999994</v>
      </c>
      <c r="R835" s="272">
        <f t="shared" si="38"/>
        <v>8.5753819999999994E-3</v>
      </c>
    </row>
    <row r="836" spans="2:18" ht="15" customHeight="1" x14ac:dyDescent="0.25">
      <c r="B836" s="114">
        <v>0.70925389999999999</v>
      </c>
      <c r="C836" s="269">
        <v>17.470050000000001</v>
      </c>
      <c r="D836" s="272">
        <f t="shared" si="36"/>
        <v>1.7470050000000001E-2</v>
      </c>
      <c r="I836" s="114">
        <v>0.24568999999999999</v>
      </c>
      <c r="J836" s="269">
        <v>8.4084719999999997</v>
      </c>
      <c r="K836" s="272">
        <f t="shared" si="37"/>
        <v>8.4084720000000002E-3</v>
      </c>
      <c r="P836" s="114">
        <v>0.2463282</v>
      </c>
      <c r="Q836" s="269">
        <v>8.6598559999999996</v>
      </c>
      <c r="R836" s="272">
        <f t="shared" si="38"/>
        <v>8.6598559999999988E-3</v>
      </c>
    </row>
    <row r="837" spans="2:18" ht="15" customHeight="1" x14ac:dyDescent="0.25">
      <c r="B837" s="114">
        <v>0.71012090000000005</v>
      </c>
      <c r="C837" s="269">
        <v>17.491409999999998</v>
      </c>
      <c r="D837" s="272">
        <f t="shared" si="36"/>
        <v>1.7491409999999999E-2</v>
      </c>
      <c r="I837" s="114">
        <v>0.24912300000000001</v>
      </c>
      <c r="J837" s="269">
        <v>8.4930319999999995</v>
      </c>
      <c r="K837" s="272">
        <f t="shared" si="37"/>
        <v>8.4930319999999993E-3</v>
      </c>
      <c r="P837" s="114">
        <v>0.2497576</v>
      </c>
      <c r="Q837" s="269">
        <v>8.7443299999999997</v>
      </c>
      <c r="R837" s="272">
        <f t="shared" si="38"/>
        <v>8.7443299999999998E-3</v>
      </c>
    </row>
    <row r="838" spans="2:18" ht="15" customHeight="1" x14ac:dyDescent="0.25">
      <c r="B838" s="114">
        <v>0.71098799999999995</v>
      </c>
      <c r="C838" s="269">
        <v>17.51277</v>
      </c>
      <c r="D838" s="272">
        <f t="shared" si="36"/>
        <v>1.751277E-2</v>
      </c>
      <c r="I838" s="114">
        <v>0.2525559</v>
      </c>
      <c r="J838" s="269">
        <v>8.5775930000000002</v>
      </c>
      <c r="K838" s="272">
        <f t="shared" si="37"/>
        <v>8.5775929999999997E-3</v>
      </c>
      <c r="P838" s="114">
        <v>0.2531871</v>
      </c>
      <c r="Q838" s="269">
        <v>8.8288039999999999</v>
      </c>
      <c r="R838" s="272">
        <f t="shared" si="38"/>
        <v>8.8288039999999991E-3</v>
      </c>
    </row>
    <row r="839" spans="2:18" ht="15" customHeight="1" x14ac:dyDescent="0.25">
      <c r="B839" s="114">
        <v>0.71185500000000002</v>
      </c>
      <c r="C839" s="269">
        <v>17.534130000000001</v>
      </c>
      <c r="D839" s="272">
        <f t="shared" si="36"/>
        <v>1.7534130000000002E-2</v>
      </c>
      <c r="I839" s="114">
        <v>0.25598890000000002</v>
      </c>
      <c r="J839" s="269">
        <v>8.6621539999999992</v>
      </c>
      <c r="K839" s="272">
        <f t="shared" si="37"/>
        <v>8.662154E-3</v>
      </c>
      <c r="P839" s="114">
        <v>0.25661650000000003</v>
      </c>
      <c r="Q839" s="269">
        <v>8.913278</v>
      </c>
      <c r="R839" s="272">
        <f t="shared" si="38"/>
        <v>8.9132780000000002E-3</v>
      </c>
    </row>
    <row r="840" spans="2:18" ht="15" customHeight="1" x14ac:dyDescent="0.25">
      <c r="B840" s="114">
        <v>0.71272210000000003</v>
      </c>
      <c r="C840" s="269">
        <v>17.555479999999999</v>
      </c>
      <c r="D840" s="272">
        <f t="shared" si="36"/>
        <v>1.7555479999999998E-2</v>
      </c>
      <c r="I840" s="114">
        <v>0.25942189999999998</v>
      </c>
      <c r="J840" s="269">
        <v>8.7467140000000008</v>
      </c>
      <c r="K840" s="272">
        <f t="shared" si="37"/>
        <v>8.7467140000000009E-3</v>
      </c>
      <c r="P840" s="114">
        <v>0.260046</v>
      </c>
      <c r="Q840" s="269">
        <v>8.9977520000000002</v>
      </c>
      <c r="R840" s="272">
        <f t="shared" si="38"/>
        <v>8.9977519999999995E-3</v>
      </c>
    </row>
    <row r="841" spans="2:18" ht="15" customHeight="1" x14ac:dyDescent="0.25">
      <c r="B841" s="114">
        <v>0.71358909999999998</v>
      </c>
      <c r="C841" s="269">
        <v>17.576840000000001</v>
      </c>
      <c r="D841" s="272">
        <f t="shared" si="36"/>
        <v>1.757684E-2</v>
      </c>
      <c r="I841" s="114">
        <v>0.2628549</v>
      </c>
      <c r="J841" s="269">
        <v>8.8312749999999998</v>
      </c>
      <c r="K841" s="272">
        <f t="shared" si="37"/>
        <v>8.8312749999999995E-3</v>
      </c>
      <c r="P841" s="114">
        <v>0.26347540000000003</v>
      </c>
      <c r="Q841" s="269">
        <v>9.0822260000000004</v>
      </c>
      <c r="R841" s="272">
        <f t="shared" si="38"/>
        <v>9.0822260000000005E-3</v>
      </c>
    </row>
    <row r="842" spans="2:18" ht="15" customHeight="1" x14ac:dyDescent="0.25">
      <c r="B842" s="114">
        <v>0.71445619999999999</v>
      </c>
      <c r="C842" s="269">
        <v>17.598199999999999</v>
      </c>
      <c r="D842" s="272">
        <f t="shared" si="36"/>
        <v>1.7598199999999998E-2</v>
      </c>
      <c r="I842" s="114">
        <v>0.26628780000000002</v>
      </c>
      <c r="J842" s="269">
        <v>8.9158349999999995</v>
      </c>
      <c r="K842" s="272">
        <f t="shared" si="37"/>
        <v>8.9158349999999987E-3</v>
      </c>
      <c r="P842" s="114">
        <v>0.2669049</v>
      </c>
      <c r="Q842" s="269">
        <v>9.1667000000000005</v>
      </c>
      <c r="R842" s="272">
        <f t="shared" si="38"/>
        <v>9.1666999999999998E-3</v>
      </c>
    </row>
    <row r="843" spans="2:18" ht="15" customHeight="1" x14ac:dyDescent="0.25">
      <c r="B843" s="114">
        <v>0.7153233</v>
      </c>
      <c r="C843" s="269">
        <v>17.61955</v>
      </c>
      <c r="D843" s="272">
        <f t="shared" si="36"/>
        <v>1.7619550000000001E-2</v>
      </c>
      <c r="I843" s="114">
        <v>0.26972079999999998</v>
      </c>
      <c r="J843" s="269">
        <v>9.0003960000000003</v>
      </c>
      <c r="K843" s="272">
        <f t="shared" si="37"/>
        <v>9.0003960000000008E-3</v>
      </c>
      <c r="P843" s="114">
        <v>0.27033430000000003</v>
      </c>
      <c r="Q843" s="269">
        <v>9.2511740000000007</v>
      </c>
      <c r="R843" s="272">
        <f t="shared" si="38"/>
        <v>9.2511740000000009E-3</v>
      </c>
    </row>
    <row r="844" spans="2:18" ht="15" customHeight="1" x14ac:dyDescent="0.25">
      <c r="B844" s="114">
        <v>0.71619029999999995</v>
      </c>
      <c r="C844" s="269">
        <v>17.640910000000002</v>
      </c>
      <c r="D844" s="272">
        <f t="shared" si="36"/>
        <v>1.7640910000000003E-2</v>
      </c>
      <c r="I844" s="114">
        <v>0.2731538</v>
      </c>
      <c r="J844" s="269">
        <v>9.084956</v>
      </c>
      <c r="K844" s="272">
        <f t="shared" si="37"/>
        <v>9.0849559999999999E-3</v>
      </c>
      <c r="P844" s="114">
        <v>0.2737638</v>
      </c>
      <c r="Q844" s="269">
        <v>9.3356480000000008</v>
      </c>
      <c r="R844" s="272">
        <f t="shared" si="38"/>
        <v>9.3356480000000002E-3</v>
      </c>
    </row>
    <row r="845" spans="2:18" ht="15" customHeight="1" x14ac:dyDescent="0.25">
      <c r="B845" s="114">
        <v>0.71705739999999996</v>
      </c>
      <c r="C845" s="269">
        <v>17.662269999999999</v>
      </c>
      <c r="D845" s="272">
        <f t="shared" si="36"/>
        <v>1.7662270000000001E-2</v>
      </c>
      <c r="I845" s="114">
        <v>0.27658680000000002</v>
      </c>
      <c r="J845" s="269">
        <v>9.1695170000000008</v>
      </c>
      <c r="K845" s="272">
        <f t="shared" si="37"/>
        <v>9.1695170000000003E-3</v>
      </c>
      <c r="P845" s="114">
        <v>0.27719319999999997</v>
      </c>
      <c r="Q845" s="269">
        <v>9.4201219999999992</v>
      </c>
      <c r="R845" s="272">
        <f t="shared" si="38"/>
        <v>9.4201219999999995E-3</v>
      </c>
    </row>
    <row r="846" spans="2:18" ht="15" customHeight="1" x14ac:dyDescent="0.25">
      <c r="B846" s="114">
        <v>0.71792440000000002</v>
      </c>
      <c r="C846" s="269">
        <v>17.683620000000001</v>
      </c>
      <c r="D846" s="272">
        <f t="shared" si="36"/>
        <v>1.7683620000000001E-2</v>
      </c>
      <c r="I846" s="114">
        <v>0.28001969999999998</v>
      </c>
      <c r="J846" s="269">
        <v>9.2540770000000006</v>
      </c>
      <c r="K846" s="272">
        <f t="shared" si="37"/>
        <v>9.2540770000000012E-3</v>
      </c>
      <c r="P846" s="114">
        <v>0.2806227</v>
      </c>
      <c r="Q846" s="269">
        <v>9.5045959999999994</v>
      </c>
      <c r="R846" s="272">
        <f t="shared" si="38"/>
        <v>9.5045959999999988E-3</v>
      </c>
    </row>
    <row r="847" spans="2:18" ht="15" customHeight="1" x14ac:dyDescent="0.25">
      <c r="B847" s="114">
        <v>0.71879150000000003</v>
      </c>
      <c r="C847" s="269">
        <v>17.704979999999999</v>
      </c>
      <c r="D847" s="272">
        <f t="shared" si="36"/>
        <v>1.7704979999999999E-2</v>
      </c>
      <c r="I847" s="114">
        <v>0.2834527</v>
      </c>
      <c r="J847" s="269">
        <v>9.3386370000000003</v>
      </c>
      <c r="K847" s="272">
        <f t="shared" si="37"/>
        <v>9.3386370000000003E-3</v>
      </c>
      <c r="P847" s="114">
        <v>0.28405209999999997</v>
      </c>
      <c r="Q847" s="269">
        <v>9.5890690000000003</v>
      </c>
      <c r="R847" s="272">
        <f t="shared" si="38"/>
        <v>9.5890690000000004E-3</v>
      </c>
    </row>
    <row r="848" spans="2:18" ht="15" customHeight="1" x14ac:dyDescent="0.25">
      <c r="B848" s="114">
        <v>0.71965860000000004</v>
      </c>
      <c r="C848" s="269">
        <v>17.72634</v>
      </c>
      <c r="D848" s="272">
        <f t="shared" si="36"/>
        <v>1.772634E-2</v>
      </c>
      <c r="I848" s="114">
        <v>0.28688570000000002</v>
      </c>
      <c r="J848" s="269">
        <v>9.4231979999999993</v>
      </c>
      <c r="K848" s="272">
        <f t="shared" si="37"/>
        <v>9.423197999999999E-3</v>
      </c>
      <c r="P848" s="114">
        <v>0.2874816</v>
      </c>
      <c r="Q848" s="269">
        <v>9.6735430000000004</v>
      </c>
      <c r="R848" s="272">
        <f t="shared" si="38"/>
        <v>9.6735429999999997E-3</v>
      </c>
    </row>
    <row r="849" spans="2:18" ht="15" customHeight="1" x14ac:dyDescent="0.25">
      <c r="B849" s="114">
        <v>0.72052559999999999</v>
      </c>
      <c r="C849" s="269">
        <v>17.747699999999998</v>
      </c>
      <c r="D849" s="272">
        <f t="shared" si="36"/>
        <v>1.7747699999999998E-2</v>
      </c>
      <c r="I849" s="114">
        <v>0.29031869999999999</v>
      </c>
      <c r="J849" s="269">
        <v>9.5077580000000008</v>
      </c>
      <c r="K849" s="272">
        <f t="shared" si="37"/>
        <v>9.5077580000000016E-3</v>
      </c>
      <c r="P849" s="114">
        <v>0.29091099999999998</v>
      </c>
      <c r="Q849" s="269">
        <v>9.7580170000000006</v>
      </c>
      <c r="R849" s="272">
        <f t="shared" si="38"/>
        <v>9.7580170000000008E-3</v>
      </c>
    </row>
    <row r="850" spans="2:18" ht="15" customHeight="1" x14ac:dyDescent="0.25">
      <c r="B850" s="114">
        <v>0.7213927</v>
      </c>
      <c r="C850" s="269">
        <v>17.76905</v>
      </c>
      <c r="D850" s="272">
        <f t="shared" ref="D850:D913" si="39">C850/1000</f>
        <v>1.7769050000000002E-2</v>
      </c>
      <c r="I850" s="114">
        <v>0.2937516</v>
      </c>
      <c r="J850" s="269">
        <v>9.5923180000000006</v>
      </c>
      <c r="K850" s="272">
        <f t="shared" ref="K850:K913" si="40">J850/1000</f>
        <v>9.5923180000000007E-3</v>
      </c>
      <c r="P850" s="114">
        <v>0.2943404</v>
      </c>
      <c r="Q850" s="269">
        <v>9.8424910000000008</v>
      </c>
      <c r="R850" s="272">
        <f t="shared" ref="R850:R913" si="41">Q850/1000</f>
        <v>9.8424910000000001E-3</v>
      </c>
    </row>
    <row r="851" spans="2:18" ht="15" customHeight="1" x14ac:dyDescent="0.25">
      <c r="B851" s="114">
        <v>0.72225969999999995</v>
      </c>
      <c r="C851" s="269">
        <v>17.790410000000001</v>
      </c>
      <c r="D851" s="272">
        <f t="shared" si="39"/>
        <v>1.7790410000000003E-2</v>
      </c>
      <c r="I851" s="114">
        <v>0.29718460000000002</v>
      </c>
      <c r="J851" s="269">
        <v>9.6768789999999996</v>
      </c>
      <c r="K851" s="272">
        <f t="shared" si="40"/>
        <v>9.6768789999999993E-3</v>
      </c>
      <c r="P851" s="114">
        <v>0.29776989999999998</v>
      </c>
      <c r="Q851" s="269">
        <v>9.9269639999999999</v>
      </c>
      <c r="R851" s="272">
        <f t="shared" si="41"/>
        <v>9.9269639999999999E-3</v>
      </c>
    </row>
    <row r="852" spans="2:18" ht="15" customHeight="1" x14ac:dyDescent="0.25">
      <c r="B852" s="114">
        <v>0.72312679999999996</v>
      </c>
      <c r="C852" s="269">
        <v>17.811769999999999</v>
      </c>
      <c r="D852" s="272">
        <f t="shared" si="39"/>
        <v>1.7811769999999998E-2</v>
      </c>
      <c r="I852" s="114">
        <v>0.30061759999999998</v>
      </c>
      <c r="J852" s="269">
        <v>9.7614389999999993</v>
      </c>
      <c r="K852" s="272">
        <f t="shared" si="40"/>
        <v>9.7614389999999985E-3</v>
      </c>
      <c r="P852" s="114">
        <v>0.3011993</v>
      </c>
      <c r="Q852" s="269">
        <v>10.01144</v>
      </c>
      <c r="R852" s="272">
        <f t="shared" si="41"/>
        <v>1.001144E-2</v>
      </c>
    </row>
    <row r="853" spans="2:18" ht="15" customHeight="1" x14ac:dyDescent="0.25">
      <c r="B853" s="114">
        <v>0.72399380000000002</v>
      </c>
      <c r="C853" s="269">
        <v>17.833120000000001</v>
      </c>
      <c r="D853" s="272">
        <f t="shared" si="39"/>
        <v>1.7833120000000001E-2</v>
      </c>
      <c r="I853" s="114">
        <v>0.3040506</v>
      </c>
      <c r="J853" s="269">
        <v>9.8459990000000008</v>
      </c>
      <c r="K853" s="272">
        <f t="shared" si="40"/>
        <v>9.8459990000000011E-3</v>
      </c>
      <c r="P853" s="114">
        <v>0.30462879999999998</v>
      </c>
      <c r="Q853" s="269">
        <v>10.09591</v>
      </c>
      <c r="R853" s="272">
        <f t="shared" si="41"/>
        <v>1.009591E-2</v>
      </c>
    </row>
    <row r="854" spans="2:18" ht="15" customHeight="1" x14ac:dyDescent="0.25">
      <c r="B854" s="114">
        <v>0.72486090000000003</v>
      </c>
      <c r="C854" s="269">
        <v>17.854479999999999</v>
      </c>
      <c r="D854" s="272">
        <f t="shared" si="39"/>
        <v>1.7854479999999999E-2</v>
      </c>
      <c r="I854" s="114">
        <v>0.30748350000000002</v>
      </c>
      <c r="J854" s="269">
        <v>9.9305590000000006</v>
      </c>
      <c r="K854" s="272">
        <f t="shared" si="40"/>
        <v>9.9305590000000003E-3</v>
      </c>
      <c r="P854" s="114">
        <v>0.3080582</v>
      </c>
      <c r="Q854" s="269">
        <v>10.18038</v>
      </c>
      <c r="R854" s="272">
        <f t="shared" si="41"/>
        <v>1.0180379999999999E-2</v>
      </c>
    </row>
    <row r="855" spans="2:18" ht="15" customHeight="1" x14ac:dyDescent="0.25">
      <c r="B855" s="114">
        <v>0.72572800000000004</v>
      </c>
      <c r="C855" s="269">
        <v>17.87584</v>
      </c>
      <c r="D855" s="272">
        <f t="shared" si="39"/>
        <v>1.787584E-2</v>
      </c>
      <c r="I855" s="114">
        <v>0.31091649999999998</v>
      </c>
      <c r="J855" s="269">
        <v>10.01512</v>
      </c>
      <c r="K855" s="272">
        <f t="shared" si="40"/>
        <v>1.0015119999999999E-2</v>
      </c>
      <c r="P855" s="114">
        <v>0.31148769999999998</v>
      </c>
      <c r="Q855" s="269">
        <v>10.264860000000001</v>
      </c>
      <c r="R855" s="272">
        <f t="shared" si="41"/>
        <v>1.0264860000000001E-2</v>
      </c>
    </row>
    <row r="856" spans="2:18" ht="15" customHeight="1" x14ac:dyDescent="0.25">
      <c r="B856" s="114">
        <v>0.72659499999999999</v>
      </c>
      <c r="C856" s="269">
        <v>17.897189999999998</v>
      </c>
      <c r="D856" s="272">
        <f t="shared" si="39"/>
        <v>1.7897189999999997E-2</v>
      </c>
      <c r="I856" s="114">
        <v>0.3143495</v>
      </c>
      <c r="J856" s="269">
        <v>10.099679999999999</v>
      </c>
      <c r="K856" s="272">
        <f t="shared" si="40"/>
        <v>1.009968E-2</v>
      </c>
      <c r="P856" s="114">
        <v>0.31491710000000001</v>
      </c>
      <c r="Q856" s="269">
        <v>10.34933</v>
      </c>
      <c r="R856" s="272">
        <f t="shared" si="41"/>
        <v>1.034933E-2</v>
      </c>
    </row>
    <row r="857" spans="2:18" ht="15" customHeight="1" x14ac:dyDescent="0.25">
      <c r="B857" s="114">
        <v>0.7274621</v>
      </c>
      <c r="C857" s="269">
        <v>17.91855</v>
      </c>
      <c r="D857" s="272">
        <f t="shared" si="39"/>
        <v>1.7918549999999998E-2</v>
      </c>
      <c r="I857" s="114">
        <v>0.31778250000000002</v>
      </c>
      <c r="J857" s="269">
        <v>10.184240000000001</v>
      </c>
      <c r="K857" s="272">
        <f t="shared" si="40"/>
        <v>1.0184240000000001E-2</v>
      </c>
      <c r="P857" s="114">
        <v>0.31834659999999998</v>
      </c>
      <c r="Q857" s="269">
        <v>10.433809999999999</v>
      </c>
      <c r="R857" s="272">
        <f t="shared" si="41"/>
        <v>1.043381E-2</v>
      </c>
    </row>
    <row r="858" spans="2:18" ht="15" customHeight="1" x14ac:dyDescent="0.25">
      <c r="B858" s="114">
        <v>0.72832909999999995</v>
      </c>
      <c r="C858" s="269">
        <v>17.939910000000001</v>
      </c>
      <c r="D858" s="272">
        <f t="shared" si="39"/>
        <v>1.793991E-2</v>
      </c>
      <c r="I858" s="114">
        <v>0.32121539999999998</v>
      </c>
      <c r="J858" s="269">
        <v>10.268800000000001</v>
      </c>
      <c r="K858" s="272">
        <f t="shared" si="40"/>
        <v>1.02688E-2</v>
      </c>
      <c r="P858" s="114">
        <v>0.32177600000000001</v>
      </c>
      <c r="Q858" s="269">
        <v>10.518280000000001</v>
      </c>
      <c r="R858" s="272">
        <f t="shared" si="41"/>
        <v>1.0518280000000001E-2</v>
      </c>
    </row>
    <row r="859" spans="2:18" ht="15" customHeight="1" x14ac:dyDescent="0.25">
      <c r="B859" s="114">
        <v>0.72919619999999996</v>
      </c>
      <c r="C859" s="269">
        <v>17.961269999999999</v>
      </c>
      <c r="D859" s="272">
        <f t="shared" si="39"/>
        <v>1.7961269999999998E-2</v>
      </c>
      <c r="I859" s="114">
        <v>0.3246484</v>
      </c>
      <c r="J859" s="269">
        <v>10.35336</v>
      </c>
      <c r="K859" s="272">
        <f t="shared" si="40"/>
        <v>1.0353360000000001E-2</v>
      </c>
      <c r="P859" s="114">
        <v>0.32520549999999998</v>
      </c>
      <c r="Q859" s="269">
        <v>10.60275</v>
      </c>
      <c r="R859" s="272">
        <f t="shared" si="41"/>
        <v>1.0602750000000001E-2</v>
      </c>
    </row>
    <row r="860" spans="2:18" ht="15" customHeight="1" x14ac:dyDescent="0.25">
      <c r="B860" s="114">
        <v>0.73006329999999997</v>
      </c>
      <c r="C860" s="269">
        <v>17.982620000000001</v>
      </c>
      <c r="D860" s="272">
        <f t="shared" si="39"/>
        <v>1.7982620000000001E-2</v>
      </c>
      <c r="I860" s="114">
        <v>0.32808140000000002</v>
      </c>
      <c r="J860" s="269">
        <v>10.43792</v>
      </c>
      <c r="K860" s="272">
        <f t="shared" si="40"/>
        <v>1.043792E-2</v>
      </c>
      <c r="P860" s="114">
        <v>0.32863490000000001</v>
      </c>
      <c r="Q860" s="269">
        <v>10.68723</v>
      </c>
      <c r="R860" s="272">
        <f t="shared" si="41"/>
        <v>1.0687229999999999E-2</v>
      </c>
    </row>
    <row r="861" spans="2:18" ht="15" customHeight="1" x14ac:dyDescent="0.25">
      <c r="B861" s="114">
        <v>0.73093030000000003</v>
      </c>
      <c r="C861" s="269">
        <v>18.003979999999999</v>
      </c>
      <c r="D861" s="272">
        <f t="shared" si="39"/>
        <v>1.8003979999999999E-2</v>
      </c>
      <c r="I861" s="114">
        <v>0.33151439999999999</v>
      </c>
      <c r="J861" s="269">
        <v>10.52248</v>
      </c>
      <c r="K861" s="272">
        <f t="shared" si="40"/>
        <v>1.0522479999999999E-2</v>
      </c>
      <c r="P861" s="114">
        <v>0.33206439999999998</v>
      </c>
      <c r="Q861" s="269">
        <v>10.771699999999999</v>
      </c>
      <c r="R861" s="272">
        <f t="shared" si="41"/>
        <v>1.0771699999999999E-2</v>
      </c>
    </row>
    <row r="862" spans="2:18" ht="15" customHeight="1" x14ac:dyDescent="0.25">
      <c r="B862" s="114">
        <v>0.73179740000000004</v>
      </c>
      <c r="C862" s="269">
        <v>18.02534</v>
      </c>
      <c r="D862" s="272">
        <f t="shared" si="39"/>
        <v>1.8025340000000001E-2</v>
      </c>
      <c r="I862" s="114">
        <v>0.3349473</v>
      </c>
      <c r="J862" s="269">
        <v>10.60704</v>
      </c>
      <c r="K862" s="272">
        <f t="shared" si="40"/>
        <v>1.060704E-2</v>
      </c>
      <c r="P862" s="114">
        <v>0.33549380000000001</v>
      </c>
      <c r="Q862" s="269">
        <v>10.856170000000001</v>
      </c>
      <c r="R862" s="272">
        <f t="shared" si="41"/>
        <v>1.085617E-2</v>
      </c>
    </row>
    <row r="863" spans="2:18" ht="15" customHeight="1" x14ac:dyDescent="0.25">
      <c r="B863" s="114">
        <v>0.73266439999999999</v>
      </c>
      <c r="C863" s="269">
        <v>18.046690000000002</v>
      </c>
      <c r="D863" s="272">
        <f t="shared" si="39"/>
        <v>1.8046690000000001E-2</v>
      </c>
      <c r="I863" s="114">
        <v>0.33838030000000002</v>
      </c>
      <c r="J863" s="269">
        <v>10.691599999999999</v>
      </c>
      <c r="K863" s="272">
        <f t="shared" si="40"/>
        <v>1.0691599999999999E-2</v>
      </c>
      <c r="P863" s="114">
        <v>0.33892329999999998</v>
      </c>
      <c r="Q863" s="269">
        <v>10.94065</v>
      </c>
      <c r="R863" s="272">
        <f t="shared" si="41"/>
        <v>1.094065E-2</v>
      </c>
    </row>
    <row r="864" spans="2:18" ht="15" customHeight="1" x14ac:dyDescent="0.25">
      <c r="B864" s="114">
        <v>0.7335315</v>
      </c>
      <c r="C864" s="269">
        <v>18.068049999999999</v>
      </c>
      <c r="D864" s="272">
        <f t="shared" si="39"/>
        <v>1.8068049999999999E-2</v>
      </c>
      <c r="I864" s="114">
        <v>0.34181329999999999</v>
      </c>
      <c r="J864" s="269">
        <v>10.776160000000001</v>
      </c>
      <c r="K864" s="272">
        <f t="shared" si="40"/>
        <v>1.0776160000000002E-2</v>
      </c>
      <c r="P864" s="114">
        <v>0.34235270000000001</v>
      </c>
      <c r="Q864" s="269">
        <v>11.025119999999999</v>
      </c>
      <c r="R864" s="272">
        <f t="shared" si="41"/>
        <v>1.1025119999999999E-2</v>
      </c>
    </row>
    <row r="865" spans="2:18" ht="15" customHeight="1" x14ac:dyDescent="0.25">
      <c r="B865" s="114">
        <v>0.73439849999999995</v>
      </c>
      <c r="C865" s="269">
        <v>18.089410000000001</v>
      </c>
      <c r="D865" s="272">
        <f t="shared" si="39"/>
        <v>1.808941E-2</v>
      </c>
      <c r="I865" s="114">
        <v>0.34524630000000001</v>
      </c>
      <c r="J865" s="269">
        <v>10.860720000000001</v>
      </c>
      <c r="K865" s="272">
        <f t="shared" si="40"/>
        <v>1.0860720000000001E-2</v>
      </c>
      <c r="P865" s="114">
        <v>0.34578219999999998</v>
      </c>
      <c r="Q865" s="269">
        <v>11.109590000000001</v>
      </c>
      <c r="R865" s="272">
        <f t="shared" si="41"/>
        <v>1.1109590000000001E-2</v>
      </c>
    </row>
    <row r="866" spans="2:18" ht="15" customHeight="1" x14ac:dyDescent="0.25">
      <c r="B866" s="114">
        <v>0.73526559999999996</v>
      </c>
      <c r="C866" s="269">
        <v>18.110769999999999</v>
      </c>
      <c r="D866" s="272">
        <f t="shared" si="39"/>
        <v>1.8110769999999998E-2</v>
      </c>
      <c r="I866" s="114">
        <v>0.34867920000000002</v>
      </c>
      <c r="J866" s="269">
        <v>10.94528</v>
      </c>
      <c r="K866" s="272">
        <f t="shared" si="40"/>
        <v>1.094528E-2</v>
      </c>
      <c r="P866" s="114">
        <v>0.34921160000000001</v>
      </c>
      <c r="Q866" s="269">
        <v>11.19407</v>
      </c>
      <c r="R866" s="272">
        <f t="shared" si="41"/>
        <v>1.119407E-2</v>
      </c>
    </row>
    <row r="867" spans="2:18" ht="15" customHeight="1" x14ac:dyDescent="0.25">
      <c r="B867" s="114">
        <v>0.73613269999999997</v>
      </c>
      <c r="C867" s="269">
        <v>18.13212</v>
      </c>
      <c r="D867" s="272">
        <f t="shared" si="39"/>
        <v>1.8132120000000002E-2</v>
      </c>
      <c r="I867" s="114">
        <v>0.35211219999999999</v>
      </c>
      <c r="J867" s="269">
        <v>11.02984</v>
      </c>
      <c r="K867" s="272">
        <f t="shared" si="40"/>
        <v>1.1029840000000001E-2</v>
      </c>
      <c r="P867" s="114">
        <v>0.35264109999999999</v>
      </c>
      <c r="Q867" s="269">
        <v>11.27854</v>
      </c>
      <c r="R867" s="272">
        <f t="shared" si="41"/>
        <v>1.127854E-2</v>
      </c>
    </row>
    <row r="868" spans="2:18" ht="15" customHeight="1" x14ac:dyDescent="0.25">
      <c r="B868" s="114">
        <v>0.73699970000000004</v>
      </c>
      <c r="C868" s="269">
        <v>18.153479999999998</v>
      </c>
      <c r="D868" s="272">
        <f t="shared" si="39"/>
        <v>1.815348E-2</v>
      </c>
      <c r="I868" s="114">
        <v>0.35554520000000001</v>
      </c>
      <c r="J868" s="269">
        <v>11.1144</v>
      </c>
      <c r="K868" s="272">
        <f t="shared" si="40"/>
        <v>1.11144E-2</v>
      </c>
      <c r="P868" s="114">
        <v>0.35607050000000001</v>
      </c>
      <c r="Q868" s="269">
        <v>11.363009999999999</v>
      </c>
      <c r="R868" s="272">
        <f t="shared" si="41"/>
        <v>1.136301E-2</v>
      </c>
    </row>
    <row r="869" spans="2:18" ht="15" customHeight="1" x14ac:dyDescent="0.25">
      <c r="B869" s="114">
        <v>0.73786680000000004</v>
      </c>
      <c r="C869" s="269">
        <v>18.17484</v>
      </c>
      <c r="D869" s="272">
        <f t="shared" si="39"/>
        <v>1.8174840000000001E-2</v>
      </c>
      <c r="I869" s="114">
        <v>0.35897820000000003</v>
      </c>
      <c r="J869" s="269">
        <v>11.19896</v>
      </c>
      <c r="K869" s="272">
        <f t="shared" si="40"/>
        <v>1.1198959999999999E-2</v>
      </c>
      <c r="P869" s="114">
        <v>0.35949999999999999</v>
      </c>
      <c r="Q869" s="269">
        <v>11.44749</v>
      </c>
      <c r="R869" s="272">
        <f t="shared" si="41"/>
        <v>1.1447489999999999E-2</v>
      </c>
    </row>
    <row r="870" spans="2:18" ht="15" customHeight="1" x14ac:dyDescent="0.25">
      <c r="B870" s="114">
        <v>0.7387338</v>
      </c>
      <c r="C870" s="269">
        <v>18.196190000000001</v>
      </c>
      <c r="D870" s="272">
        <f t="shared" si="39"/>
        <v>1.8196190000000001E-2</v>
      </c>
      <c r="I870" s="114">
        <v>0.36241109999999999</v>
      </c>
      <c r="J870" s="269">
        <v>11.283519999999999</v>
      </c>
      <c r="K870" s="272">
        <f t="shared" si="40"/>
        <v>1.128352E-2</v>
      </c>
      <c r="P870" s="114">
        <v>0.36292940000000001</v>
      </c>
      <c r="Q870" s="269">
        <v>11.53196</v>
      </c>
      <c r="R870" s="272">
        <f t="shared" si="41"/>
        <v>1.1531959999999999E-2</v>
      </c>
    </row>
    <row r="871" spans="2:18" ht="15" customHeight="1" x14ac:dyDescent="0.25">
      <c r="B871" s="114">
        <v>0.73960090000000001</v>
      </c>
      <c r="C871" s="269">
        <v>18.217549999999999</v>
      </c>
      <c r="D871" s="272">
        <f t="shared" si="39"/>
        <v>1.8217549999999999E-2</v>
      </c>
      <c r="I871" s="114">
        <v>0.36584410000000001</v>
      </c>
      <c r="J871" s="269">
        <v>11.368080000000001</v>
      </c>
      <c r="K871" s="272">
        <f t="shared" si="40"/>
        <v>1.1368080000000001E-2</v>
      </c>
      <c r="P871" s="114">
        <v>0.36635889999999999</v>
      </c>
      <c r="Q871" s="269">
        <v>11.616429999999999</v>
      </c>
      <c r="R871" s="272">
        <f t="shared" si="41"/>
        <v>1.1616429999999999E-2</v>
      </c>
    </row>
    <row r="872" spans="2:18" ht="15" customHeight="1" x14ac:dyDescent="0.25">
      <c r="B872" s="114">
        <v>0.74046800000000002</v>
      </c>
      <c r="C872" s="269">
        <v>18.238910000000001</v>
      </c>
      <c r="D872" s="272">
        <f t="shared" si="39"/>
        <v>1.8238910000000001E-2</v>
      </c>
      <c r="I872" s="114">
        <v>0.36927710000000002</v>
      </c>
      <c r="J872" s="269">
        <v>11.452640000000001</v>
      </c>
      <c r="K872" s="272">
        <f t="shared" si="40"/>
        <v>1.145264E-2</v>
      </c>
      <c r="P872" s="114">
        <v>0.36978830000000001</v>
      </c>
      <c r="Q872" s="269">
        <v>11.70091</v>
      </c>
      <c r="R872" s="272">
        <f t="shared" si="41"/>
        <v>1.170091E-2</v>
      </c>
    </row>
    <row r="873" spans="2:18" ht="15" customHeight="1" x14ac:dyDescent="0.25">
      <c r="B873" s="114">
        <v>0.74133499999999997</v>
      </c>
      <c r="C873" s="269">
        <v>18.260259999999999</v>
      </c>
      <c r="D873" s="272">
        <f t="shared" si="39"/>
        <v>1.826026E-2</v>
      </c>
      <c r="I873" s="114">
        <v>0.37271009999999999</v>
      </c>
      <c r="J873" s="269">
        <v>11.5372</v>
      </c>
      <c r="K873" s="272">
        <f t="shared" si="40"/>
        <v>1.1537200000000001E-2</v>
      </c>
      <c r="P873" s="114">
        <v>0.37321779999999999</v>
      </c>
      <c r="Q873" s="269">
        <v>11.78538</v>
      </c>
      <c r="R873" s="272">
        <f t="shared" si="41"/>
        <v>1.178538E-2</v>
      </c>
    </row>
    <row r="874" spans="2:18" ht="15" customHeight="1" x14ac:dyDescent="0.25">
      <c r="B874" s="114">
        <v>0.74220209999999998</v>
      </c>
      <c r="C874" s="269">
        <v>18.28162</v>
      </c>
      <c r="D874" s="272">
        <f t="shared" si="39"/>
        <v>1.8281620000000002E-2</v>
      </c>
      <c r="I874" s="114">
        <v>0.37614300000000001</v>
      </c>
      <c r="J874" s="269">
        <v>11.62176</v>
      </c>
      <c r="K874" s="272">
        <f t="shared" si="40"/>
        <v>1.162176E-2</v>
      </c>
      <c r="P874" s="114">
        <v>0.37664720000000002</v>
      </c>
      <c r="Q874" s="269">
        <v>11.86985</v>
      </c>
      <c r="R874" s="272">
        <f t="shared" si="41"/>
        <v>1.1869849999999999E-2</v>
      </c>
    </row>
    <row r="875" spans="2:18" ht="15" customHeight="1" x14ac:dyDescent="0.25">
      <c r="B875" s="114">
        <v>0.74306910000000004</v>
      </c>
      <c r="C875" s="269">
        <v>18.302980000000002</v>
      </c>
      <c r="D875" s="272">
        <f t="shared" si="39"/>
        <v>1.830298E-2</v>
      </c>
      <c r="I875" s="114">
        <v>0.37957600000000002</v>
      </c>
      <c r="J875" s="269">
        <v>11.70632</v>
      </c>
      <c r="K875" s="272">
        <f t="shared" si="40"/>
        <v>1.1706319999999999E-2</v>
      </c>
      <c r="P875" s="114">
        <v>0.38007669999999999</v>
      </c>
      <c r="Q875" s="269">
        <v>11.954330000000001</v>
      </c>
      <c r="R875" s="272">
        <f t="shared" si="41"/>
        <v>1.1954330000000001E-2</v>
      </c>
    </row>
    <row r="876" spans="2:18" ht="15" customHeight="1" x14ac:dyDescent="0.25">
      <c r="B876" s="114">
        <v>0.74393620000000005</v>
      </c>
      <c r="C876" s="269">
        <v>18.324339999999999</v>
      </c>
      <c r="D876" s="272">
        <f t="shared" si="39"/>
        <v>1.8324339999999998E-2</v>
      </c>
      <c r="I876" s="114">
        <v>0.38300899999999999</v>
      </c>
      <c r="J876" s="269">
        <v>11.79088</v>
      </c>
      <c r="K876" s="272">
        <f t="shared" si="40"/>
        <v>1.179088E-2</v>
      </c>
      <c r="P876" s="114">
        <v>0.38350610000000002</v>
      </c>
      <c r="Q876" s="269">
        <v>12.0388</v>
      </c>
      <c r="R876" s="272">
        <f t="shared" si="41"/>
        <v>1.2038800000000001E-2</v>
      </c>
    </row>
    <row r="877" spans="2:18" ht="15" customHeight="1" x14ac:dyDescent="0.25">
      <c r="B877" s="114">
        <v>0.7448032</v>
      </c>
      <c r="C877" s="269">
        <v>18.345690000000001</v>
      </c>
      <c r="D877" s="272">
        <f t="shared" si="39"/>
        <v>1.8345690000000001E-2</v>
      </c>
      <c r="I877" s="114">
        <v>0.38644200000000001</v>
      </c>
      <c r="J877" s="269">
        <v>11.875439999999999</v>
      </c>
      <c r="K877" s="272">
        <f t="shared" si="40"/>
        <v>1.1875439999999999E-2</v>
      </c>
      <c r="P877" s="114">
        <v>0.38693559999999999</v>
      </c>
      <c r="Q877" s="269">
        <v>12.12327</v>
      </c>
      <c r="R877" s="272">
        <f t="shared" si="41"/>
        <v>1.212327E-2</v>
      </c>
    </row>
    <row r="878" spans="2:18" ht="15" customHeight="1" x14ac:dyDescent="0.25">
      <c r="B878" s="114">
        <v>0.74567030000000001</v>
      </c>
      <c r="C878" s="269">
        <v>18.367049999999999</v>
      </c>
      <c r="D878" s="272">
        <f t="shared" si="39"/>
        <v>1.8367049999999999E-2</v>
      </c>
      <c r="I878" s="114">
        <v>0.38987490000000002</v>
      </c>
      <c r="J878" s="269">
        <v>11.96</v>
      </c>
      <c r="K878" s="272">
        <f t="shared" si="40"/>
        <v>1.196E-2</v>
      </c>
      <c r="P878" s="114">
        <v>0.39036500000000002</v>
      </c>
      <c r="Q878" s="269">
        <v>12.207739999999999</v>
      </c>
      <c r="R878" s="272">
        <f t="shared" si="41"/>
        <v>1.220774E-2</v>
      </c>
    </row>
    <row r="879" spans="2:18" ht="15" customHeight="1" x14ac:dyDescent="0.25">
      <c r="B879" s="114">
        <v>0.74653740000000002</v>
      </c>
      <c r="C879" s="269">
        <v>18.38841</v>
      </c>
      <c r="D879" s="272">
        <f t="shared" si="39"/>
        <v>1.8388410000000001E-2</v>
      </c>
      <c r="I879" s="114">
        <v>0.39330789999999999</v>
      </c>
      <c r="J879" s="269">
        <v>12.044560000000001</v>
      </c>
      <c r="K879" s="272">
        <f t="shared" si="40"/>
        <v>1.2044560000000001E-2</v>
      </c>
      <c r="P879" s="114">
        <v>0.39379449999999999</v>
      </c>
      <c r="Q879" s="269">
        <v>12.29222</v>
      </c>
      <c r="R879" s="272">
        <f t="shared" si="41"/>
        <v>1.229222E-2</v>
      </c>
    </row>
    <row r="880" spans="2:18" ht="15" customHeight="1" x14ac:dyDescent="0.25">
      <c r="B880" s="114">
        <v>0.74740439999999997</v>
      </c>
      <c r="C880" s="269">
        <v>18.409759999999999</v>
      </c>
      <c r="D880" s="272">
        <f t="shared" si="39"/>
        <v>1.8409759999999997E-2</v>
      </c>
      <c r="I880" s="114">
        <v>0.39674090000000001</v>
      </c>
      <c r="J880" s="269">
        <v>12.12912</v>
      </c>
      <c r="K880" s="272">
        <f t="shared" si="40"/>
        <v>1.212912E-2</v>
      </c>
      <c r="P880" s="114">
        <v>0.39722390000000002</v>
      </c>
      <c r="Q880" s="269">
        <v>12.37669</v>
      </c>
      <c r="R880" s="272">
        <f t="shared" si="41"/>
        <v>1.2376689999999999E-2</v>
      </c>
    </row>
    <row r="881" spans="2:18" ht="15" customHeight="1" x14ac:dyDescent="0.25">
      <c r="B881" s="114">
        <v>0.74827149999999998</v>
      </c>
      <c r="C881" s="269">
        <v>18.43112</v>
      </c>
      <c r="D881" s="272">
        <f t="shared" si="39"/>
        <v>1.8431119999999999E-2</v>
      </c>
      <c r="I881" s="114">
        <v>0.40017390000000003</v>
      </c>
      <c r="J881" s="269">
        <v>12.21368</v>
      </c>
      <c r="K881" s="272">
        <f t="shared" si="40"/>
        <v>1.2213679999999999E-2</v>
      </c>
      <c r="P881" s="114">
        <v>0.40065339999999999</v>
      </c>
      <c r="Q881" s="269">
        <v>12.46116</v>
      </c>
      <c r="R881" s="272">
        <f t="shared" si="41"/>
        <v>1.2461159999999999E-2</v>
      </c>
    </row>
    <row r="882" spans="2:18" ht="15" customHeight="1" x14ac:dyDescent="0.25">
      <c r="B882" s="114">
        <v>0.74913850000000004</v>
      </c>
      <c r="C882" s="269">
        <v>18.452480000000001</v>
      </c>
      <c r="D882" s="272">
        <f t="shared" si="39"/>
        <v>1.845248E-2</v>
      </c>
      <c r="I882" s="114">
        <v>0.40360679999999999</v>
      </c>
      <c r="J882" s="269">
        <v>12.29824</v>
      </c>
      <c r="K882" s="272">
        <f t="shared" si="40"/>
        <v>1.229824E-2</v>
      </c>
      <c r="P882" s="114">
        <v>0.40408280000000002</v>
      </c>
      <c r="Q882" s="269">
        <v>12.545640000000001</v>
      </c>
      <c r="R882" s="272">
        <f t="shared" si="41"/>
        <v>1.254564E-2</v>
      </c>
    </row>
    <row r="883" spans="2:18" ht="15" customHeight="1" x14ac:dyDescent="0.25">
      <c r="B883" s="114">
        <v>0.75000560000000005</v>
      </c>
      <c r="C883" s="269">
        <v>18.47383</v>
      </c>
      <c r="D883" s="272">
        <f t="shared" si="39"/>
        <v>1.847383E-2</v>
      </c>
      <c r="I883" s="114">
        <v>0.40703980000000001</v>
      </c>
      <c r="J883" s="269">
        <v>12.3828</v>
      </c>
      <c r="K883" s="272">
        <f t="shared" si="40"/>
        <v>1.2382799999999999E-2</v>
      </c>
      <c r="P883" s="114">
        <v>0.40751229999999999</v>
      </c>
      <c r="Q883" s="269">
        <v>12.63011</v>
      </c>
      <c r="R883" s="272">
        <f t="shared" si="41"/>
        <v>1.263011E-2</v>
      </c>
    </row>
    <row r="884" spans="2:18" ht="15" customHeight="1" x14ac:dyDescent="0.25">
      <c r="B884" s="114">
        <v>0.75087269999999995</v>
      </c>
      <c r="C884" s="269">
        <v>18.495190000000001</v>
      </c>
      <c r="D884" s="272">
        <f t="shared" si="39"/>
        <v>1.8495190000000002E-2</v>
      </c>
      <c r="I884" s="114">
        <v>0.41047280000000003</v>
      </c>
      <c r="J884" s="269">
        <v>12.467359999999999</v>
      </c>
      <c r="K884" s="272">
        <f t="shared" si="40"/>
        <v>1.2467359999999999E-2</v>
      </c>
      <c r="P884" s="114">
        <v>0.41094170000000002</v>
      </c>
      <c r="Q884" s="269">
        <v>12.71458</v>
      </c>
      <c r="R884" s="272">
        <f t="shared" si="41"/>
        <v>1.271458E-2</v>
      </c>
    </row>
    <row r="885" spans="2:18" ht="15" customHeight="1" x14ac:dyDescent="0.25">
      <c r="B885" s="114">
        <v>0.75173970000000001</v>
      </c>
      <c r="C885" s="269">
        <v>18.516549999999999</v>
      </c>
      <c r="D885" s="272">
        <f t="shared" si="39"/>
        <v>1.851655E-2</v>
      </c>
      <c r="I885" s="114">
        <v>0.41390579999999999</v>
      </c>
      <c r="J885" s="269">
        <v>12.551920000000001</v>
      </c>
      <c r="K885" s="272">
        <f t="shared" si="40"/>
        <v>1.2551920000000001E-2</v>
      </c>
      <c r="P885" s="114">
        <v>0.4143712</v>
      </c>
      <c r="Q885" s="269">
        <v>12.799060000000001</v>
      </c>
      <c r="R885" s="272">
        <f t="shared" si="41"/>
        <v>1.2799060000000001E-2</v>
      </c>
    </row>
    <row r="886" spans="2:18" ht="15" customHeight="1" x14ac:dyDescent="0.25">
      <c r="B886" s="114">
        <v>0.75260680000000002</v>
      </c>
      <c r="C886" s="269">
        <v>18.53791</v>
      </c>
      <c r="D886" s="272">
        <f t="shared" si="39"/>
        <v>1.8537910000000001E-2</v>
      </c>
      <c r="I886" s="114">
        <v>0.41733870000000001</v>
      </c>
      <c r="J886" s="269">
        <v>12.636480000000001</v>
      </c>
      <c r="K886" s="272">
        <f t="shared" si="40"/>
        <v>1.263648E-2</v>
      </c>
      <c r="P886" s="114">
        <v>0.41780060000000002</v>
      </c>
      <c r="Q886" s="269">
        <v>12.88353</v>
      </c>
      <c r="R886" s="272">
        <f t="shared" si="41"/>
        <v>1.2883530000000001E-2</v>
      </c>
    </row>
    <row r="887" spans="2:18" ht="15" customHeight="1" x14ac:dyDescent="0.25">
      <c r="B887" s="114">
        <v>0.75347379999999997</v>
      </c>
      <c r="C887" s="269">
        <v>18.559259999999998</v>
      </c>
      <c r="D887" s="272">
        <f t="shared" si="39"/>
        <v>1.8559259999999998E-2</v>
      </c>
      <c r="I887" s="114">
        <v>0.42077170000000003</v>
      </c>
      <c r="J887" s="269">
        <v>12.72104</v>
      </c>
      <c r="K887" s="272">
        <f t="shared" si="40"/>
        <v>1.2721040000000001E-2</v>
      </c>
      <c r="P887" s="114">
        <v>0.4212301</v>
      </c>
      <c r="Q887" s="269">
        <v>12.968</v>
      </c>
      <c r="R887" s="272">
        <f t="shared" si="41"/>
        <v>1.2968E-2</v>
      </c>
    </row>
    <row r="888" spans="2:18" ht="15" customHeight="1" x14ac:dyDescent="0.25">
      <c r="B888" s="114">
        <v>0.75434089999999998</v>
      </c>
      <c r="C888" s="269">
        <v>18.58062</v>
      </c>
      <c r="D888" s="272">
        <f t="shared" si="39"/>
        <v>1.8580619999999999E-2</v>
      </c>
      <c r="I888" s="114">
        <v>0.42420469999999999</v>
      </c>
      <c r="J888" s="269">
        <v>12.8056</v>
      </c>
      <c r="K888" s="272">
        <f t="shared" si="40"/>
        <v>1.28056E-2</v>
      </c>
      <c r="P888" s="114">
        <v>0.42465950000000002</v>
      </c>
      <c r="Q888" s="269">
        <v>13.052479999999999</v>
      </c>
      <c r="R888" s="272">
        <f t="shared" si="41"/>
        <v>1.305248E-2</v>
      </c>
    </row>
    <row r="889" spans="2:18" ht="15" customHeight="1" x14ac:dyDescent="0.25">
      <c r="B889" s="114">
        <v>0.75520799999999999</v>
      </c>
      <c r="C889" s="269">
        <v>18.601980000000001</v>
      </c>
      <c r="D889" s="272">
        <f t="shared" si="39"/>
        <v>1.8601980000000001E-2</v>
      </c>
      <c r="I889" s="114">
        <v>0.42763770000000001</v>
      </c>
      <c r="J889" s="269">
        <v>12.89016</v>
      </c>
      <c r="K889" s="272">
        <f t="shared" si="40"/>
        <v>1.2890159999999999E-2</v>
      </c>
      <c r="P889" s="114">
        <v>0.428089</v>
      </c>
      <c r="Q889" s="269">
        <v>13.136950000000001</v>
      </c>
      <c r="R889" s="272">
        <f t="shared" si="41"/>
        <v>1.3136950000000001E-2</v>
      </c>
    </row>
    <row r="890" spans="2:18" ht="15" customHeight="1" x14ac:dyDescent="0.25">
      <c r="B890" s="114">
        <v>0.75607500000000005</v>
      </c>
      <c r="C890" s="269">
        <v>18.623329999999999</v>
      </c>
      <c r="D890" s="272">
        <f t="shared" si="39"/>
        <v>1.862333E-2</v>
      </c>
      <c r="I890" s="114">
        <v>0.43107060000000003</v>
      </c>
      <c r="J890" s="269">
        <v>12.97472</v>
      </c>
      <c r="K890" s="272">
        <f t="shared" si="40"/>
        <v>1.297472E-2</v>
      </c>
      <c r="P890" s="114">
        <v>0.43151840000000002</v>
      </c>
      <c r="Q890" s="269">
        <v>13.22142</v>
      </c>
      <c r="R890" s="272">
        <f t="shared" si="41"/>
        <v>1.3221419999999999E-2</v>
      </c>
    </row>
    <row r="891" spans="2:18" ht="15" customHeight="1" x14ac:dyDescent="0.25">
      <c r="B891" s="114">
        <v>0.75694209999999995</v>
      </c>
      <c r="C891" s="269">
        <v>18.644690000000001</v>
      </c>
      <c r="D891" s="272">
        <f t="shared" si="39"/>
        <v>1.8644690000000002E-2</v>
      </c>
      <c r="I891" s="114">
        <v>0.43450359999999999</v>
      </c>
      <c r="J891" s="269">
        <v>13.059279999999999</v>
      </c>
      <c r="K891" s="272">
        <f t="shared" si="40"/>
        <v>1.3059279999999999E-2</v>
      </c>
      <c r="P891" s="114">
        <v>0.4349479</v>
      </c>
      <c r="Q891" s="269">
        <v>13.305899999999999</v>
      </c>
      <c r="R891" s="272">
        <f t="shared" si="41"/>
        <v>1.3305899999999999E-2</v>
      </c>
    </row>
    <row r="892" spans="2:18" ht="15" customHeight="1" x14ac:dyDescent="0.25">
      <c r="B892" s="114">
        <v>0.75780910000000001</v>
      </c>
      <c r="C892" s="269">
        <v>18.666049999999998</v>
      </c>
      <c r="D892" s="272">
        <f t="shared" si="39"/>
        <v>1.866605E-2</v>
      </c>
      <c r="I892" s="114">
        <v>0.43793660000000001</v>
      </c>
      <c r="J892" s="269">
        <v>13.143840000000001</v>
      </c>
      <c r="K892" s="272">
        <f t="shared" si="40"/>
        <v>1.314384E-2</v>
      </c>
      <c r="P892" s="114">
        <v>0.43837730000000003</v>
      </c>
      <c r="Q892" s="269">
        <v>13.390370000000001</v>
      </c>
      <c r="R892" s="272">
        <f t="shared" si="41"/>
        <v>1.339037E-2</v>
      </c>
    </row>
    <row r="893" spans="2:18" ht="15" customHeight="1" x14ac:dyDescent="0.25">
      <c r="B893" s="114">
        <v>0.75867620000000002</v>
      </c>
      <c r="C893" s="269">
        <v>18.68741</v>
      </c>
      <c r="D893" s="272">
        <f t="shared" si="39"/>
        <v>1.8687410000000002E-2</v>
      </c>
      <c r="I893" s="114">
        <v>0.44136959999999997</v>
      </c>
      <c r="J893" s="269">
        <v>13.228400000000001</v>
      </c>
      <c r="K893" s="272">
        <f t="shared" si="40"/>
        <v>1.3228400000000001E-2</v>
      </c>
      <c r="P893" s="114">
        <v>0.4418068</v>
      </c>
      <c r="Q893" s="269">
        <v>13.47484</v>
      </c>
      <c r="R893" s="272">
        <f t="shared" si="41"/>
        <v>1.347484E-2</v>
      </c>
    </row>
    <row r="894" spans="2:18" ht="15" customHeight="1" x14ac:dyDescent="0.25">
      <c r="B894" s="114">
        <v>0.75954319999999997</v>
      </c>
      <c r="C894" s="269">
        <v>18.708760000000002</v>
      </c>
      <c r="D894" s="272">
        <f t="shared" si="39"/>
        <v>1.8708760000000001E-2</v>
      </c>
      <c r="I894" s="114">
        <v>0.44480249999999999</v>
      </c>
      <c r="J894" s="269">
        <v>13.31296</v>
      </c>
      <c r="K894" s="272">
        <f t="shared" si="40"/>
        <v>1.331296E-2</v>
      </c>
      <c r="P894" s="114">
        <v>0.44523620000000003</v>
      </c>
      <c r="Q894" s="269">
        <v>13.55931</v>
      </c>
      <c r="R894" s="272">
        <f t="shared" si="41"/>
        <v>1.355931E-2</v>
      </c>
    </row>
    <row r="895" spans="2:18" ht="15" customHeight="1" x14ac:dyDescent="0.25">
      <c r="B895" s="114">
        <v>0.76041029999999998</v>
      </c>
      <c r="C895" s="269">
        <v>18.730119999999999</v>
      </c>
      <c r="D895" s="272">
        <f t="shared" si="39"/>
        <v>1.8730119999999999E-2</v>
      </c>
      <c r="I895" s="114">
        <v>0.44823550000000001</v>
      </c>
      <c r="J895" s="269">
        <v>13.39752</v>
      </c>
      <c r="K895" s="272">
        <f t="shared" si="40"/>
        <v>1.339752E-2</v>
      </c>
      <c r="P895" s="114">
        <v>0.4486657</v>
      </c>
      <c r="Q895" s="269">
        <v>13.643789999999999</v>
      </c>
      <c r="R895" s="272">
        <f t="shared" si="41"/>
        <v>1.3643789999999999E-2</v>
      </c>
    </row>
    <row r="896" spans="2:18" ht="15" customHeight="1" x14ac:dyDescent="0.25">
      <c r="B896" s="114">
        <v>0.76127739999999999</v>
      </c>
      <c r="C896" s="269">
        <v>18.751480000000001</v>
      </c>
      <c r="D896" s="272">
        <f t="shared" si="39"/>
        <v>1.8751480000000001E-2</v>
      </c>
      <c r="I896" s="114">
        <v>0.45166849999999997</v>
      </c>
      <c r="J896" s="269">
        <v>13.48208</v>
      </c>
      <c r="K896" s="272">
        <f t="shared" si="40"/>
        <v>1.348208E-2</v>
      </c>
      <c r="P896" s="114">
        <v>0.45209510000000003</v>
      </c>
      <c r="Q896" s="269">
        <v>13.728260000000001</v>
      </c>
      <c r="R896" s="272">
        <f t="shared" si="41"/>
        <v>1.3728260000000001E-2</v>
      </c>
    </row>
    <row r="897" spans="2:18" ht="15" customHeight="1" x14ac:dyDescent="0.25">
      <c r="B897" s="114">
        <v>0.76214440000000006</v>
      </c>
      <c r="C897" s="269">
        <v>18.772829999999999</v>
      </c>
      <c r="D897" s="272">
        <f t="shared" si="39"/>
        <v>1.8772829999999997E-2</v>
      </c>
      <c r="I897" s="114">
        <v>0.45510149999999999</v>
      </c>
      <c r="J897" s="269">
        <v>13.56664</v>
      </c>
      <c r="K897" s="272">
        <f t="shared" si="40"/>
        <v>1.356664E-2</v>
      </c>
      <c r="P897" s="114">
        <v>0.4555246</v>
      </c>
      <c r="Q897" s="269">
        <v>13.81273</v>
      </c>
      <c r="R897" s="272">
        <f t="shared" si="41"/>
        <v>1.381273E-2</v>
      </c>
    </row>
    <row r="898" spans="2:18" ht="15" customHeight="1" x14ac:dyDescent="0.25">
      <c r="B898" s="114">
        <v>0.76301149999999995</v>
      </c>
      <c r="C898" s="269">
        <v>18.79419</v>
      </c>
      <c r="D898" s="272">
        <f t="shared" si="39"/>
        <v>1.8794189999999999E-2</v>
      </c>
      <c r="I898" s="114">
        <v>0.45853440000000001</v>
      </c>
      <c r="J898" s="269">
        <v>13.651199999999999</v>
      </c>
      <c r="K898" s="272">
        <f t="shared" si="40"/>
        <v>1.3651199999999999E-2</v>
      </c>
      <c r="P898" s="114">
        <v>0.45895399999999997</v>
      </c>
      <c r="Q898" s="269">
        <v>13.897209999999999</v>
      </c>
      <c r="R898" s="272">
        <f t="shared" si="41"/>
        <v>1.389721E-2</v>
      </c>
    </row>
    <row r="899" spans="2:18" ht="15" customHeight="1" x14ac:dyDescent="0.25">
      <c r="B899" s="114">
        <v>0.76387850000000002</v>
      </c>
      <c r="C899" s="269">
        <v>18.815550000000002</v>
      </c>
      <c r="D899" s="272">
        <f t="shared" si="39"/>
        <v>1.881555E-2</v>
      </c>
      <c r="I899" s="114">
        <v>0.46196739999999997</v>
      </c>
      <c r="J899" s="269">
        <v>13.735760000000001</v>
      </c>
      <c r="K899" s="272">
        <f t="shared" si="40"/>
        <v>1.3735760000000001E-2</v>
      </c>
      <c r="P899" s="114">
        <v>0.4623835</v>
      </c>
      <c r="Q899" s="269">
        <v>13.981680000000001</v>
      </c>
      <c r="R899" s="272">
        <f t="shared" si="41"/>
        <v>1.3981680000000002E-2</v>
      </c>
    </row>
    <row r="900" spans="2:18" ht="15" customHeight="1" x14ac:dyDescent="0.25">
      <c r="B900" s="114">
        <v>0.76474560000000003</v>
      </c>
      <c r="C900" s="269">
        <v>18.8369</v>
      </c>
      <c r="D900" s="272">
        <f t="shared" si="39"/>
        <v>1.88369E-2</v>
      </c>
      <c r="I900" s="114">
        <v>0.46540039999999999</v>
      </c>
      <c r="J900" s="269">
        <v>13.820320000000001</v>
      </c>
      <c r="K900" s="272">
        <f t="shared" si="40"/>
        <v>1.3820320000000001E-2</v>
      </c>
      <c r="P900" s="114">
        <v>0.46581289999999997</v>
      </c>
      <c r="Q900" s="269">
        <v>14.06615</v>
      </c>
      <c r="R900" s="272">
        <f t="shared" si="41"/>
        <v>1.4066150000000001E-2</v>
      </c>
    </row>
    <row r="901" spans="2:18" ht="15" customHeight="1" x14ac:dyDescent="0.25">
      <c r="B901" s="114">
        <v>0.76561270000000003</v>
      </c>
      <c r="C901" s="269">
        <v>18.858260000000001</v>
      </c>
      <c r="D901" s="272">
        <f t="shared" si="39"/>
        <v>1.8858260000000002E-2</v>
      </c>
      <c r="I901" s="114">
        <v>0.46883340000000001</v>
      </c>
      <c r="J901" s="269">
        <v>13.90488</v>
      </c>
      <c r="K901" s="272">
        <f t="shared" si="40"/>
        <v>1.390488E-2</v>
      </c>
      <c r="P901" s="114">
        <v>0.4692424</v>
      </c>
      <c r="Q901" s="269">
        <v>14.15063</v>
      </c>
      <c r="R901" s="272">
        <f t="shared" si="41"/>
        <v>1.4150629999999999E-2</v>
      </c>
    </row>
    <row r="902" spans="2:18" ht="15" customHeight="1" x14ac:dyDescent="0.25">
      <c r="B902" s="114">
        <v>0.76647969999999999</v>
      </c>
      <c r="C902" s="269">
        <v>18.879619999999999</v>
      </c>
      <c r="D902" s="272">
        <f t="shared" si="39"/>
        <v>1.887962E-2</v>
      </c>
      <c r="I902" s="114">
        <v>0.47226630000000003</v>
      </c>
      <c r="J902" s="269">
        <v>13.98944</v>
      </c>
      <c r="K902" s="272">
        <f t="shared" si="40"/>
        <v>1.3989440000000001E-2</v>
      </c>
      <c r="P902" s="114">
        <v>0.47267179999999998</v>
      </c>
      <c r="Q902" s="269">
        <v>14.235099999999999</v>
      </c>
      <c r="R902" s="272">
        <f t="shared" si="41"/>
        <v>1.4235099999999999E-2</v>
      </c>
    </row>
    <row r="903" spans="2:18" ht="15" customHeight="1" x14ac:dyDescent="0.25">
      <c r="B903" s="114">
        <v>0.7673468</v>
      </c>
      <c r="C903" s="269">
        <v>18.900980000000001</v>
      </c>
      <c r="D903" s="272">
        <f t="shared" si="39"/>
        <v>1.8900980000000001E-2</v>
      </c>
      <c r="I903" s="114">
        <v>0.47569929999999999</v>
      </c>
      <c r="J903" s="269">
        <v>14.074</v>
      </c>
      <c r="K903" s="272">
        <f t="shared" si="40"/>
        <v>1.4074E-2</v>
      </c>
      <c r="P903" s="114">
        <v>0.47610130000000001</v>
      </c>
      <c r="Q903" s="269">
        <v>14.319570000000001</v>
      </c>
      <c r="R903" s="272">
        <f t="shared" si="41"/>
        <v>1.431957E-2</v>
      </c>
    </row>
    <row r="904" spans="2:18" ht="15" customHeight="1" x14ac:dyDescent="0.25">
      <c r="B904" s="114">
        <v>0.76821379999999995</v>
      </c>
      <c r="C904" s="269">
        <v>18.922329999999999</v>
      </c>
      <c r="D904" s="272">
        <f t="shared" si="39"/>
        <v>1.8922329999999998E-2</v>
      </c>
      <c r="I904" s="114">
        <v>0.47913230000000001</v>
      </c>
      <c r="J904" s="269">
        <v>14.15856</v>
      </c>
      <c r="K904" s="272">
        <f t="shared" si="40"/>
        <v>1.4158559999999999E-2</v>
      </c>
      <c r="P904" s="114">
        <v>0.47953069999999998</v>
      </c>
      <c r="Q904" s="269">
        <v>14.40404</v>
      </c>
      <c r="R904" s="272">
        <f t="shared" si="41"/>
        <v>1.440404E-2</v>
      </c>
    </row>
    <row r="905" spans="2:18" ht="15" customHeight="1" x14ac:dyDescent="0.25">
      <c r="B905" s="114">
        <v>0.76908089999999996</v>
      </c>
      <c r="C905" s="269">
        <v>18.94369</v>
      </c>
      <c r="D905" s="272">
        <f t="shared" si="39"/>
        <v>1.8943689999999999E-2</v>
      </c>
      <c r="I905" s="114">
        <v>0.48256529999999997</v>
      </c>
      <c r="J905" s="269">
        <v>14.243119999999999</v>
      </c>
      <c r="K905" s="272">
        <f t="shared" si="40"/>
        <v>1.424312E-2</v>
      </c>
      <c r="P905" s="114">
        <v>0.48296020000000001</v>
      </c>
      <c r="Q905" s="269">
        <v>14.488519999999999</v>
      </c>
      <c r="R905" s="272">
        <f t="shared" si="41"/>
        <v>1.448852E-2</v>
      </c>
    </row>
    <row r="906" spans="2:18" ht="15" customHeight="1" x14ac:dyDescent="0.25">
      <c r="B906" s="114">
        <v>0.76994790000000002</v>
      </c>
      <c r="C906" s="269">
        <v>18.965050000000002</v>
      </c>
      <c r="D906" s="272">
        <f t="shared" si="39"/>
        <v>1.8965050000000001E-2</v>
      </c>
      <c r="I906" s="114">
        <v>0.48599819999999999</v>
      </c>
      <c r="J906" s="269">
        <v>14.327680000000001</v>
      </c>
      <c r="K906" s="272">
        <f t="shared" si="40"/>
        <v>1.4327680000000001E-2</v>
      </c>
      <c r="P906" s="114">
        <v>0.48638959999999998</v>
      </c>
      <c r="Q906" s="269">
        <v>14.572990000000001</v>
      </c>
      <c r="R906" s="272">
        <f t="shared" si="41"/>
        <v>1.4572990000000001E-2</v>
      </c>
    </row>
    <row r="907" spans="2:18" ht="15" customHeight="1" x14ac:dyDescent="0.25">
      <c r="B907" s="114">
        <v>0.77081500000000003</v>
      </c>
      <c r="C907" s="269">
        <v>18.9864</v>
      </c>
      <c r="D907" s="272">
        <f t="shared" si="39"/>
        <v>1.89864E-2</v>
      </c>
      <c r="I907" s="114">
        <v>0.48943120000000001</v>
      </c>
      <c r="J907" s="269">
        <v>14.412240000000001</v>
      </c>
      <c r="K907" s="272">
        <f t="shared" si="40"/>
        <v>1.441224E-2</v>
      </c>
      <c r="P907" s="114">
        <v>0.48981910000000001</v>
      </c>
      <c r="Q907" s="269">
        <v>14.65746</v>
      </c>
      <c r="R907" s="272">
        <f t="shared" si="41"/>
        <v>1.4657460000000001E-2</v>
      </c>
    </row>
    <row r="908" spans="2:18" ht="15" customHeight="1" x14ac:dyDescent="0.25">
      <c r="B908" s="114">
        <v>0.77168210000000004</v>
      </c>
      <c r="C908" s="269">
        <v>19.007760000000001</v>
      </c>
      <c r="D908" s="272">
        <f t="shared" si="39"/>
        <v>1.9007760000000002E-2</v>
      </c>
      <c r="I908" s="114">
        <v>0.49286419999999997</v>
      </c>
      <c r="J908" s="269">
        <v>14.4968</v>
      </c>
      <c r="K908" s="272">
        <f t="shared" si="40"/>
        <v>1.4496800000000001E-2</v>
      </c>
      <c r="P908" s="114">
        <v>0.49324849999999998</v>
      </c>
      <c r="Q908" s="269">
        <v>14.74194</v>
      </c>
      <c r="R908" s="272">
        <f t="shared" si="41"/>
        <v>1.474194E-2</v>
      </c>
    </row>
    <row r="909" spans="2:18" ht="15" customHeight="1" x14ac:dyDescent="0.25">
      <c r="B909" s="114">
        <v>0.77254909999999999</v>
      </c>
      <c r="C909" s="269">
        <v>19.029119999999999</v>
      </c>
      <c r="D909" s="272">
        <f t="shared" si="39"/>
        <v>1.902912E-2</v>
      </c>
      <c r="I909" s="114">
        <v>0.49629719999999999</v>
      </c>
      <c r="J909" s="269">
        <v>14.58136</v>
      </c>
      <c r="K909" s="272">
        <f t="shared" si="40"/>
        <v>1.458136E-2</v>
      </c>
      <c r="P909" s="114">
        <v>0.49667800000000001</v>
      </c>
      <c r="Q909" s="269">
        <v>14.826409999999999</v>
      </c>
      <c r="R909" s="272">
        <f t="shared" si="41"/>
        <v>1.482641E-2</v>
      </c>
    </row>
    <row r="910" spans="2:18" ht="15" customHeight="1" x14ac:dyDescent="0.25">
      <c r="B910" s="114">
        <v>0.7734162</v>
      </c>
      <c r="C910" s="269">
        <v>19.050470000000001</v>
      </c>
      <c r="D910" s="272">
        <f t="shared" si="39"/>
        <v>1.905047E-2</v>
      </c>
      <c r="I910" s="114">
        <v>0.49973010000000001</v>
      </c>
      <c r="J910" s="269">
        <v>14.66592</v>
      </c>
      <c r="K910" s="272">
        <f t="shared" si="40"/>
        <v>1.4665920000000001E-2</v>
      </c>
      <c r="P910" s="114">
        <v>0.50010739999999998</v>
      </c>
      <c r="Q910" s="269">
        <v>14.910880000000001</v>
      </c>
      <c r="R910" s="272">
        <f t="shared" si="41"/>
        <v>1.4910880000000001E-2</v>
      </c>
    </row>
    <row r="911" spans="2:18" ht="15" customHeight="1" x14ac:dyDescent="0.25">
      <c r="B911" s="114">
        <v>0.77428319999999995</v>
      </c>
      <c r="C911" s="269">
        <v>19.071829999999999</v>
      </c>
      <c r="D911" s="272">
        <f t="shared" si="39"/>
        <v>1.9071829999999998E-2</v>
      </c>
      <c r="I911" s="114">
        <v>0.50316309999999997</v>
      </c>
      <c r="J911" s="269">
        <v>14.75048</v>
      </c>
      <c r="K911" s="272">
        <f t="shared" si="40"/>
        <v>1.475048E-2</v>
      </c>
      <c r="P911" s="114">
        <v>0.50353689999999995</v>
      </c>
      <c r="Q911" s="269">
        <v>14.99536</v>
      </c>
      <c r="R911" s="272">
        <f t="shared" si="41"/>
        <v>1.4995359999999999E-2</v>
      </c>
    </row>
    <row r="912" spans="2:18" ht="15" customHeight="1" x14ac:dyDescent="0.25">
      <c r="B912" s="114">
        <v>0.77515029999999996</v>
      </c>
      <c r="C912" s="269">
        <v>19.09319</v>
      </c>
      <c r="D912" s="272">
        <f t="shared" si="39"/>
        <v>1.9093189999999999E-2</v>
      </c>
      <c r="I912" s="114">
        <v>0.50659609999999999</v>
      </c>
      <c r="J912" s="269">
        <v>14.835039999999999</v>
      </c>
      <c r="K912" s="272">
        <f t="shared" si="40"/>
        <v>1.4835039999999999E-2</v>
      </c>
      <c r="P912" s="114">
        <v>0.50696629999999998</v>
      </c>
      <c r="Q912" s="269">
        <v>15.079829999999999</v>
      </c>
      <c r="R912" s="272">
        <f t="shared" si="41"/>
        <v>1.5079829999999999E-2</v>
      </c>
    </row>
    <row r="913" spans="2:18" ht="15" customHeight="1" x14ac:dyDescent="0.25">
      <c r="B913" s="114">
        <v>0.77601739999999997</v>
      </c>
      <c r="C913" s="269">
        <v>19.114550000000001</v>
      </c>
      <c r="D913" s="272">
        <f t="shared" si="39"/>
        <v>1.9114550000000001E-2</v>
      </c>
      <c r="I913" s="114">
        <v>0.51002910000000001</v>
      </c>
      <c r="J913" s="269">
        <v>14.919589999999999</v>
      </c>
      <c r="K913" s="272">
        <f t="shared" si="40"/>
        <v>1.491959E-2</v>
      </c>
      <c r="P913" s="114">
        <v>0.51039579999999996</v>
      </c>
      <c r="Q913" s="269">
        <v>15.164300000000001</v>
      </c>
      <c r="R913" s="272">
        <f t="shared" si="41"/>
        <v>1.51643E-2</v>
      </c>
    </row>
    <row r="914" spans="2:18" ht="15" customHeight="1" x14ac:dyDescent="0.25">
      <c r="B914" s="114">
        <v>0.77688440000000003</v>
      </c>
      <c r="C914" s="269">
        <v>19.135899999999999</v>
      </c>
      <c r="D914" s="272">
        <f t="shared" ref="D914:D977" si="42">C914/1000</f>
        <v>1.9135900000000001E-2</v>
      </c>
      <c r="I914" s="114">
        <v>0.51346199999999997</v>
      </c>
      <c r="J914" s="269">
        <v>15.004149999999999</v>
      </c>
      <c r="K914" s="272">
        <f t="shared" ref="K914:K977" si="43">J914/1000</f>
        <v>1.5004149999999999E-2</v>
      </c>
      <c r="P914" s="114">
        <v>0.51382519999999998</v>
      </c>
      <c r="Q914" s="269">
        <v>15.24877</v>
      </c>
      <c r="R914" s="272">
        <f t="shared" ref="R914:R977" si="44">Q914/1000</f>
        <v>1.524877E-2</v>
      </c>
    </row>
    <row r="915" spans="2:18" ht="15" customHeight="1" x14ac:dyDescent="0.25">
      <c r="B915" s="114">
        <v>0.77775150000000004</v>
      </c>
      <c r="C915" s="269">
        <v>19.157260000000001</v>
      </c>
      <c r="D915" s="272">
        <f t="shared" si="42"/>
        <v>1.9157260000000002E-2</v>
      </c>
      <c r="I915" s="114">
        <v>0.51689499999999999</v>
      </c>
      <c r="J915" s="269">
        <v>15.088710000000001</v>
      </c>
      <c r="K915" s="272">
        <f t="shared" si="43"/>
        <v>1.508871E-2</v>
      </c>
      <c r="P915" s="114">
        <v>0.51725469999999996</v>
      </c>
      <c r="Q915" s="269">
        <v>15.33325</v>
      </c>
      <c r="R915" s="272">
        <f t="shared" si="44"/>
        <v>1.533325E-2</v>
      </c>
    </row>
    <row r="916" spans="2:18" ht="15" customHeight="1" x14ac:dyDescent="0.25">
      <c r="B916" s="114">
        <v>0.77861849999999999</v>
      </c>
      <c r="C916" s="269">
        <v>19.178619999999999</v>
      </c>
      <c r="D916" s="272">
        <f t="shared" si="42"/>
        <v>1.917862E-2</v>
      </c>
      <c r="I916" s="114">
        <v>0.52032800000000001</v>
      </c>
      <c r="J916" s="269">
        <v>15.17327</v>
      </c>
      <c r="K916" s="272">
        <f t="shared" si="43"/>
        <v>1.5173270000000001E-2</v>
      </c>
      <c r="P916" s="114">
        <v>0.52068409999999998</v>
      </c>
      <c r="Q916" s="269">
        <v>15.417719999999999</v>
      </c>
      <c r="R916" s="272">
        <f t="shared" si="44"/>
        <v>1.5417719999999999E-2</v>
      </c>
    </row>
    <row r="917" spans="2:18" ht="15" customHeight="1" x14ac:dyDescent="0.25">
      <c r="B917" s="114">
        <v>0.7794856</v>
      </c>
      <c r="C917" s="269">
        <v>19.19997</v>
      </c>
      <c r="D917" s="272">
        <f t="shared" si="42"/>
        <v>1.919997E-2</v>
      </c>
      <c r="I917" s="114">
        <v>0.52376100000000003</v>
      </c>
      <c r="J917" s="269">
        <v>15.25783</v>
      </c>
      <c r="K917" s="272">
        <f t="shared" si="43"/>
        <v>1.525783E-2</v>
      </c>
      <c r="P917" s="114">
        <v>0.52411359999999996</v>
      </c>
      <c r="Q917" s="269">
        <v>15.502190000000001</v>
      </c>
      <c r="R917" s="272">
        <f t="shared" si="44"/>
        <v>1.5502190000000001E-2</v>
      </c>
    </row>
    <row r="918" spans="2:18" ht="15" customHeight="1" x14ac:dyDescent="0.25">
      <c r="B918" s="114">
        <v>0.78035259999999995</v>
      </c>
      <c r="C918" s="269">
        <v>19.221329999999998</v>
      </c>
      <c r="D918" s="272">
        <f t="shared" si="42"/>
        <v>1.9221329999999998E-2</v>
      </c>
      <c r="I918" s="114">
        <v>0.52719389999999999</v>
      </c>
      <c r="J918" s="269">
        <v>15.34239</v>
      </c>
      <c r="K918" s="272">
        <f t="shared" si="43"/>
        <v>1.5342389999999999E-2</v>
      </c>
      <c r="P918" s="114">
        <v>0.52754299999999998</v>
      </c>
      <c r="Q918" s="269">
        <v>15.58667</v>
      </c>
      <c r="R918" s="272">
        <f t="shared" si="44"/>
        <v>1.558667E-2</v>
      </c>
    </row>
    <row r="919" spans="2:18" ht="15" customHeight="1" x14ac:dyDescent="0.25">
      <c r="B919" s="114">
        <v>0.78121969999999996</v>
      </c>
      <c r="C919" s="269">
        <v>19.24269</v>
      </c>
      <c r="D919" s="272">
        <f t="shared" si="42"/>
        <v>1.924269E-2</v>
      </c>
      <c r="I919" s="114">
        <v>0.53062690000000001</v>
      </c>
      <c r="J919" s="269">
        <v>15.42695</v>
      </c>
      <c r="K919" s="272">
        <f t="shared" si="43"/>
        <v>1.542695E-2</v>
      </c>
      <c r="P919" s="114">
        <v>0.53097249999999996</v>
      </c>
      <c r="Q919" s="269">
        <v>15.671139999999999</v>
      </c>
      <c r="R919" s="272">
        <f t="shared" si="44"/>
        <v>1.567114E-2</v>
      </c>
    </row>
    <row r="920" spans="2:18" ht="15" customHeight="1" x14ac:dyDescent="0.25">
      <c r="B920" s="114">
        <v>0.78208679999999997</v>
      </c>
      <c r="C920" s="269">
        <v>19.264040000000001</v>
      </c>
      <c r="D920" s="272">
        <f t="shared" si="42"/>
        <v>1.9264040000000003E-2</v>
      </c>
      <c r="I920" s="114">
        <v>0.53405990000000003</v>
      </c>
      <c r="J920" s="269">
        <v>15.511509999999999</v>
      </c>
      <c r="K920" s="272">
        <f t="shared" si="43"/>
        <v>1.5511509999999999E-2</v>
      </c>
      <c r="P920" s="114">
        <v>0.53440189999999999</v>
      </c>
      <c r="Q920" s="269">
        <v>15.755610000000001</v>
      </c>
      <c r="R920" s="272">
        <f t="shared" si="44"/>
        <v>1.575561E-2</v>
      </c>
    </row>
    <row r="921" spans="2:18" ht="15" customHeight="1" x14ac:dyDescent="0.25">
      <c r="B921" s="114">
        <v>0.78295380000000003</v>
      </c>
      <c r="C921" s="269">
        <v>19.285399999999999</v>
      </c>
      <c r="D921" s="272">
        <f t="shared" si="42"/>
        <v>1.9285399999999998E-2</v>
      </c>
      <c r="I921" s="114">
        <v>0.53749290000000005</v>
      </c>
      <c r="J921" s="269">
        <v>15.596069999999999</v>
      </c>
      <c r="K921" s="272">
        <f t="shared" si="43"/>
        <v>1.559607E-2</v>
      </c>
      <c r="P921" s="114">
        <v>0.53783139999999996</v>
      </c>
      <c r="Q921" s="269">
        <v>15.84009</v>
      </c>
      <c r="R921" s="272">
        <f t="shared" si="44"/>
        <v>1.5840090000000001E-2</v>
      </c>
    </row>
    <row r="922" spans="2:18" ht="15" customHeight="1" x14ac:dyDescent="0.25">
      <c r="B922" s="114">
        <v>0.78382090000000004</v>
      </c>
      <c r="C922" s="269">
        <v>19.306760000000001</v>
      </c>
      <c r="D922" s="272">
        <f t="shared" si="42"/>
        <v>1.9306759999999999E-2</v>
      </c>
      <c r="I922" s="114">
        <v>0.54092580000000001</v>
      </c>
      <c r="J922" s="269">
        <v>15.680630000000001</v>
      </c>
      <c r="K922" s="272">
        <f t="shared" si="43"/>
        <v>1.5680630000000001E-2</v>
      </c>
      <c r="P922" s="114">
        <v>0.54126079999999999</v>
      </c>
      <c r="Q922" s="269">
        <v>15.92456</v>
      </c>
      <c r="R922" s="272">
        <f t="shared" si="44"/>
        <v>1.5924560000000001E-2</v>
      </c>
    </row>
    <row r="923" spans="2:18" ht="15" customHeight="1" x14ac:dyDescent="0.25">
      <c r="B923" s="114">
        <v>0.78468789999999999</v>
      </c>
      <c r="C923" s="269">
        <v>19.328119999999998</v>
      </c>
      <c r="D923" s="272">
        <f t="shared" si="42"/>
        <v>1.9328119999999997E-2</v>
      </c>
      <c r="I923" s="114">
        <v>0.54435880000000003</v>
      </c>
      <c r="J923" s="269">
        <v>15.76519</v>
      </c>
      <c r="K923" s="272">
        <f t="shared" si="43"/>
        <v>1.5765190000000002E-2</v>
      </c>
      <c r="P923" s="114">
        <v>0.54469029999999996</v>
      </c>
      <c r="Q923" s="269">
        <v>16.009029999999999</v>
      </c>
      <c r="R923" s="272">
        <f t="shared" si="44"/>
        <v>1.600903E-2</v>
      </c>
    </row>
    <row r="924" spans="2:18" ht="15" customHeight="1" x14ac:dyDescent="0.25">
      <c r="B924" s="114">
        <v>0.785555</v>
      </c>
      <c r="C924" s="269">
        <v>19.34947</v>
      </c>
      <c r="D924" s="272">
        <f t="shared" si="42"/>
        <v>1.9349470000000001E-2</v>
      </c>
      <c r="I924" s="114">
        <v>0.54779180000000005</v>
      </c>
      <c r="J924" s="269">
        <v>15.84975</v>
      </c>
      <c r="K924" s="272">
        <f t="shared" si="43"/>
        <v>1.5849749999999999E-2</v>
      </c>
      <c r="P924" s="114">
        <v>0.54811969999999999</v>
      </c>
      <c r="Q924" s="269">
        <v>16.093499999999999</v>
      </c>
      <c r="R924" s="272">
        <f t="shared" si="44"/>
        <v>1.60935E-2</v>
      </c>
    </row>
    <row r="925" spans="2:18" ht="15" customHeight="1" x14ac:dyDescent="0.25">
      <c r="B925" s="114">
        <v>0.78642210000000001</v>
      </c>
      <c r="C925" s="269">
        <v>19.370830000000002</v>
      </c>
      <c r="D925" s="272">
        <f t="shared" si="42"/>
        <v>1.9370830000000002E-2</v>
      </c>
      <c r="I925" s="114">
        <v>0.55122479999999996</v>
      </c>
      <c r="J925" s="269">
        <v>15.93431</v>
      </c>
      <c r="K925" s="272">
        <f t="shared" si="43"/>
        <v>1.593431E-2</v>
      </c>
      <c r="P925" s="114">
        <v>0.55154919999999996</v>
      </c>
      <c r="Q925" s="269">
        <v>16.177980000000002</v>
      </c>
      <c r="R925" s="272">
        <f t="shared" si="44"/>
        <v>1.6177980000000002E-2</v>
      </c>
    </row>
    <row r="926" spans="2:18" ht="15" customHeight="1" x14ac:dyDescent="0.25">
      <c r="B926" s="114">
        <v>0.78728909999999996</v>
      </c>
      <c r="C926" s="269">
        <v>19.392189999999999</v>
      </c>
      <c r="D926" s="272">
        <f t="shared" si="42"/>
        <v>1.939219E-2</v>
      </c>
      <c r="I926" s="114">
        <v>0.55465770000000003</v>
      </c>
      <c r="J926" s="269">
        <v>16.01887</v>
      </c>
      <c r="K926" s="272">
        <f t="shared" si="43"/>
        <v>1.6018870000000001E-2</v>
      </c>
      <c r="P926" s="114">
        <v>0.55497859999999999</v>
      </c>
      <c r="Q926" s="269">
        <v>16.262450000000001</v>
      </c>
      <c r="R926" s="272">
        <f t="shared" si="44"/>
        <v>1.6262450000000001E-2</v>
      </c>
    </row>
    <row r="927" spans="2:18" ht="15" customHeight="1" x14ac:dyDescent="0.25">
      <c r="B927" s="114">
        <v>0.78815619999999997</v>
      </c>
      <c r="C927" s="269">
        <v>19.413540000000001</v>
      </c>
      <c r="D927" s="272">
        <f t="shared" si="42"/>
        <v>1.941354E-2</v>
      </c>
      <c r="I927" s="114">
        <v>0.55809070000000005</v>
      </c>
      <c r="J927" s="269">
        <v>16.103429999999999</v>
      </c>
      <c r="K927" s="272">
        <f t="shared" si="43"/>
        <v>1.6103429999999998E-2</v>
      </c>
      <c r="P927" s="114">
        <v>0.55840809999999996</v>
      </c>
      <c r="Q927" s="269">
        <v>16.346920000000001</v>
      </c>
      <c r="R927" s="272">
        <f t="shared" si="44"/>
        <v>1.6346920000000001E-2</v>
      </c>
    </row>
    <row r="928" spans="2:18" ht="15" customHeight="1" x14ac:dyDescent="0.25">
      <c r="B928" s="114">
        <v>0.78902320000000004</v>
      </c>
      <c r="C928" s="269">
        <v>19.434899999999999</v>
      </c>
      <c r="D928" s="272">
        <f t="shared" si="42"/>
        <v>1.9434899999999998E-2</v>
      </c>
      <c r="I928" s="114">
        <v>0.56152369999999996</v>
      </c>
      <c r="J928" s="269">
        <v>16.187989999999999</v>
      </c>
      <c r="K928" s="272">
        <f t="shared" si="43"/>
        <v>1.6187989999999999E-2</v>
      </c>
      <c r="P928" s="114">
        <v>0.56183749999999999</v>
      </c>
      <c r="Q928" s="269">
        <v>16.4314</v>
      </c>
      <c r="R928" s="272">
        <f t="shared" si="44"/>
        <v>1.6431399999999999E-2</v>
      </c>
    </row>
    <row r="929" spans="2:18" ht="15" customHeight="1" x14ac:dyDescent="0.25">
      <c r="B929" s="114">
        <v>0.78989030000000005</v>
      </c>
      <c r="C929" s="269">
        <v>19.45626</v>
      </c>
      <c r="D929" s="272">
        <f t="shared" si="42"/>
        <v>1.945626E-2</v>
      </c>
      <c r="I929" s="114">
        <v>0.56495669999999998</v>
      </c>
      <c r="J929" s="269">
        <v>16.272549999999999</v>
      </c>
      <c r="K929" s="272">
        <f t="shared" si="43"/>
        <v>1.627255E-2</v>
      </c>
      <c r="P929" s="114">
        <v>0.56526699999999996</v>
      </c>
      <c r="Q929" s="269">
        <v>16.51587</v>
      </c>
      <c r="R929" s="272">
        <f t="shared" si="44"/>
        <v>1.6515869999999998E-2</v>
      </c>
    </row>
    <row r="930" spans="2:18" ht="15" customHeight="1" x14ac:dyDescent="0.25">
      <c r="B930" s="114">
        <v>0.7907573</v>
      </c>
      <c r="C930" s="269">
        <v>19.477620000000002</v>
      </c>
      <c r="D930" s="272">
        <f t="shared" si="42"/>
        <v>1.9477620000000001E-2</v>
      </c>
      <c r="I930" s="114">
        <v>0.56838960000000005</v>
      </c>
      <c r="J930" s="269">
        <v>16.357109999999999</v>
      </c>
      <c r="K930" s="272">
        <f t="shared" si="43"/>
        <v>1.6357109999999998E-2</v>
      </c>
      <c r="P930" s="114">
        <v>0.56869639999999999</v>
      </c>
      <c r="Q930" s="269">
        <v>16.600339999999999</v>
      </c>
      <c r="R930" s="272">
        <f t="shared" si="44"/>
        <v>1.6600339999999998E-2</v>
      </c>
    </row>
    <row r="931" spans="2:18" ht="15" customHeight="1" x14ac:dyDescent="0.25">
      <c r="B931" s="114">
        <v>0.79162440000000001</v>
      </c>
      <c r="C931" s="269">
        <v>19.49897</v>
      </c>
      <c r="D931" s="272">
        <f t="shared" si="42"/>
        <v>1.9498970000000001E-2</v>
      </c>
      <c r="I931" s="114">
        <v>0.57182259999999996</v>
      </c>
      <c r="J931" s="269">
        <v>16.441669999999998</v>
      </c>
      <c r="K931" s="272">
        <f t="shared" si="43"/>
        <v>1.6441669999999999E-2</v>
      </c>
      <c r="P931" s="114">
        <v>0.57212580000000002</v>
      </c>
      <c r="Q931" s="269">
        <v>16.684809999999999</v>
      </c>
      <c r="R931" s="272">
        <f t="shared" si="44"/>
        <v>1.6684809999999998E-2</v>
      </c>
    </row>
    <row r="932" spans="2:18" ht="15" customHeight="1" x14ac:dyDescent="0.25">
      <c r="B932" s="114">
        <v>0.79249150000000002</v>
      </c>
      <c r="C932" s="269">
        <v>19.520330000000001</v>
      </c>
      <c r="D932" s="272">
        <f t="shared" si="42"/>
        <v>1.9520330000000002E-2</v>
      </c>
      <c r="I932" s="114">
        <v>0.57525559999999998</v>
      </c>
      <c r="J932" s="269">
        <v>16.526230000000002</v>
      </c>
      <c r="K932" s="272">
        <f t="shared" si="43"/>
        <v>1.6526230000000003E-2</v>
      </c>
      <c r="P932" s="114">
        <v>0.57555529999999999</v>
      </c>
      <c r="Q932" s="269">
        <v>16.769290000000002</v>
      </c>
      <c r="R932" s="272">
        <f t="shared" si="44"/>
        <v>1.6769290000000003E-2</v>
      </c>
    </row>
    <row r="933" spans="2:18" ht="15" customHeight="1" x14ac:dyDescent="0.25">
      <c r="B933" s="114">
        <v>0.79335849999999997</v>
      </c>
      <c r="C933" s="269">
        <v>19.541689999999999</v>
      </c>
      <c r="D933" s="272">
        <f t="shared" si="42"/>
        <v>1.954169E-2</v>
      </c>
      <c r="I933" s="114">
        <v>0.5786886</v>
      </c>
      <c r="J933" s="269">
        <v>16.610790000000001</v>
      </c>
      <c r="K933" s="272">
        <f t="shared" si="43"/>
        <v>1.661079E-2</v>
      </c>
      <c r="P933" s="114">
        <v>0.57898470000000002</v>
      </c>
      <c r="Q933" s="269">
        <v>16.853760000000001</v>
      </c>
      <c r="R933" s="272">
        <f t="shared" si="44"/>
        <v>1.6853760000000002E-2</v>
      </c>
    </row>
    <row r="934" spans="2:18" ht="15" customHeight="1" x14ac:dyDescent="0.25">
      <c r="B934" s="114">
        <v>0.79422559999999998</v>
      </c>
      <c r="C934" s="269">
        <v>19.563040000000001</v>
      </c>
      <c r="D934" s="272">
        <f t="shared" si="42"/>
        <v>1.956304E-2</v>
      </c>
      <c r="I934" s="114">
        <v>0.58212160000000002</v>
      </c>
      <c r="J934" s="269">
        <v>16.695350000000001</v>
      </c>
      <c r="K934" s="272">
        <f t="shared" si="43"/>
        <v>1.6695350000000001E-2</v>
      </c>
      <c r="P934" s="114">
        <v>0.58241419999999999</v>
      </c>
      <c r="Q934" s="269">
        <v>16.938230000000001</v>
      </c>
      <c r="R934" s="272">
        <f t="shared" si="44"/>
        <v>1.6938230000000002E-2</v>
      </c>
    </row>
    <row r="935" spans="2:18" ht="15" customHeight="1" x14ac:dyDescent="0.25">
      <c r="B935" s="114">
        <v>0.79509260000000004</v>
      </c>
      <c r="C935" s="269">
        <v>19.584399999999999</v>
      </c>
      <c r="D935" s="272">
        <f t="shared" si="42"/>
        <v>1.9584399999999998E-2</v>
      </c>
      <c r="I935" s="114">
        <v>0.58555449999999998</v>
      </c>
      <c r="J935" s="269">
        <v>16.779910000000001</v>
      </c>
      <c r="K935" s="272">
        <f t="shared" si="43"/>
        <v>1.6779910000000002E-2</v>
      </c>
      <c r="P935" s="114">
        <v>0.58584360000000002</v>
      </c>
      <c r="Q935" s="269">
        <v>17.02271</v>
      </c>
      <c r="R935" s="272">
        <f t="shared" si="44"/>
        <v>1.702271E-2</v>
      </c>
    </row>
    <row r="936" spans="2:18" ht="15" customHeight="1" x14ac:dyDescent="0.25">
      <c r="B936" s="114">
        <v>0.79595970000000005</v>
      </c>
      <c r="C936" s="269">
        <v>19.60576</v>
      </c>
      <c r="D936" s="272">
        <f t="shared" si="42"/>
        <v>1.960576E-2</v>
      </c>
      <c r="I936" s="114">
        <v>0.5889875</v>
      </c>
      <c r="J936" s="269">
        <v>16.864470000000001</v>
      </c>
      <c r="K936" s="272">
        <f t="shared" si="43"/>
        <v>1.6864469999999999E-2</v>
      </c>
      <c r="P936" s="114">
        <v>0.58927309999999999</v>
      </c>
      <c r="Q936" s="269">
        <v>17.10718</v>
      </c>
      <c r="R936" s="272">
        <f t="shared" si="44"/>
        <v>1.710718E-2</v>
      </c>
    </row>
    <row r="937" spans="2:18" ht="15" customHeight="1" x14ac:dyDescent="0.25">
      <c r="B937" s="114">
        <v>0.79682679999999995</v>
      </c>
      <c r="C937" s="269">
        <v>19.627109999999998</v>
      </c>
      <c r="D937" s="272">
        <f t="shared" si="42"/>
        <v>1.962711E-2</v>
      </c>
      <c r="I937" s="114">
        <v>0.59242050000000002</v>
      </c>
      <c r="J937" s="269">
        <v>16.94903</v>
      </c>
      <c r="K937" s="272">
        <f t="shared" si="43"/>
        <v>1.694903E-2</v>
      </c>
      <c r="P937" s="114">
        <v>0.59270250000000002</v>
      </c>
      <c r="Q937" s="269">
        <v>17.191649999999999</v>
      </c>
      <c r="R937" s="272">
        <f t="shared" si="44"/>
        <v>1.7191649999999999E-2</v>
      </c>
    </row>
    <row r="938" spans="2:18" ht="15" customHeight="1" x14ac:dyDescent="0.25">
      <c r="B938" s="114">
        <v>0.79769380000000001</v>
      </c>
      <c r="C938" s="269">
        <v>19.64847</v>
      </c>
      <c r="D938" s="272">
        <f t="shared" si="42"/>
        <v>1.9648470000000001E-2</v>
      </c>
      <c r="I938" s="114">
        <v>0.59585350000000004</v>
      </c>
      <c r="J938" s="269">
        <v>17.03359</v>
      </c>
      <c r="K938" s="272">
        <f t="shared" si="43"/>
        <v>1.7033590000000001E-2</v>
      </c>
      <c r="P938" s="114">
        <v>0.596132</v>
      </c>
      <c r="Q938" s="269">
        <v>17.276119999999999</v>
      </c>
      <c r="R938" s="272">
        <f t="shared" si="44"/>
        <v>1.7276119999999999E-2</v>
      </c>
    </row>
    <row r="939" spans="2:18" ht="15" customHeight="1" x14ac:dyDescent="0.25">
      <c r="B939" s="114">
        <v>0.79856090000000002</v>
      </c>
      <c r="C939" s="269">
        <v>19.669830000000001</v>
      </c>
      <c r="D939" s="272">
        <f t="shared" si="42"/>
        <v>1.9669830000000003E-2</v>
      </c>
      <c r="I939" s="114">
        <v>0.5992864</v>
      </c>
      <c r="J939" s="269">
        <v>17.11815</v>
      </c>
      <c r="K939" s="272">
        <f t="shared" si="43"/>
        <v>1.7118149999999999E-2</v>
      </c>
      <c r="P939" s="114">
        <v>0.59956140000000002</v>
      </c>
      <c r="Q939" s="269">
        <v>17.360600000000002</v>
      </c>
      <c r="R939" s="272">
        <f t="shared" si="44"/>
        <v>1.73606E-2</v>
      </c>
    </row>
    <row r="940" spans="2:18" ht="15" customHeight="1" x14ac:dyDescent="0.25">
      <c r="B940" s="114">
        <v>0.79942789999999997</v>
      </c>
      <c r="C940" s="269">
        <v>19.691189999999999</v>
      </c>
      <c r="D940" s="272">
        <f t="shared" si="42"/>
        <v>1.9691189999999997E-2</v>
      </c>
      <c r="I940" s="114">
        <v>0.60271940000000002</v>
      </c>
      <c r="J940" s="269">
        <v>17.20271</v>
      </c>
      <c r="K940" s="272">
        <f t="shared" si="43"/>
        <v>1.720271E-2</v>
      </c>
      <c r="P940" s="114">
        <v>0.6029909</v>
      </c>
      <c r="Q940" s="269">
        <v>17.445070000000001</v>
      </c>
      <c r="R940" s="272">
        <f t="shared" si="44"/>
        <v>1.744507E-2</v>
      </c>
    </row>
    <row r="941" spans="2:18" ht="15" customHeight="1" x14ac:dyDescent="0.25">
      <c r="B941" s="114">
        <v>0.80029499999999998</v>
      </c>
      <c r="C941" s="269">
        <v>19.712540000000001</v>
      </c>
      <c r="D941" s="272">
        <f t="shared" si="42"/>
        <v>1.9712540000000001E-2</v>
      </c>
      <c r="I941" s="114">
        <v>0.60615240000000004</v>
      </c>
      <c r="J941" s="269">
        <v>17.287269999999999</v>
      </c>
      <c r="K941" s="272">
        <f t="shared" si="43"/>
        <v>1.728727E-2</v>
      </c>
      <c r="P941" s="114">
        <v>0.60642030000000002</v>
      </c>
      <c r="Q941" s="269">
        <v>17.529540000000001</v>
      </c>
      <c r="R941" s="272">
        <f t="shared" si="44"/>
        <v>1.752954E-2</v>
      </c>
    </row>
    <row r="942" spans="2:18" ht="15" customHeight="1" x14ac:dyDescent="0.25">
      <c r="B942" s="114">
        <v>0.80116209999999999</v>
      </c>
      <c r="C942" s="269">
        <v>19.733899999999998</v>
      </c>
      <c r="D942" s="272">
        <f t="shared" si="42"/>
        <v>1.9733899999999999E-2</v>
      </c>
      <c r="I942" s="114">
        <v>0.60958540000000005</v>
      </c>
      <c r="J942" s="269">
        <v>17.371829999999999</v>
      </c>
      <c r="K942" s="272">
        <f t="shared" si="43"/>
        <v>1.7371829999999998E-2</v>
      </c>
      <c r="P942" s="114">
        <v>0.6098498</v>
      </c>
      <c r="Q942" s="269">
        <v>17.61402</v>
      </c>
      <c r="R942" s="272">
        <f t="shared" si="44"/>
        <v>1.7614020000000001E-2</v>
      </c>
    </row>
    <row r="943" spans="2:18" ht="15" customHeight="1" x14ac:dyDescent="0.25">
      <c r="B943" s="114">
        <v>0.80202910000000005</v>
      </c>
      <c r="C943" s="269">
        <v>19.75526</v>
      </c>
      <c r="D943" s="272">
        <f t="shared" si="42"/>
        <v>1.975526E-2</v>
      </c>
      <c r="I943" s="114">
        <v>0.61301830000000002</v>
      </c>
      <c r="J943" s="269">
        <v>17.456389999999999</v>
      </c>
      <c r="K943" s="272">
        <f t="shared" si="43"/>
        <v>1.7456389999999999E-2</v>
      </c>
      <c r="P943" s="114">
        <v>0.61327920000000002</v>
      </c>
      <c r="Q943" s="269">
        <v>17.69849</v>
      </c>
      <c r="R943" s="272">
        <f t="shared" si="44"/>
        <v>1.7698490000000001E-2</v>
      </c>
    </row>
    <row r="944" spans="2:18" ht="15" customHeight="1" x14ac:dyDescent="0.25">
      <c r="B944" s="114">
        <v>0.80289619999999995</v>
      </c>
      <c r="C944" s="269">
        <v>19.776610000000002</v>
      </c>
      <c r="D944" s="272">
        <f t="shared" si="42"/>
        <v>1.977661E-2</v>
      </c>
      <c r="I944" s="114">
        <v>0.61645130000000004</v>
      </c>
      <c r="J944" s="269">
        <v>17.540949999999999</v>
      </c>
      <c r="K944" s="272">
        <f t="shared" si="43"/>
        <v>1.754095E-2</v>
      </c>
      <c r="P944" s="114">
        <v>0.6167087</v>
      </c>
      <c r="Q944" s="269">
        <v>17.782959999999999</v>
      </c>
      <c r="R944" s="272">
        <f t="shared" si="44"/>
        <v>1.778296E-2</v>
      </c>
    </row>
    <row r="945" spans="2:18" ht="15" customHeight="1" x14ac:dyDescent="0.25">
      <c r="B945" s="114">
        <v>0.80376320000000001</v>
      </c>
      <c r="C945" s="269">
        <v>19.797969999999999</v>
      </c>
      <c r="D945" s="272">
        <f t="shared" si="42"/>
        <v>1.9797969999999998E-2</v>
      </c>
      <c r="I945" s="114">
        <v>0.61988430000000005</v>
      </c>
      <c r="J945" s="269">
        <v>17.625509999999998</v>
      </c>
      <c r="K945" s="272">
        <f t="shared" si="43"/>
        <v>1.7625509999999997E-2</v>
      </c>
      <c r="P945" s="114">
        <v>0.62013810000000003</v>
      </c>
      <c r="Q945" s="269">
        <v>17.867439999999998</v>
      </c>
      <c r="R945" s="272">
        <f t="shared" si="44"/>
        <v>1.7867439999999998E-2</v>
      </c>
    </row>
    <row r="946" spans="2:18" ht="15" customHeight="1" x14ac:dyDescent="0.25">
      <c r="B946" s="114">
        <v>0.80463030000000002</v>
      </c>
      <c r="C946" s="269">
        <v>19.819330000000001</v>
      </c>
      <c r="D946" s="272">
        <f t="shared" si="42"/>
        <v>1.981933E-2</v>
      </c>
      <c r="I946" s="114">
        <v>0.62331729999999996</v>
      </c>
      <c r="J946" s="269">
        <v>17.710070000000002</v>
      </c>
      <c r="K946" s="272">
        <f t="shared" si="43"/>
        <v>1.7710070000000001E-2</v>
      </c>
      <c r="P946" s="114">
        <v>0.6235676</v>
      </c>
      <c r="Q946" s="269">
        <v>17.951910000000002</v>
      </c>
      <c r="R946" s="272">
        <f t="shared" si="44"/>
        <v>1.7951910000000001E-2</v>
      </c>
    </row>
    <row r="947" spans="2:18" ht="15" customHeight="1" x14ac:dyDescent="0.25">
      <c r="B947" s="114">
        <v>0.80549729999999997</v>
      </c>
      <c r="C947" s="269">
        <v>19.840679999999999</v>
      </c>
      <c r="D947" s="272">
        <f t="shared" si="42"/>
        <v>1.9840679999999999E-2</v>
      </c>
      <c r="I947" s="114">
        <v>0.62675020000000004</v>
      </c>
      <c r="J947" s="269">
        <v>17.794630000000002</v>
      </c>
      <c r="K947" s="272">
        <f t="shared" si="43"/>
        <v>1.7794630000000002E-2</v>
      </c>
      <c r="P947" s="114">
        <v>0.62699700000000003</v>
      </c>
      <c r="Q947" s="269">
        <v>18.036380000000001</v>
      </c>
      <c r="R947" s="272">
        <f t="shared" si="44"/>
        <v>1.8036380000000001E-2</v>
      </c>
    </row>
    <row r="948" spans="2:18" ht="15" customHeight="1" x14ac:dyDescent="0.25">
      <c r="B948" s="114">
        <v>0.80636439999999998</v>
      </c>
      <c r="C948" s="269">
        <v>19.86204</v>
      </c>
      <c r="D948" s="272">
        <f t="shared" si="42"/>
        <v>1.9862040000000001E-2</v>
      </c>
      <c r="I948" s="114">
        <v>0.63018320000000005</v>
      </c>
      <c r="J948" s="269">
        <v>17.879190000000001</v>
      </c>
      <c r="K948" s="272">
        <f t="shared" si="43"/>
        <v>1.787919E-2</v>
      </c>
      <c r="P948" s="114">
        <v>0.6304265</v>
      </c>
      <c r="Q948" s="269">
        <v>18.120850000000001</v>
      </c>
      <c r="R948" s="272">
        <f t="shared" si="44"/>
        <v>1.8120850000000001E-2</v>
      </c>
    </row>
    <row r="949" spans="2:18" ht="15" customHeight="1" x14ac:dyDescent="0.25">
      <c r="B949" s="114">
        <v>0.80723149999999999</v>
      </c>
      <c r="C949" s="269">
        <v>19.883400000000002</v>
      </c>
      <c r="D949" s="272">
        <f t="shared" si="42"/>
        <v>1.9883400000000002E-2</v>
      </c>
      <c r="I949" s="114">
        <v>0.63361619999999996</v>
      </c>
      <c r="J949" s="269">
        <v>17.963750000000001</v>
      </c>
      <c r="K949" s="272">
        <f t="shared" si="43"/>
        <v>1.7963750000000001E-2</v>
      </c>
      <c r="P949" s="114">
        <v>0.63385590000000003</v>
      </c>
      <c r="Q949" s="269">
        <v>18.20533</v>
      </c>
      <c r="R949" s="272">
        <f t="shared" si="44"/>
        <v>1.8205329999999999E-2</v>
      </c>
    </row>
    <row r="950" spans="2:18" ht="15" customHeight="1" x14ac:dyDescent="0.25">
      <c r="B950" s="114">
        <v>0.80809850000000005</v>
      </c>
      <c r="C950" s="269">
        <v>19.90476</v>
      </c>
      <c r="D950" s="272">
        <f t="shared" si="42"/>
        <v>1.9904760000000001E-2</v>
      </c>
      <c r="I950" s="114">
        <v>0.63704919999999998</v>
      </c>
      <c r="J950" s="269">
        <v>18.048310000000001</v>
      </c>
      <c r="K950" s="272">
        <f t="shared" si="43"/>
        <v>1.8048310000000001E-2</v>
      </c>
      <c r="P950" s="114">
        <v>0.6372854</v>
      </c>
      <c r="Q950" s="269">
        <v>18.2898</v>
      </c>
      <c r="R950" s="272">
        <f t="shared" si="44"/>
        <v>1.8289799999999998E-2</v>
      </c>
    </row>
    <row r="951" spans="2:18" ht="15" customHeight="1" x14ac:dyDescent="0.25">
      <c r="B951" s="114">
        <v>0.80896559999999995</v>
      </c>
      <c r="C951" s="269">
        <v>19.926110000000001</v>
      </c>
      <c r="D951" s="272">
        <f t="shared" si="42"/>
        <v>1.992611E-2</v>
      </c>
      <c r="I951" s="114">
        <v>0.64048210000000005</v>
      </c>
      <c r="J951" s="269">
        <v>18.13287</v>
      </c>
      <c r="K951" s="272">
        <f t="shared" si="43"/>
        <v>1.8132869999999999E-2</v>
      </c>
      <c r="P951" s="114">
        <v>0.64071480000000003</v>
      </c>
      <c r="Q951" s="269">
        <v>18.374269999999999</v>
      </c>
      <c r="R951" s="272">
        <f t="shared" si="44"/>
        <v>1.8374269999999998E-2</v>
      </c>
    </row>
    <row r="952" spans="2:18" ht="15" customHeight="1" x14ac:dyDescent="0.25">
      <c r="B952" s="114">
        <v>0.80983260000000001</v>
      </c>
      <c r="C952" s="269">
        <v>19.947469999999999</v>
      </c>
      <c r="D952" s="272">
        <f t="shared" si="42"/>
        <v>1.9947469999999998E-2</v>
      </c>
      <c r="I952" s="114">
        <v>0.64391509999999996</v>
      </c>
      <c r="J952" s="269">
        <v>18.217420000000001</v>
      </c>
      <c r="K952" s="272">
        <f t="shared" si="43"/>
        <v>1.8217420000000002E-2</v>
      </c>
      <c r="P952" s="114">
        <v>0.6441443</v>
      </c>
      <c r="Q952" s="269">
        <v>18.458749999999998</v>
      </c>
      <c r="R952" s="272">
        <f t="shared" si="44"/>
        <v>1.8458749999999999E-2</v>
      </c>
    </row>
    <row r="953" spans="2:18" ht="15" customHeight="1" x14ac:dyDescent="0.25">
      <c r="B953" s="114">
        <v>0.81069970000000002</v>
      </c>
      <c r="C953" s="269">
        <v>19.968830000000001</v>
      </c>
      <c r="D953" s="272">
        <f t="shared" si="42"/>
        <v>1.996883E-2</v>
      </c>
      <c r="I953" s="114">
        <v>0.64734809999999998</v>
      </c>
      <c r="J953" s="269">
        <v>18.30198</v>
      </c>
      <c r="K953" s="272">
        <f t="shared" si="43"/>
        <v>1.8301979999999999E-2</v>
      </c>
      <c r="P953" s="114">
        <v>0.64757370000000003</v>
      </c>
      <c r="Q953" s="269">
        <v>18.543220000000002</v>
      </c>
      <c r="R953" s="272">
        <f t="shared" si="44"/>
        <v>1.8543220000000003E-2</v>
      </c>
    </row>
    <row r="954" spans="2:18" ht="15" customHeight="1" x14ac:dyDescent="0.25">
      <c r="B954" s="114">
        <v>0.81156680000000003</v>
      </c>
      <c r="C954" s="269">
        <v>19.990179999999999</v>
      </c>
      <c r="D954" s="272">
        <f t="shared" si="42"/>
        <v>1.999018E-2</v>
      </c>
      <c r="I954" s="114">
        <v>0.6507811</v>
      </c>
      <c r="J954" s="269">
        <v>18.38654</v>
      </c>
      <c r="K954" s="272">
        <f t="shared" si="43"/>
        <v>1.838654E-2</v>
      </c>
      <c r="P954" s="114">
        <v>0.6510032</v>
      </c>
      <c r="Q954" s="269">
        <v>18.627690000000001</v>
      </c>
      <c r="R954" s="272">
        <f t="shared" si="44"/>
        <v>1.8627690000000002E-2</v>
      </c>
    </row>
    <row r="955" spans="2:18" ht="15" customHeight="1" x14ac:dyDescent="0.25">
      <c r="B955" s="114">
        <v>0.81243379999999998</v>
      </c>
      <c r="C955" s="269">
        <v>20.01154</v>
      </c>
      <c r="D955" s="272">
        <f t="shared" si="42"/>
        <v>2.0011540000000001E-2</v>
      </c>
      <c r="I955" s="114">
        <v>0.65421399999999996</v>
      </c>
      <c r="J955" s="269">
        <v>18.4711</v>
      </c>
      <c r="K955" s="272">
        <f t="shared" si="43"/>
        <v>1.8471100000000001E-2</v>
      </c>
      <c r="P955" s="114">
        <v>0.65443260000000003</v>
      </c>
      <c r="Q955" s="269">
        <v>18.712160000000001</v>
      </c>
      <c r="R955" s="272">
        <f t="shared" si="44"/>
        <v>1.8712160000000002E-2</v>
      </c>
    </row>
    <row r="956" spans="2:18" ht="15" customHeight="1" x14ac:dyDescent="0.25">
      <c r="B956" s="114">
        <v>0.81330089999999999</v>
      </c>
      <c r="C956" s="269">
        <v>20.032900000000001</v>
      </c>
      <c r="D956" s="272">
        <f t="shared" si="42"/>
        <v>2.0032900000000003E-2</v>
      </c>
      <c r="I956" s="114">
        <v>0.65764699999999998</v>
      </c>
      <c r="J956" s="269">
        <v>18.55566</v>
      </c>
      <c r="K956" s="272">
        <f t="shared" si="43"/>
        <v>1.8555659999999998E-2</v>
      </c>
      <c r="P956" s="114">
        <v>0.65786210000000001</v>
      </c>
      <c r="Q956" s="269">
        <v>18.79664</v>
      </c>
      <c r="R956" s="272">
        <f t="shared" si="44"/>
        <v>1.879664E-2</v>
      </c>
    </row>
    <row r="957" spans="2:18" ht="15" customHeight="1" x14ac:dyDescent="0.25">
      <c r="B957" s="114">
        <v>0.81416790000000006</v>
      </c>
      <c r="C957" s="269">
        <v>20.054259999999999</v>
      </c>
      <c r="D957" s="272">
        <f t="shared" si="42"/>
        <v>2.0054260000000001E-2</v>
      </c>
      <c r="I957" s="114">
        <v>0.66108</v>
      </c>
      <c r="J957" s="269">
        <v>18.640219999999999</v>
      </c>
      <c r="K957" s="272">
        <f t="shared" si="43"/>
        <v>1.8640219999999999E-2</v>
      </c>
      <c r="P957" s="114">
        <v>0.66129150000000003</v>
      </c>
      <c r="Q957" s="269">
        <v>18.88111</v>
      </c>
      <c r="R957" s="272">
        <f t="shared" si="44"/>
        <v>1.888111E-2</v>
      </c>
    </row>
    <row r="958" spans="2:18" ht="15" customHeight="1" x14ac:dyDescent="0.25">
      <c r="B958" s="114">
        <v>0.81503499999999995</v>
      </c>
      <c r="C958" s="269">
        <v>20.075610000000001</v>
      </c>
      <c r="D958" s="272">
        <f t="shared" si="42"/>
        <v>2.0075610000000001E-2</v>
      </c>
      <c r="I958" s="114">
        <v>0.66451300000000002</v>
      </c>
      <c r="J958" s="269">
        <v>18.724779999999999</v>
      </c>
      <c r="K958" s="272">
        <f t="shared" si="43"/>
        <v>1.872478E-2</v>
      </c>
      <c r="P958" s="114">
        <v>0.66472100000000001</v>
      </c>
      <c r="Q958" s="269">
        <v>18.965579999999999</v>
      </c>
      <c r="R958" s="272">
        <f t="shared" si="44"/>
        <v>1.8965579999999999E-2</v>
      </c>
    </row>
    <row r="959" spans="2:18" ht="15" customHeight="1" x14ac:dyDescent="0.25">
      <c r="B959" s="114">
        <v>0.81590200000000002</v>
      </c>
      <c r="C959" s="269">
        <v>20.096969999999999</v>
      </c>
      <c r="D959" s="272">
        <f t="shared" si="42"/>
        <v>2.0096969999999999E-2</v>
      </c>
      <c r="I959" s="114">
        <v>0.66794589999999998</v>
      </c>
      <c r="J959" s="269">
        <v>18.809339999999999</v>
      </c>
      <c r="K959" s="272">
        <f t="shared" si="43"/>
        <v>1.8809339999999997E-2</v>
      </c>
      <c r="P959" s="114">
        <v>0.66815040000000003</v>
      </c>
      <c r="Q959" s="269">
        <v>19.050059999999998</v>
      </c>
      <c r="R959" s="272">
        <f t="shared" si="44"/>
        <v>1.9050059999999997E-2</v>
      </c>
    </row>
    <row r="960" spans="2:18" ht="15" customHeight="1" x14ac:dyDescent="0.25">
      <c r="B960" s="114">
        <v>0.81676910000000003</v>
      </c>
      <c r="C960" s="269">
        <v>20.11833</v>
      </c>
      <c r="D960" s="272">
        <f t="shared" si="42"/>
        <v>2.011833E-2</v>
      </c>
      <c r="I960" s="114">
        <v>0.6713789</v>
      </c>
      <c r="J960" s="269">
        <v>18.893899999999999</v>
      </c>
      <c r="K960" s="272">
        <f t="shared" si="43"/>
        <v>1.8893899999999998E-2</v>
      </c>
      <c r="P960" s="114">
        <v>0.67157990000000001</v>
      </c>
      <c r="Q960" s="269">
        <v>19.134530000000002</v>
      </c>
      <c r="R960" s="272">
        <f t="shared" si="44"/>
        <v>1.913453E-2</v>
      </c>
    </row>
    <row r="961" spans="2:18" ht="15" customHeight="1" x14ac:dyDescent="0.25">
      <c r="B961" s="114">
        <v>0.81763620000000004</v>
      </c>
      <c r="C961" s="269">
        <v>20.139679999999998</v>
      </c>
      <c r="D961" s="272">
        <f t="shared" si="42"/>
        <v>2.013968E-2</v>
      </c>
      <c r="I961" s="114">
        <v>0.67481190000000002</v>
      </c>
      <c r="J961" s="269">
        <v>18.978459999999998</v>
      </c>
      <c r="K961" s="272">
        <f t="shared" si="43"/>
        <v>1.8978459999999999E-2</v>
      </c>
      <c r="P961" s="114">
        <v>0.67500930000000003</v>
      </c>
      <c r="Q961" s="269">
        <v>19.219000000000001</v>
      </c>
      <c r="R961" s="272">
        <f t="shared" si="44"/>
        <v>1.9219E-2</v>
      </c>
    </row>
    <row r="962" spans="2:18" ht="15" customHeight="1" x14ac:dyDescent="0.25">
      <c r="B962" s="114">
        <v>0.81850319999999999</v>
      </c>
      <c r="C962" s="269">
        <v>20.16104</v>
      </c>
      <c r="D962" s="272">
        <f t="shared" si="42"/>
        <v>2.0161039999999998E-2</v>
      </c>
      <c r="I962" s="114">
        <v>0.67824490000000004</v>
      </c>
      <c r="J962" s="269">
        <v>19.063020000000002</v>
      </c>
      <c r="K962" s="272">
        <f t="shared" si="43"/>
        <v>1.906302E-2</v>
      </c>
      <c r="P962" s="114">
        <v>0.67843880000000001</v>
      </c>
      <c r="Q962" s="269">
        <v>19.303470000000001</v>
      </c>
      <c r="R962" s="272">
        <f t="shared" si="44"/>
        <v>1.930347E-2</v>
      </c>
    </row>
    <row r="963" spans="2:18" ht="15" customHeight="1" x14ac:dyDescent="0.25">
      <c r="B963" s="114">
        <v>0.8193703</v>
      </c>
      <c r="C963" s="269">
        <v>20.182400000000001</v>
      </c>
      <c r="D963" s="272">
        <f t="shared" si="42"/>
        <v>2.01824E-2</v>
      </c>
      <c r="I963" s="114">
        <v>0.6816778</v>
      </c>
      <c r="J963" s="269">
        <v>19.147580000000001</v>
      </c>
      <c r="K963" s="272">
        <f t="shared" si="43"/>
        <v>1.9147580000000001E-2</v>
      </c>
      <c r="P963" s="114">
        <v>0.68186820000000004</v>
      </c>
      <c r="Q963" s="269">
        <v>19.38795</v>
      </c>
      <c r="R963" s="272">
        <f t="shared" si="44"/>
        <v>1.9387950000000001E-2</v>
      </c>
    </row>
    <row r="964" spans="2:18" ht="15" customHeight="1" x14ac:dyDescent="0.25">
      <c r="B964" s="114">
        <v>0.82023729999999995</v>
      </c>
      <c r="C964" s="269">
        <v>20.203749999999999</v>
      </c>
      <c r="D964" s="272">
        <f t="shared" si="42"/>
        <v>2.0203749999999999E-2</v>
      </c>
      <c r="I964" s="114">
        <v>0.68511080000000002</v>
      </c>
      <c r="J964" s="269">
        <v>19.232140000000001</v>
      </c>
      <c r="K964" s="272">
        <f t="shared" si="43"/>
        <v>1.9232140000000002E-2</v>
      </c>
      <c r="P964" s="114">
        <v>0.68529770000000001</v>
      </c>
      <c r="Q964" s="269">
        <v>19.47242</v>
      </c>
      <c r="R964" s="272">
        <f t="shared" si="44"/>
        <v>1.9472420000000001E-2</v>
      </c>
    </row>
    <row r="965" spans="2:18" ht="15" customHeight="1" x14ac:dyDescent="0.25">
      <c r="B965" s="114">
        <v>0.82110439999999996</v>
      </c>
      <c r="C965" s="269">
        <v>20.225110000000001</v>
      </c>
      <c r="D965" s="272">
        <f t="shared" si="42"/>
        <v>2.0225110000000001E-2</v>
      </c>
      <c r="I965" s="114">
        <v>0.68854380000000004</v>
      </c>
      <c r="J965" s="269">
        <v>19.316700000000001</v>
      </c>
      <c r="K965" s="272">
        <f t="shared" si="43"/>
        <v>1.9316699999999999E-2</v>
      </c>
      <c r="P965" s="114">
        <v>0.68872710000000004</v>
      </c>
      <c r="Q965" s="269">
        <v>19.556889999999999</v>
      </c>
      <c r="R965" s="272">
        <f t="shared" si="44"/>
        <v>1.955689E-2</v>
      </c>
    </row>
    <row r="966" spans="2:18" ht="15" customHeight="1" x14ac:dyDescent="0.25">
      <c r="B966" s="114">
        <v>0.82197149999999997</v>
      </c>
      <c r="C966" s="269">
        <v>20.246469999999999</v>
      </c>
      <c r="D966" s="272">
        <f t="shared" si="42"/>
        <v>2.0246469999999999E-2</v>
      </c>
      <c r="I966" s="114">
        <v>0.69197679999999995</v>
      </c>
      <c r="J966" s="269">
        <v>19.401260000000001</v>
      </c>
      <c r="K966" s="272">
        <f t="shared" si="43"/>
        <v>1.940126E-2</v>
      </c>
      <c r="P966" s="114">
        <v>0.69215660000000001</v>
      </c>
      <c r="Q966" s="269">
        <v>19.641369999999998</v>
      </c>
      <c r="R966" s="272">
        <f t="shared" si="44"/>
        <v>1.9641369999999998E-2</v>
      </c>
    </row>
    <row r="967" spans="2:18" ht="15" customHeight="1" x14ac:dyDescent="0.25">
      <c r="B967" s="114">
        <v>0.82283850000000003</v>
      </c>
      <c r="C967" s="269">
        <v>20.26783</v>
      </c>
      <c r="D967" s="272">
        <f t="shared" si="42"/>
        <v>2.0267830000000001E-2</v>
      </c>
      <c r="I967" s="114">
        <v>0.69540970000000002</v>
      </c>
      <c r="J967" s="269">
        <v>19.48582</v>
      </c>
      <c r="K967" s="272">
        <f t="shared" si="43"/>
        <v>1.9485820000000001E-2</v>
      </c>
      <c r="P967" s="114">
        <v>0.69558600000000004</v>
      </c>
      <c r="Q967" s="269">
        <v>19.725840000000002</v>
      </c>
      <c r="R967" s="272">
        <f t="shared" si="44"/>
        <v>1.9725840000000001E-2</v>
      </c>
    </row>
    <row r="968" spans="2:18" ht="15" customHeight="1" x14ac:dyDescent="0.25">
      <c r="B968" s="114">
        <v>0.82370560000000004</v>
      </c>
      <c r="C968" s="269">
        <v>20.289180000000002</v>
      </c>
      <c r="D968" s="272">
        <f t="shared" si="42"/>
        <v>2.028918E-2</v>
      </c>
      <c r="I968" s="114">
        <v>0.69884270000000004</v>
      </c>
      <c r="J968" s="269">
        <v>19.57038</v>
      </c>
      <c r="K968" s="272">
        <f t="shared" si="43"/>
        <v>1.9570380000000002E-2</v>
      </c>
      <c r="P968" s="114">
        <v>0.69901550000000001</v>
      </c>
      <c r="Q968" s="269">
        <v>19.810310000000001</v>
      </c>
      <c r="R968" s="272">
        <f t="shared" si="44"/>
        <v>1.9810310000000001E-2</v>
      </c>
    </row>
    <row r="969" spans="2:18" ht="15" customHeight="1" x14ac:dyDescent="0.25">
      <c r="B969" s="114">
        <v>0.82457259999999999</v>
      </c>
      <c r="C969" s="269">
        <v>20.31054</v>
      </c>
      <c r="D969" s="272">
        <f t="shared" si="42"/>
        <v>2.0310539999999998E-2</v>
      </c>
      <c r="I969" s="114">
        <v>0.70227569999999995</v>
      </c>
      <c r="J969" s="269">
        <v>19.65494</v>
      </c>
      <c r="K969" s="272">
        <f t="shared" si="43"/>
        <v>1.9654939999999999E-2</v>
      </c>
      <c r="P969" s="114">
        <v>0.70244490000000004</v>
      </c>
      <c r="Q969" s="269">
        <v>19.894780000000001</v>
      </c>
      <c r="R969" s="272">
        <f t="shared" si="44"/>
        <v>1.9894780000000001E-2</v>
      </c>
    </row>
    <row r="970" spans="2:18" ht="15" customHeight="1" x14ac:dyDescent="0.25">
      <c r="B970" s="114">
        <v>0.8254397</v>
      </c>
      <c r="C970" s="269">
        <v>20.331900000000001</v>
      </c>
      <c r="D970" s="272">
        <f t="shared" si="42"/>
        <v>2.03319E-2</v>
      </c>
      <c r="I970" s="114">
        <v>0.70570869999999997</v>
      </c>
      <c r="J970" s="269">
        <v>19.7395</v>
      </c>
      <c r="K970" s="272">
        <f t="shared" si="43"/>
        <v>1.97395E-2</v>
      </c>
      <c r="P970" s="114">
        <v>0.70587440000000001</v>
      </c>
      <c r="Q970" s="269">
        <v>19.97926</v>
      </c>
      <c r="R970" s="272">
        <f t="shared" si="44"/>
        <v>1.9979259999999999E-2</v>
      </c>
    </row>
    <row r="971" spans="2:18" ht="15" customHeight="1" x14ac:dyDescent="0.25">
      <c r="B971" s="114">
        <v>0.82630669999999995</v>
      </c>
      <c r="C971" s="269">
        <v>20.353249999999999</v>
      </c>
      <c r="D971" s="272">
        <f t="shared" si="42"/>
        <v>2.035325E-2</v>
      </c>
      <c r="I971" s="114">
        <v>0.70914160000000004</v>
      </c>
      <c r="J971" s="269">
        <v>19.824059999999999</v>
      </c>
      <c r="K971" s="272">
        <f t="shared" si="43"/>
        <v>1.9824060000000001E-2</v>
      </c>
      <c r="P971" s="114">
        <v>0.70930380000000004</v>
      </c>
      <c r="Q971" s="269">
        <v>20.06373</v>
      </c>
      <c r="R971" s="272">
        <f t="shared" si="44"/>
        <v>2.0063729999999998E-2</v>
      </c>
    </row>
    <row r="972" spans="2:18" ht="15" customHeight="1" x14ac:dyDescent="0.25">
      <c r="B972" s="114">
        <v>0.82717379999999996</v>
      </c>
      <c r="C972" s="269">
        <v>20.374610000000001</v>
      </c>
      <c r="D972" s="272">
        <f t="shared" si="42"/>
        <v>2.0374610000000001E-2</v>
      </c>
      <c r="I972" s="114">
        <v>0.71257459999999995</v>
      </c>
      <c r="J972" s="269">
        <v>19.908619999999999</v>
      </c>
      <c r="K972" s="272">
        <f t="shared" si="43"/>
        <v>1.9908619999999998E-2</v>
      </c>
      <c r="P972" s="114">
        <v>0.71273330000000001</v>
      </c>
      <c r="Q972" s="269">
        <v>20.148199999999999</v>
      </c>
      <c r="R972" s="272">
        <f t="shared" si="44"/>
        <v>2.0148199999999998E-2</v>
      </c>
    </row>
    <row r="973" spans="2:18" ht="15" customHeight="1" x14ac:dyDescent="0.25">
      <c r="B973" s="114">
        <v>0.82804089999999997</v>
      </c>
      <c r="C973" s="269">
        <v>20.395969999999998</v>
      </c>
      <c r="D973" s="272">
        <f t="shared" si="42"/>
        <v>2.0395969999999999E-2</v>
      </c>
      <c r="I973" s="114">
        <v>0.71600759999999997</v>
      </c>
      <c r="J973" s="269">
        <v>19.993179999999999</v>
      </c>
      <c r="K973" s="272">
        <f t="shared" si="43"/>
        <v>1.9993179999999999E-2</v>
      </c>
      <c r="P973" s="114">
        <v>0.71616270000000004</v>
      </c>
      <c r="Q973" s="269">
        <v>20.232679999999998</v>
      </c>
      <c r="R973" s="272">
        <f t="shared" si="44"/>
        <v>2.0232679999999999E-2</v>
      </c>
    </row>
    <row r="974" spans="2:18" ht="15" customHeight="1" x14ac:dyDescent="0.25">
      <c r="B974" s="114">
        <v>0.82890790000000003</v>
      </c>
      <c r="C974" s="269">
        <v>20.41732</v>
      </c>
      <c r="D974" s="272">
        <f t="shared" si="42"/>
        <v>2.0417319999999999E-2</v>
      </c>
      <c r="I974" s="114">
        <v>0.71944059999999999</v>
      </c>
      <c r="J974" s="269">
        <v>20.077739999999999</v>
      </c>
      <c r="K974" s="272">
        <f t="shared" si="43"/>
        <v>2.007774E-2</v>
      </c>
      <c r="P974" s="114">
        <v>0.71959220000000002</v>
      </c>
      <c r="Q974" s="269">
        <v>20.317150000000002</v>
      </c>
      <c r="R974" s="272">
        <f t="shared" si="44"/>
        <v>2.0317150000000003E-2</v>
      </c>
    </row>
    <row r="975" spans="2:18" ht="15" customHeight="1" x14ac:dyDescent="0.25">
      <c r="B975" s="114">
        <v>0.82977500000000004</v>
      </c>
      <c r="C975" s="269">
        <v>20.438680000000002</v>
      </c>
      <c r="D975" s="272">
        <f t="shared" si="42"/>
        <v>2.0438680000000001E-2</v>
      </c>
      <c r="I975" s="114">
        <v>0.72287349999999995</v>
      </c>
      <c r="J975" s="269">
        <v>20.162299999999998</v>
      </c>
      <c r="K975" s="272">
        <f t="shared" si="43"/>
        <v>2.0162299999999998E-2</v>
      </c>
      <c r="P975" s="114">
        <v>0.72302160000000004</v>
      </c>
      <c r="Q975" s="269">
        <v>20.401620000000001</v>
      </c>
      <c r="R975" s="272">
        <f t="shared" si="44"/>
        <v>2.0401620000000002E-2</v>
      </c>
    </row>
    <row r="976" spans="2:18" ht="15" customHeight="1" x14ac:dyDescent="0.25">
      <c r="B976" s="114">
        <v>0.83064199999999999</v>
      </c>
      <c r="C976" s="269">
        <v>20.460039999999999</v>
      </c>
      <c r="D976" s="272">
        <f t="shared" si="42"/>
        <v>2.0460039999999999E-2</v>
      </c>
      <c r="I976" s="114">
        <v>0.72630649999999997</v>
      </c>
      <c r="J976" s="269">
        <v>20.246860000000002</v>
      </c>
      <c r="K976" s="272">
        <f t="shared" si="43"/>
        <v>2.0246860000000002E-2</v>
      </c>
      <c r="P976" s="114">
        <v>0.72645110000000002</v>
      </c>
      <c r="Q976" s="269">
        <v>20.486090000000001</v>
      </c>
      <c r="R976" s="272">
        <f t="shared" si="44"/>
        <v>2.0486090000000002E-2</v>
      </c>
    </row>
    <row r="977" spans="2:18" ht="15" customHeight="1" x14ac:dyDescent="0.25">
      <c r="B977" s="114">
        <v>0.8315091</v>
      </c>
      <c r="C977" s="269">
        <v>20.481400000000001</v>
      </c>
      <c r="D977" s="272">
        <f t="shared" si="42"/>
        <v>2.04814E-2</v>
      </c>
      <c r="I977" s="114">
        <v>0.72973949999999999</v>
      </c>
      <c r="J977" s="269">
        <v>20.331420000000001</v>
      </c>
      <c r="K977" s="272">
        <f t="shared" si="43"/>
        <v>2.0331420000000003E-2</v>
      </c>
      <c r="P977" s="114">
        <v>0.72988050000000004</v>
      </c>
      <c r="Q977" s="269">
        <v>20.57057</v>
      </c>
      <c r="R977" s="272">
        <f t="shared" si="44"/>
        <v>2.057057E-2</v>
      </c>
    </row>
    <row r="978" spans="2:18" ht="15" customHeight="1" x14ac:dyDescent="0.25">
      <c r="B978" s="114">
        <v>0.83237620000000001</v>
      </c>
      <c r="C978" s="269">
        <v>20.502749999999999</v>
      </c>
      <c r="D978" s="272">
        <f t="shared" ref="D978:D1041" si="45">C978/1000</f>
        <v>2.050275E-2</v>
      </c>
      <c r="I978" s="114">
        <v>0.7331725</v>
      </c>
      <c r="J978" s="269">
        <v>20.415980000000001</v>
      </c>
      <c r="K978" s="272">
        <f t="shared" ref="K978:K1041" si="46">J978/1000</f>
        <v>2.041598E-2</v>
      </c>
      <c r="P978" s="114">
        <v>0.73331000000000002</v>
      </c>
      <c r="Q978" s="269">
        <v>20.65504</v>
      </c>
      <c r="R978" s="272">
        <f t="shared" ref="R978:R1041" si="47">Q978/1000</f>
        <v>2.065504E-2</v>
      </c>
    </row>
    <row r="979" spans="2:18" ht="15" customHeight="1" x14ac:dyDescent="0.25">
      <c r="B979" s="114">
        <v>0.83324319999999996</v>
      </c>
      <c r="C979" s="269">
        <v>20.52411</v>
      </c>
      <c r="D979" s="272">
        <f t="shared" si="45"/>
        <v>2.0524110000000002E-2</v>
      </c>
      <c r="I979" s="114">
        <v>0.73660539999999997</v>
      </c>
      <c r="J979" s="269">
        <v>20.500540000000001</v>
      </c>
      <c r="K979" s="272">
        <f t="shared" si="46"/>
        <v>2.0500540000000001E-2</v>
      </c>
      <c r="P979" s="114">
        <v>0.73673940000000004</v>
      </c>
      <c r="Q979" s="269">
        <v>20.739509999999999</v>
      </c>
      <c r="R979" s="272">
        <f t="shared" si="47"/>
        <v>2.0739509999999999E-2</v>
      </c>
    </row>
    <row r="980" spans="2:18" ht="15" customHeight="1" x14ac:dyDescent="0.25">
      <c r="B980" s="114">
        <v>0.83411029999999997</v>
      </c>
      <c r="C980" s="269">
        <v>20.545470000000002</v>
      </c>
      <c r="D980" s="272">
        <f t="shared" si="45"/>
        <v>2.0545470000000003E-2</v>
      </c>
      <c r="I980" s="114">
        <v>0.74003839999999999</v>
      </c>
      <c r="J980" s="269">
        <v>20.585100000000001</v>
      </c>
      <c r="K980" s="272">
        <f t="shared" si="46"/>
        <v>2.0585100000000002E-2</v>
      </c>
      <c r="P980" s="114">
        <v>0.74016890000000002</v>
      </c>
      <c r="Q980" s="269">
        <v>20.823989999999998</v>
      </c>
      <c r="R980" s="272">
        <f t="shared" si="47"/>
        <v>2.0823989999999997E-2</v>
      </c>
    </row>
    <row r="981" spans="2:18" ht="15" customHeight="1" x14ac:dyDescent="0.25">
      <c r="B981" s="114">
        <v>0.83497730000000003</v>
      </c>
      <c r="C981" s="269">
        <v>20.56682</v>
      </c>
      <c r="D981" s="272">
        <f t="shared" si="45"/>
        <v>2.056682E-2</v>
      </c>
      <c r="I981" s="114">
        <v>0.7434714</v>
      </c>
      <c r="J981" s="269">
        <v>20.66966</v>
      </c>
      <c r="K981" s="272">
        <f t="shared" si="46"/>
        <v>2.0669659999999999E-2</v>
      </c>
      <c r="P981" s="114">
        <v>0.74359830000000005</v>
      </c>
      <c r="Q981" s="269">
        <v>20.908460000000002</v>
      </c>
      <c r="R981" s="272">
        <f t="shared" si="47"/>
        <v>2.090846E-2</v>
      </c>
    </row>
    <row r="982" spans="2:18" ht="15" customHeight="1" x14ac:dyDescent="0.25">
      <c r="B982" s="114">
        <v>0.83584440000000004</v>
      </c>
      <c r="C982" s="269">
        <v>20.588180000000001</v>
      </c>
      <c r="D982" s="272">
        <f t="shared" si="45"/>
        <v>2.0588180000000001E-2</v>
      </c>
      <c r="I982" s="114">
        <v>0.74690440000000002</v>
      </c>
      <c r="J982" s="269">
        <v>20.75422</v>
      </c>
      <c r="K982" s="272">
        <f t="shared" si="46"/>
        <v>2.075422E-2</v>
      </c>
      <c r="P982" s="114">
        <v>0.74702780000000002</v>
      </c>
      <c r="Q982" s="269">
        <v>20.992930000000001</v>
      </c>
      <c r="R982" s="272">
        <f t="shared" si="47"/>
        <v>2.099293E-2</v>
      </c>
    </row>
    <row r="983" spans="2:18" ht="15" customHeight="1" x14ac:dyDescent="0.25">
      <c r="B983" s="114">
        <v>0.83671139999999999</v>
      </c>
      <c r="C983" s="269">
        <v>20.609539999999999</v>
      </c>
      <c r="D983" s="272">
        <f t="shared" si="45"/>
        <v>2.0609539999999999E-2</v>
      </c>
      <c r="I983" s="114">
        <v>0.75033729999999998</v>
      </c>
      <c r="J983" s="269">
        <v>20.83878</v>
      </c>
      <c r="K983" s="272">
        <f t="shared" si="46"/>
        <v>2.0838780000000001E-2</v>
      </c>
      <c r="P983" s="114">
        <v>0.75045720000000005</v>
      </c>
      <c r="Q983" s="269">
        <v>21.077400000000001</v>
      </c>
      <c r="R983" s="272">
        <f t="shared" si="47"/>
        <v>2.10774E-2</v>
      </c>
    </row>
    <row r="984" spans="2:18" ht="15" customHeight="1" x14ac:dyDescent="0.25">
      <c r="B984" s="114">
        <v>0.8375785</v>
      </c>
      <c r="C984" s="269">
        <v>20.6309</v>
      </c>
      <c r="D984" s="272">
        <f t="shared" si="45"/>
        <v>2.0630900000000001E-2</v>
      </c>
      <c r="I984" s="114">
        <v>0.7537703</v>
      </c>
      <c r="J984" s="269">
        <v>20.92334</v>
      </c>
      <c r="K984" s="272">
        <f t="shared" si="46"/>
        <v>2.0923339999999999E-2</v>
      </c>
      <c r="P984" s="114">
        <v>0.75388670000000002</v>
      </c>
      <c r="Q984" s="269">
        <v>21.16188</v>
      </c>
      <c r="R984" s="272">
        <f t="shared" si="47"/>
        <v>2.1161880000000001E-2</v>
      </c>
    </row>
    <row r="985" spans="2:18" ht="15" customHeight="1" x14ac:dyDescent="0.25">
      <c r="B985" s="114">
        <v>0.83844560000000001</v>
      </c>
      <c r="C985" s="269">
        <v>20.652249999999999</v>
      </c>
      <c r="D985" s="272">
        <f t="shared" si="45"/>
        <v>2.0652249999999997E-2</v>
      </c>
      <c r="I985" s="114">
        <v>0.75720330000000002</v>
      </c>
      <c r="J985" s="269">
        <v>21.007899999999999</v>
      </c>
      <c r="K985" s="272">
        <f t="shared" si="46"/>
        <v>2.1007899999999999E-2</v>
      </c>
      <c r="P985" s="114">
        <v>0.75731610000000005</v>
      </c>
      <c r="Q985" s="269">
        <v>21.24635</v>
      </c>
      <c r="R985" s="272">
        <f t="shared" si="47"/>
        <v>2.1246350000000001E-2</v>
      </c>
    </row>
    <row r="986" spans="2:18" ht="15" customHeight="1" x14ac:dyDescent="0.25">
      <c r="B986" s="114">
        <v>0.83931259999999996</v>
      </c>
      <c r="C986" s="269">
        <v>20.67361</v>
      </c>
      <c r="D986" s="272">
        <f t="shared" si="45"/>
        <v>2.0673609999999999E-2</v>
      </c>
      <c r="I986" s="114">
        <v>0.76063630000000004</v>
      </c>
      <c r="J986" s="269">
        <v>21.092449999999999</v>
      </c>
      <c r="K986" s="272">
        <f t="shared" si="46"/>
        <v>2.1092449999999999E-2</v>
      </c>
      <c r="P986" s="114">
        <v>0.76074560000000002</v>
      </c>
      <c r="Q986" s="269">
        <v>21.330819999999999</v>
      </c>
      <c r="R986" s="272">
        <f t="shared" si="47"/>
        <v>2.133082E-2</v>
      </c>
    </row>
    <row r="987" spans="2:18" ht="15" customHeight="1" x14ac:dyDescent="0.25">
      <c r="B987" s="114">
        <v>0.84017969999999997</v>
      </c>
      <c r="C987" s="269">
        <v>20.694970000000001</v>
      </c>
      <c r="D987" s="272">
        <f t="shared" si="45"/>
        <v>2.069497E-2</v>
      </c>
      <c r="I987" s="114">
        <v>0.7640692</v>
      </c>
      <c r="J987" s="269">
        <v>21.177009999999999</v>
      </c>
      <c r="K987" s="272">
        <f t="shared" si="46"/>
        <v>2.117701E-2</v>
      </c>
      <c r="P987" s="114">
        <v>0.76417500000000005</v>
      </c>
      <c r="Q987" s="269">
        <v>21.415299999999998</v>
      </c>
      <c r="R987" s="272">
        <f t="shared" si="47"/>
        <v>2.1415299999999998E-2</v>
      </c>
    </row>
    <row r="988" spans="2:18" ht="15" customHeight="1" x14ac:dyDescent="0.25">
      <c r="B988" s="114">
        <v>0.84104670000000004</v>
      </c>
      <c r="C988" s="269">
        <v>20.71632</v>
      </c>
      <c r="D988" s="272">
        <f t="shared" si="45"/>
        <v>2.071632E-2</v>
      </c>
      <c r="I988" s="114">
        <v>0.76750220000000002</v>
      </c>
      <c r="J988" s="269">
        <v>21.261569999999999</v>
      </c>
      <c r="K988" s="272">
        <f t="shared" si="46"/>
        <v>2.126157E-2</v>
      </c>
      <c r="P988" s="114">
        <v>0.76760450000000002</v>
      </c>
      <c r="Q988" s="269">
        <v>21.499770000000002</v>
      </c>
      <c r="R988" s="272">
        <f t="shared" si="47"/>
        <v>2.1499770000000001E-2</v>
      </c>
    </row>
    <row r="989" spans="2:18" ht="15" customHeight="1" x14ac:dyDescent="0.25">
      <c r="B989" s="114">
        <v>0.84191380000000005</v>
      </c>
      <c r="C989" s="269">
        <v>20.737680000000001</v>
      </c>
      <c r="D989" s="272">
        <f t="shared" si="45"/>
        <v>2.0737680000000001E-2</v>
      </c>
      <c r="I989" s="114">
        <v>0.77093520000000004</v>
      </c>
      <c r="J989" s="269">
        <v>21.346129999999999</v>
      </c>
      <c r="K989" s="272">
        <f t="shared" si="46"/>
        <v>2.1346129999999998E-2</v>
      </c>
      <c r="P989" s="114">
        <v>0.77103390000000005</v>
      </c>
      <c r="Q989" s="269">
        <v>21.584240000000001</v>
      </c>
      <c r="R989" s="272">
        <f t="shared" si="47"/>
        <v>2.1584240000000001E-2</v>
      </c>
    </row>
    <row r="990" spans="2:18" ht="15" customHeight="1" x14ac:dyDescent="0.25">
      <c r="B990" s="114">
        <v>0.84278090000000005</v>
      </c>
      <c r="C990" s="269">
        <v>20.759039999999999</v>
      </c>
      <c r="D990" s="272">
        <f t="shared" si="45"/>
        <v>2.0759039999999999E-2</v>
      </c>
      <c r="I990" s="114">
        <v>0.77436819999999995</v>
      </c>
      <c r="J990" s="269">
        <v>21.430689999999998</v>
      </c>
      <c r="K990" s="272">
        <f t="shared" si="46"/>
        <v>2.1430689999999999E-2</v>
      </c>
      <c r="P990" s="114">
        <v>0.77446340000000002</v>
      </c>
      <c r="Q990" s="269">
        <v>21.668710000000001</v>
      </c>
      <c r="R990" s="272">
        <f t="shared" si="47"/>
        <v>2.1668710000000001E-2</v>
      </c>
    </row>
    <row r="991" spans="2:18" ht="15" customHeight="1" x14ac:dyDescent="0.25">
      <c r="B991" s="114">
        <v>0.84364790000000001</v>
      </c>
      <c r="C991" s="269">
        <v>20.780390000000001</v>
      </c>
      <c r="D991" s="272">
        <f t="shared" si="45"/>
        <v>2.0780389999999999E-2</v>
      </c>
      <c r="I991" s="114">
        <v>0.77780110000000002</v>
      </c>
      <c r="J991" s="269">
        <v>21.515250000000002</v>
      </c>
      <c r="K991" s="272">
        <f t="shared" si="46"/>
        <v>2.1515250000000003E-2</v>
      </c>
      <c r="P991" s="114">
        <v>0.77789280000000005</v>
      </c>
      <c r="Q991" s="269">
        <v>21.75319</v>
      </c>
      <c r="R991" s="272">
        <f t="shared" si="47"/>
        <v>2.1753189999999999E-2</v>
      </c>
    </row>
    <row r="992" spans="2:18" ht="15" customHeight="1" x14ac:dyDescent="0.25">
      <c r="B992" s="114">
        <v>0.84451500000000002</v>
      </c>
      <c r="C992" s="269">
        <v>20.801749999999998</v>
      </c>
      <c r="D992" s="272">
        <f t="shared" si="45"/>
        <v>2.0801749999999997E-2</v>
      </c>
      <c r="I992" s="114">
        <v>0.78123410000000004</v>
      </c>
      <c r="J992" s="269">
        <v>21.599810000000002</v>
      </c>
      <c r="K992" s="272">
        <f t="shared" si="46"/>
        <v>2.1599810000000001E-2</v>
      </c>
      <c r="P992" s="114">
        <v>0.78132230000000003</v>
      </c>
      <c r="Q992" s="269">
        <v>21.83766</v>
      </c>
      <c r="R992" s="272">
        <f t="shared" si="47"/>
        <v>2.1837659999999998E-2</v>
      </c>
    </row>
    <row r="993" spans="2:18" ht="15" customHeight="1" x14ac:dyDescent="0.25">
      <c r="B993" s="114">
        <v>0.84538199999999997</v>
      </c>
      <c r="C993" s="269">
        <v>20.82311</v>
      </c>
      <c r="D993" s="272">
        <f t="shared" si="45"/>
        <v>2.0823109999999999E-2</v>
      </c>
      <c r="I993" s="114">
        <v>0.78466709999999995</v>
      </c>
      <c r="J993" s="269">
        <v>21.684370000000001</v>
      </c>
      <c r="K993" s="272">
        <f t="shared" si="46"/>
        <v>2.1684370000000001E-2</v>
      </c>
      <c r="P993" s="114">
        <v>0.78475170000000005</v>
      </c>
      <c r="Q993" s="269">
        <v>21.922129999999999</v>
      </c>
      <c r="R993" s="272">
        <f t="shared" si="47"/>
        <v>2.1922129999999998E-2</v>
      </c>
    </row>
    <row r="994" spans="2:18" ht="15" customHeight="1" x14ac:dyDescent="0.25">
      <c r="B994" s="114">
        <v>0.84624909999999998</v>
      </c>
      <c r="C994" s="269">
        <v>20.844470000000001</v>
      </c>
      <c r="D994" s="272">
        <f t="shared" si="45"/>
        <v>2.084447E-2</v>
      </c>
      <c r="I994" s="114">
        <v>0.78810009999999997</v>
      </c>
      <c r="J994" s="269">
        <v>21.768930000000001</v>
      </c>
      <c r="K994" s="272">
        <f t="shared" si="46"/>
        <v>2.1768930000000002E-2</v>
      </c>
      <c r="P994" s="114">
        <v>0.78818120000000003</v>
      </c>
      <c r="Q994" s="269">
        <v>22.006609999999998</v>
      </c>
      <c r="R994" s="272">
        <f t="shared" si="47"/>
        <v>2.2006609999999999E-2</v>
      </c>
    </row>
    <row r="995" spans="2:18" ht="15" customHeight="1" x14ac:dyDescent="0.25">
      <c r="B995" s="114">
        <v>0.84711619999999999</v>
      </c>
      <c r="C995" s="269">
        <v>20.865819999999999</v>
      </c>
      <c r="D995" s="272">
        <f t="shared" si="45"/>
        <v>2.086582E-2</v>
      </c>
      <c r="I995" s="114">
        <v>0.79153300000000004</v>
      </c>
      <c r="J995" s="269">
        <v>21.853490000000001</v>
      </c>
      <c r="K995" s="272">
        <f t="shared" si="46"/>
        <v>2.185349E-2</v>
      </c>
      <c r="P995" s="114">
        <v>0.79161060000000005</v>
      </c>
      <c r="Q995" s="269">
        <v>22.091080000000002</v>
      </c>
      <c r="R995" s="272">
        <f t="shared" si="47"/>
        <v>2.2091080000000003E-2</v>
      </c>
    </row>
    <row r="996" spans="2:18" ht="15" customHeight="1" x14ac:dyDescent="0.25">
      <c r="B996" s="114">
        <v>0.84798320000000005</v>
      </c>
      <c r="C996" s="269">
        <v>20.887180000000001</v>
      </c>
      <c r="D996" s="272">
        <f t="shared" si="45"/>
        <v>2.0887180000000002E-2</v>
      </c>
      <c r="I996" s="114">
        <v>0.79496599999999995</v>
      </c>
      <c r="J996" s="269">
        <v>21.93805</v>
      </c>
      <c r="K996" s="272">
        <f t="shared" si="46"/>
        <v>2.1938050000000001E-2</v>
      </c>
      <c r="P996" s="114">
        <v>0.79504010000000003</v>
      </c>
      <c r="Q996" s="269">
        <v>22.175550000000001</v>
      </c>
      <c r="R996" s="272">
        <f t="shared" si="47"/>
        <v>2.2175550000000002E-2</v>
      </c>
    </row>
    <row r="997" spans="2:18" ht="15" customHeight="1" x14ac:dyDescent="0.25">
      <c r="B997" s="114">
        <v>0.84885029999999995</v>
      </c>
      <c r="C997" s="269">
        <v>20.908539999999999</v>
      </c>
      <c r="D997" s="272">
        <f t="shared" si="45"/>
        <v>2.090854E-2</v>
      </c>
      <c r="I997" s="114">
        <v>0.79839899999999997</v>
      </c>
      <c r="J997" s="269">
        <v>22.02261</v>
      </c>
      <c r="K997" s="272">
        <f t="shared" si="46"/>
        <v>2.2022610000000001E-2</v>
      </c>
      <c r="P997" s="114">
        <v>0.79846950000000005</v>
      </c>
      <c r="Q997" s="269">
        <v>22.260020000000001</v>
      </c>
      <c r="R997" s="272">
        <f t="shared" si="47"/>
        <v>2.2260020000000002E-2</v>
      </c>
    </row>
    <row r="998" spans="2:18" ht="15" customHeight="1" x14ac:dyDescent="0.25">
      <c r="B998" s="114">
        <v>0.84971730000000001</v>
      </c>
      <c r="C998" s="269">
        <v>20.92989</v>
      </c>
      <c r="D998" s="272">
        <f t="shared" si="45"/>
        <v>2.092989E-2</v>
      </c>
      <c r="I998" s="114">
        <v>0.80183199999999999</v>
      </c>
      <c r="J998" s="269">
        <v>22.10717</v>
      </c>
      <c r="K998" s="272">
        <f t="shared" si="46"/>
        <v>2.2107169999999999E-2</v>
      </c>
      <c r="P998" s="114">
        <v>0.80189900000000003</v>
      </c>
      <c r="Q998" s="269">
        <v>22.3445</v>
      </c>
      <c r="R998" s="272">
        <f t="shared" si="47"/>
        <v>2.23445E-2</v>
      </c>
    </row>
    <row r="999" spans="2:18" ht="15" customHeight="1" x14ac:dyDescent="0.25">
      <c r="B999" s="114">
        <v>0.85058440000000002</v>
      </c>
      <c r="C999" s="269">
        <v>20.951250000000002</v>
      </c>
      <c r="D999" s="272">
        <f t="shared" si="45"/>
        <v>2.0951250000000001E-2</v>
      </c>
      <c r="I999" s="114">
        <v>0.80526489999999995</v>
      </c>
      <c r="J999" s="269">
        <v>22.19173</v>
      </c>
      <c r="K999" s="272">
        <f t="shared" si="46"/>
        <v>2.219173E-2</v>
      </c>
      <c r="P999" s="114">
        <v>0.80532840000000006</v>
      </c>
      <c r="Q999" s="269">
        <v>22.42897</v>
      </c>
      <c r="R999" s="272">
        <f t="shared" si="47"/>
        <v>2.2428969999999999E-2</v>
      </c>
    </row>
    <row r="1000" spans="2:18" ht="15" customHeight="1" x14ac:dyDescent="0.25">
      <c r="B1000" s="114">
        <v>0.85145139999999997</v>
      </c>
      <c r="C1000" s="269">
        <v>20.97261</v>
      </c>
      <c r="D1000" s="272">
        <f t="shared" si="45"/>
        <v>2.0972609999999999E-2</v>
      </c>
      <c r="I1000" s="114">
        <v>0.80869789999999997</v>
      </c>
      <c r="J1000" s="269">
        <v>22.276289999999999</v>
      </c>
      <c r="K1000" s="272">
        <f t="shared" si="46"/>
        <v>2.2276290000000001E-2</v>
      </c>
      <c r="P1000" s="114">
        <v>0.80875790000000003</v>
      </c>
      <c r="Q1000" s="269">
        <v>22.513439999999999</v>
      </c>
      <c r="R1000" s="272">
        <f t="shared" si="47"/>
        <v>2.2513439999999999E-2</v>
      </c>
    </row>
    <row r="1001" spans="2:18" ht="15" customHeight="1" x14ac:dyDescent="0.25">
      <c r="B1001" s="114">
        <v>0.85231849999999998</v>
      </c>
      <c r="C1001" s="269">
        <v>20.993960000000001</v>
      </c>
      <c r="D1001" s="272">
        <f t="shared" si="45"/>
        <v>2.0993960000000002E-2</v>
      </c>
      <c r="I1001" s="114">
        <v>0.81213089999999999</v>
      </c>
      <c r="J1001" s="269">
        <v>22.360849999999999</v>
      </c>
      <c r="K1001" s="272">
        <f t="shared" si="46"/>
        <v>2.2360849999999998E-2</v>
      </c>
      <c r="P1001" s="114">
        <v>0.81218729999999995</v>
      </c>
      <c r="Q1001" s="269">
        <v>22.597919999999998</v>
      </c>
      <c r="R1001" s="272">
        <f t="shared" si="47"/>
        <v>2.2597919999999997E-2</v>
      </c>
    </row>
    <row r="1002" spans="2:18" ht="15" customHeight="1" x14ac:dyDescent="0.25">
      <c r="B1002" s="114">
        <v>0.85318559999999999</v>
      </c>
      <c r="C1002" s="269">
        <v>21.015319999999999</v>
      </c>
      <c r="D1002" s="272">
        <f t="shared" si="45"/>
        <v>2.1015320000000001E-2</v>
      </c>
      <c r="I1002" s="114">
        <v>0.81556390000000001</v>
      </c>
      <c r="J1002" s="269">
        <v>22.445409999999999</v>
      </c>
      <c r="K1002" s="272">
        <f t="shared" si="46"/>
        <v>2.2445409999999999E-2</v>
      </c>
      <c r="P1002" s="114">
        <v>0.81561680000000003</v>
      </c>
      <c r="Q1002" s="269">
        <v>22.682390000000002</v>
      </c>
      <c r="R1002" s="272">
        <f t="shared" si="47"/>
        <v>2.268239E-2</v>
      </c>
    </row>
    <row r="1003" spans="2:18" ht="15" customHeight="1" x14ac:dyDescent="0.25">
      <c r="B1003" s="114">
        <v>0.85405260000000005</v>
      </c>
      <c r="C1003" s="269">
        <v>21.03668</v>
      </c>
      <c r="D1003" s="272">
        <f t="shared" si="45"/>
        <v>2.1036680000000002E-2</v>
      </c>
      <c r="I1003" s="114">
        <v>0.81899679999999997</v>
      </c>
      <c r="J1003" s="269">
        <v>22.529969999999999</v>
      </c>
      <c r="K1003" s="272">
        <f t="shared" si="46"/>
        <v>2.252997E-2</v>
      </c>
      <c r="P1003" s="114">
        <v>0.81904619999999995</v>
      </c>
      <c r="Q1003" s="269">
        <v>22.766860000000001</v>
      </c>
      <c r="R1003" s="272">
        <f t="shared" si="47"/>
        <v>2.276686E-2</v>
      </c>
    </row>
    <row r="1004" spans="2:18" ht="15" customHeight="1" x14ac:dyDescent="0.25">
      <c r="B1004" s="114">
        <v>0.85491969999999995</v>
      </c>
      <c r="C1004" s="269">
        <v>21.058039999999998</v>
      </c>
      <c r="D1004" s="272">
        <f t="shared" si="45"/>
        <v>2.1058039999999997E-2</v>
      </c>
      <c r="I1004" s="114">
        <v>0.82242979999999999</v>
      </c>
      <c r="J1004" s="269">
        <v>22.614529999999998</v>
      </c>
      <c r="K1004" s="272">
        <f t="shared" si="46"/>
        <v>2.2614529999999997E-2</v>
      </c>
      <c r="P1004" s="114">
        <v>0.82247570000000003</v>
      </c>
      <c r="Q1004" s="269">
        <v>22.851330000000001</v>
      </c>
      <c r="R1004" s="272">
        <f t="shared" si="47"/>
        <v>2.285133E-2</v>
      </c>
    </row>
    <row r="1005" spans="2:18" ht="15" customHeight="1" x14ac:dyDescent="0.25">
      <c r="B1005" s="114">
        <v>0.85578670000000001</v>
      </c>
      <c r="C1005" s="269">
        <v>21.07939</v>
      </c>
      <c r="D1005" s="272">
        <f t="shared" si="45"/>
        <v>2.107939E-2</v>
      </c>
      <c r="I1005" s="114">
        <v>0.82586280000000001</v>
      </c>
      <c r="J1005" s="269">
        <v>22.699090000000002</v>
      </c>
      <c r="K1005" s="272">
        <f t="shared" si="46"/>
        <v>2.2699090000000002E-2</v>
      </c>
      <c r="P1005" s="114">
        <v>0.82590509999999995</v>
      </c>
      <c r="Q1005" s="269">
        <v>22.93581</v>
      </c>
      <c r="R1005" s="272">
        <f t="shared" si="47"/>
        <v>2.2935810000000001E-2</v>
      </c>
    </row>
    <row r="1006" spans="2:18" ht="15" customHeight="1" x14ac:dyDescent="0.25">
      <c r="B1006" s="114">
        <v>0.85665380000000002</v>
      </c>
      <c r="C1006" s="269">
        <v>21.100750000000001</v>
      </c>
      <c r="D1006" s="272">
        <f t="shared" si="45"/>
        <v>2.1100750000000001E-2</v>
      </c>
      <c r="I1006" s="114">
        <v>0.82929580000000003</v>
      </c>
      <c r="J1006" s="269">
        <v>22.783650000000002</v>
      </c>
      <c r="K1006" s="272">
        <f t="shared" si="46"/>
        <v>2.2783650000000003E-2</v>
      </c>
      <c r="P1006" s="114">
        <v>0.82933460000000003</v>
      </c>
      <c r="Q1006" s="269">
        <v>23.02028</v>
      </c>
      <c r="R1006" s="272">
        <f t="shared" si="47"/>
        <v>2.3020280000000001E-2</v>
      </c>
    </row>
    <row r="1007" spans="2:18" ht="15" customHeight="1" x14ac:dyDescent="0.25">
      <c r="B1007" s="114">
        <v>0.85752090000000003</v>
      </c>
      <c r="C1007" s="269">
        <v>21.122109999999999</v>
      </c>
      <c r="D1007" s="272">
        <f t="shared" si="45"/>
        <v>2.1122109999999999E-2</v>
      </c>
      <c r="I1007" s="114">
        <v>0.83272869999999999</v>
      </c>
      <c r="J1007" s="269">
        <v>22.868210000000001</v>
      </c>
      <c r="K1007" s="272">
        <f t="shared" si="46"/>
        <v>2.286821E-2</v>
      </c>
      <c r="P1007" s="114">
        <v>0.83276399999999995</v>
      </c>
      <c r="Q1007" s="269">
        <v>23.104749999999999</v>
      </c>
      <c r="R1007" s="272">
        <f t="shared" si="47"/>
        <v>2.310475E-2</v>
      </c>
    </row>
    <row r="1008" spans="2:18" ht="15" customHeight="1" x14ac:dyDescent="0.25">
      <c r="B1008" s="114">
        <v>0.85838789999999998</v>
      </c>
      <c r="C1008" s="269">
        <v>21.143460000000001</v>
      </c>
      <c r="D1008" s="272">
        <f t="shared" si="45"/>
        <v>2.1143459999999999E-2</v>
      </c>
      <c r="I1008" s="114">
        <v>0.83616170000000001</v>
      </c>
      <c r="J1008" s="269">
        <v>22.952770000000001</v>
      </c>
      <c r="K1008" s="272">
        <f t="shared" si="46"/>
        <v>2.2952770000000001E-2</v>
      </c>
      <c r="P1008" s="114">
        <v>0.83619350000000003</v>
      </c>
      <c r="Q1008" s="269">
        <v>23.189229999999998</v>
      </c>
      <c r="R1008" s="272">
        <f t="shared" si="47"/>
        <v>2.3189229999999998E-2</v>
      </c>
    </row>
    <row r="1009" spans="2:18" ht="15" customHeight="1" x14ac:dyDescent="0.25">
      <c r="B1009" s="114">
        <v>0.85925499999999999</v>
      </c>
      <c r="C1009" s="269">
        <v>21.164819999999999</v>
      </c>
      <c r="D1009" s="272">
        <f t="shared" si="45"/>
        <v>2.1164819999999997E-2</v>
      </c>
      <c r="I1009" s="114">
        <v>0.83959470000000003</v>
      </c>
      <c r="J1009" s="269">
        <v>23.037330000000001</v>
      </c>
      <c r="K1009" s="272">
        <f t="shared" si="46"/>
        <v>2.3037330000000002E-2</v>
      </c>
      <c r="P1009" s="114">
        <v>0.83962289999999995</v>
      </c>
      <c r="Q1009" s="269">
        <v>23.273700000000002</v>
      </c>
      <c r="R1009" s="272">
        <f t="shared" si="47"/>
        <v>2.3273700000000001E-2</v>
      </c>
    </row>
    <row r="1010" spans="2:18" ht="15" customHeight="1" x14ac:dyDescent="0.25">
      <c r="B1010" s="114">
        <v>0.86012200000000005</v>
      </c>
      <c r="C1010" s="269">
        <v>21.18618</v>
      </c>
      <c r="D1010" s="272">
        <f t="shared" si="45"/>
        <v>2.1186179999999999E-2</v>
      </c>
      <c r="I1010" s="114">
        <v>0.84302770000000005</v>
      </c>
      <c r="J1010" s="269">
        <v>23.12189</v>
      </c>
      <c r="K1010" s="272">
        <f t="shared" si="46"/>
        <v>2.3121889999999999E-2</v>
      </c>
      <c r="P1010" s="114">
        <v>0.84305240000000004</v>
      </c>
      <c r="Q1010" s="269">
        <v>23.358170000000001</v>
      </c>
      <c r="R1010" s="272">
        <f t="shared" si="47"/>
        <v>2.3358170000000001E-2</v>
      </c>
    </row>
    <row r="1011" spans="2:18" ht="15" customHeight="1" x14ac:dyDescent="0.25">
      <c r="B1011" s="114">
        <v>0.86098909999999995</v>
      </c>
      <c r="C1011" s="269">
        <v>21.207540000000002</v>
      </c>
      <c r="D1011" s="272">
        <f t="shared" si="45"/>
        <v>2.120754E-2</v>
      </c>
      <c r="I1011" s="114">
        <v>0.84646060000000001</v>
      </c>
      <c r="J1011" s="269">
        <v>23.20645</v>
      </c>
      <c r="K1011" s="272">
        <f t="shared" si="46"/>
        <v>2.320645E-2</v>
      </c>
      <c r="P1011" s="114">
        <v>0.84648179999999995</v>
      </c>
      <c r="Q1011" s="269">
        <v>23.442640000000001</v>
      </c>
      <c r="R1011" s="272">
        <f t="shared" si="47"/>
        <v>2.3442640000000001E-2</v>
      </c>
    </row>
    <row r="1012" spans="2:18" ht="15" customHeight="1" x14ac:dyDescent="0.25">
      <c r="B1012" s="114">
        <v>0.86185610000000001</v>
      </c>
      <c r="C1012" s="269">
        <v>21.22889</v>
      </c>
      <c r="D1012" s="272">
        <f t="shared" si="45"/>
        <v>2.122889E-2</v>
      </c>
      <c r="I1012" s="114">
        <v>0.84989360000000003</v>
      </c>
      <c r="J1012" s="269">
        <v>23.29101</v>
      </c>
      <c r="K1012" s="272">
        <f t="shared" si="46"/>
        <v>2.3291010000000001E-2</v>
      </c>
      <c r="P1012" s="114">
        <v>0.84991130000000004</v>
      </c>
      <c r="Q1012" s="269">
        <v>23.52712</v>
      </c>
      <c r="R1012" s="272">
        <f t="shared" si="47"/>
        <v>2.3527119999999999E-2</v>
      </c>
    </row>
    <row r="1013" spans="2:18" ht="15" customHeight="1" x14ac:dyDescent="0.25">
      <c r="B1013" s="114">
        <v>0.86272320000000002</v>
      </c>
      <c r="C1013" s="269">
        <v>21.250250000000001</v>
      </c>
      <c r="D1013" s="272">
        <f t="shared" si="45"/>
        <v>2.1250250000000002E-2</v>
      </c>
      <c r="I1013" s="114">
        <v>0.85332660000000005</v>
      </c>
      <c r="J1013" s="269">
        <v>23.37557</v>
      </c>
      <c r="K1013" s="272">
        <f t="shared" si="46"/>
        <v>2.3375569999999998E-2</v>
      </c>
      <c r="P1013" s="114">
        <v>0.85334069999999995</v>
      </c>
      <c r="Q1013" s="269">
        <v>23.61159</v>
      </c>
      <c r="R1013" s="272">
        <f t="shared" si="47"/>
        <v>2.3611589999999998E-2</v>
      </c>
    </row>
    <row r="1014" spans="2:18" ht="15" customHeight="1" x14ac:dyDescent="0.25">
      <c r="B1014" s="114">
        <v>0.86359030000000003</v>
      </c>
      <c r="C1014" s="269">
        <v>21.271609999999999</v>
      </c>
      <c r="D1014" s="272">
        <f t="shared" si="45"/>
        <v>2.127161E-2</v>
      </c>
      <c r="I1014" s="114">
        <v>0.85675959999999995</v>
      </c>
      <c r="J1014" s="269">
        <v>23.460129999999999</v>
      </c>
      <c r="K1014" s="272">
        <f t="shared" si="46"/>
        <v>2.3460129999999999E-2</v>
      </c>
      <c r="P1014" s="114">
        <v>0.85677009999999998</v>
      </c>
      <c r="Q1014" s="269">
        <v>23.696059999999999</v>
      </c>
      <c r="R1014" s="272">
        <f t="shared" si="47"/>
        <v>2.3696059999999998E-2</v>
      </c>
    </row>
    <row r="1015" spans="2:18" ht="15" customHeight="1" x14ac:dyDescent="0.25">
      <c r="B1015" s="114">
        <v>0.86445729999999998</v>
      </c>
      <c r="C1015" s="269">
        <v>21.292960000000001</v>
      </c>
      <c r="D1015" s="272">
        <f t="shared" si="45"/>
        <v>2.129296E-2</v>
      </c>
      <c r="I1015" s="114">
        <v>0.86019250000000003</v>
      </c>
      <c r="J1015" s="269">
        <v>23.544689999999999</v>
      </c>
      <c r="K1015" s="272">
        <f t="shared" si="46"/>
        <v>2.354469E-2</v>
      </c>
      <c r="P1015" s="114">
        <v>0.86019959999999995</v>
      </c>
      <c r="Q1015" s="269">
        <v>23.780539999999998</v>
      </c>
      <c r="R1015" s="272">
        <f t="shared" si="47"/>
        <v>2.3780539999999999E-2</v>
      </c>
    </row>
    <row r="1016" spans="2:18" ht="15" customHeight="1" x14ac:dyDescent="0.25">
      <c r="B1016" s="114">
        <v>0.86532439999999999</v>
      </c>
      <c r="C1016" s="269">
        <v>21.314319999999999</v>
      </c>
      <c r="D1016" s="272">
        <f t="shared" si="45"/>
        <v>2.1314319999999998E-2</v>
      </c>
      <c r="I1016" s="114">
        <v>0.86362550000000005</v>
      </c>
      <c r="J1016" s="269">
        <v>23.629249999999999</v>
      </c>
      <c r="K1016" s="272">
        <f t="shared" si="46"/>
        <v>2.3629249999999997E-2</v>
      </c>
      <c r="P1016" s="114">
        <v>0.86362899999999998</v>
      </c>
      <c r="Q1016" s="269">
        <v>23.865010000000002</v>
      </c>
      <c r="R1016" s="272">
        <f t="shared" si="47"/>
        <v>2.3865010000000002E-2</v>
      </c>
    </row>
    <row r="1017" spans="2:18" ht="15" customHeight="1" x14ac:dyDescent="0.25">
      <c r="B1017" s="114">
        <v>0.86619139999999994</v>
      </c>
      <c r="C1017" s="269">
        <v>21.33568</v>
      </c>
      <c r="D1017" s="272">
        <f t="shared" si="45"/>
        <v>2.1335679999999999E-2</v>
      </c>
      <c r="I1017" s="114">
        <v>0.86705849999999995</v>
      </c>
      <c r="J1017" s="269">
        <v>23.713809999999999</v>
      </c>
      <c r="K1017" s="272">
        <f t="shared" si="46"/>
        <v>2.3713809999999998E-2</v>
      </c>
      <c r="P1017" s="114">
        <v>0.86705849999999995</v>
      </c>
      <c r="Q1017" s="269">
        <v>23.949480000000001</v>
      </c>
      <c r="R1017" s="272">
        <f t="shared" si="47"/>
        <v>2.3949480000000002E-2</v>
      </c>
    </row>
    <row r="1018" spans="2:18" ht="15" customHeight="1" x14ac:dyDescent="0.25">
      <c r="B1018" s="114"/>
      <c r="C1018" s="269"/>
      <c r="D1018" s="272">
        <f t="shared" si="45"/>
        <v>0</v>
      </c>
      <c r="I1018" s="114"/>
      <c r="J1018" s="269"/>
      <c r="K1018" s="272">
        <f t="shared" si="46"/>
        <v>0</v>
      </c>
      <c r="P1018" s="114"/>
      <c r="Q1018" s="269"/>
      <c r="R1018" s="272">
        <f t="shared" si="47"/>
        <v>0</v>
      </c>
    </row>
    <row r="1019" spans="2:18" ht="15" customHeight="1" x14ac:dyDescent="0.25">
      <c r="B1019" s="114"/>
      <c r="C1019" s="269"/>
      <c r="D1019" s="272">
        <f t="shared" si="45"/>
        <v>0</v>
      </c>
      <c r="I1019" s="114"/>
      <c r="J1019" s="269"/>
      <c r="K1019" s="272">
        <f t="shared" si="46"/>
        <v>0</v>
      </c>
      <c r="P1019" s="114"/>
      <c r="Q1019" s="269"/>
      <c r="R1019" s="272">
        <f t="shared" si="47"/>
        <v>0</v>
      </c>
    </row>
    <row r="1020" spans="2:18" ht="15" customHeight="1" x14ac:dyDescent="0.25">
      <c r="B1020" s="114"/>
      <c r="C1020" s="269"/>
      <c r="D1020" s="272">
        <f t="shared" si="45"/>
        <v>0</v>
      </c>
      <c r="I1020" s="114"/>
      <c r="J1020" s="269"/>
      <c r="K1020" s="272">
        <f t="shared" si="46"/>
        <v>0</v>
      </c>
      <c r="P1020" s="114"/>
      <c r="Q1020" s="269"/>
      <c r="R1020" s="272">
        <f t="shared" si="47"/>
        <v>0</v>
      </c>
    </row>
    <row r="1021" spans="2:18" ht="15" customHeight="1" x14ac:dyDescent="0.25">
      <c r="B1021" s="114"/>
      <c r="C1021" s="269"/>
      <c r="D1021" s="272">
        <f t="shared" si="45"/>
        <v>0</v>
      </c>
      <c r="I1021" s="114"/>
      <c r="J1021" s="269"/>
      <c r="K1021" s="272">
        <f t="shared" si="46"/>
        <v>0</v>
      </c>
      <c r="P1021" s="114"/>
      <c r="Q1021" s="269"/>
      <c r="R1021" s="272">
        <f t="shared" si="47"/>
        <v>0</v>
      </c>
    </row>
    <row r="1022" spans="2:18" ht="15" customHeight="1" x14ac:dyDescent="0.25">
      <c r="B1022" s="114"/>
      <c r="C1022" s="269"/>
      <c r="D1022" s="272">
        <f t="shared" si="45"/>
        <v>0</v>
      </c>
      <c r="I1022" s="114"/>
      <c r="J1022" s="269"/>
      <c r="K1022" s="272">
        <f t="shared" si="46"/>
        <v>0</v>
      </c>
      <c r="P1022" s="114"/>
      <c r="Q1022" s="269"/>
      <c r="R1022" s="272">
        <f t="shared" si="47"/>
        <v>0</v>
      </c>
    </row>
    <row r="1023" spans="2:18" ht="15" customHeight="1" x14ac:dyDescent="0.25">
      <c r="B1023" s="114"/>
      <c r="C1023" s="269"/>
      <c r="D1023" s="272">
        <f t="shared" si="45"/>
        <v>0</v>
      </c>
      <c r="I1023" s="114"/>
      <c r="J1023" s="269"/>
      <c r="K1023" s="272">
        <f t="shared" si="46"/>
        <v>0</v>
      </c>
      <c r="P1023" s="114"/>
      <c r="Q1023" s="269"/>
      <c r="R1023" s="272">
        <f t="shared" si="47"/>
        <v>0</v>
      </c>
    </row>
    <row r="1024" spans="2:18" ht="15" customHeight="1" x14ac:dyDescent="0.25">
      <c r="B1024" s="114"/>
      <c r="C1024" s="269"/>
      <c r="D1024" s="272">
        <f t="shared" si="45"/>
        <v>0</v>
      </c>
      <c r="I1024" s="114"/>
      <c r="J1024" s="269"/>
      <c r="K1024" s="272">
        <f t="shared" si="46"/>
        <v>0</v>
      </c>
      <c r="P1024" s="114"/>
      <c r="Q1024" s="269"/>
      <c r="R1024" s="272">
        <f t="shared" si="47"/>
        <v>0</v>
      </c>
    </row>
    <row r="1025" spans="2:18" ht="15" customHeight="1" x14ac:dyDescent="0.25">
      <c r="B1025" s="114"/>
      <c r="C1025" s="269"/>
      <c r="D1025" s="272">
        <f t="shared" si="45"/>
        <v>0</v>
      </c>
      <c r="I1025" s="114"/>
      <c r="J1025" s="269"/>
      <c r="K1025" s="272">
        <f t="shared" si="46"/>
        <v>0</v>
      </c>
      <c r="P1025" s="114"/>
      <c r="Q1025" s="269"/>
      <c r="R1025" s="272">
        <f t="shared" si="47"/>
        <v>0</v>
      </c>
    </row>
    <row r="1026" spans="2:18" ht="15" customHeight="1" x14ac:dyDescent="0.25">
      <c r="B1026" s="114"/>
      <c r="C1026" s="269"/>
      <c r="D1026" s="272">
        <f t="shared" si="45"/>
        <v>0</v>
      </c>
      <c r="I1026" s="114"/>
      <c r="J1026" s="269"/>
      <c r="K1026" s="272">
        <f t="shared" si="46"/>
        <v>0</v>
      </c>
      <c r="P1026" s="114"/>
      <c r="Q1026" s="269"/>
      <c r="R1026" s="272">
        <f t="shared" si="47"/>
        <v>0</v>
      </c>
    </row>
    <row r="1027" spans="2:18" ht="15" customHeight="1" x14ac:dyDescent="0.25">
      <c r="B1027" s="114"/>
      <c r="C1027" s="269"/>
      <c r="D1027" s="272">
        <f t="shared" si="45"/>
        <v>0</v>
      </c>
      <c r="I1027" s="114"/>
      <c r="J1027" s="269"/>
      <c r="K1027" s="272">
        <f t="shared" si="46"/>
        <v>0</v>
      </c>
      <c r="P1027" s="114"/>
      <c r="Q1027" s="269"/>
      <c r="R1027" s="272">
        <f t="shared" si="47"/>
        <v>0</v>
      </c>
    </row>
    <row r="1028" spans="2:18" ht="15" customHeight="1" x14ac:dyDescent="0.25">
      <c r="B1028" s="114"/>
      <c r="C1028" s="269"/>
      <c r="D1028" s="272">
        <f t="shared" si="45"/>
        <v>0</v>
      </c>
      <c r="I1028" s="114"/>
      <c r="J1028" s="269"/>
      <c r="K1028" s="272">
        <f t="shared" si="46"/>
        <v>0</v>
      </c>
      <c r="P1028" s="114"/>
      <c r="Q1028" s="269"/>
      <c r="R1028" s="272">
        <f t="shared" si="47"/>
        <v>0</v>
      </c>
    </row>
    <row r="1029" spans="2:18" ht="15" customHeight="1" x14ac:dyDescent="0.25">
      <c r="B1029" s="114"/>
      <c r="C1029" s="269"/>
      <c r="D1029" s="272">
        <f t="shared" si="45"/>
        <v>0</v>
      </c>
      <c r="I1029" s="114"/>
      <c r="J1029" s="269"/>
      <c r="K1029" s="272">
        <f t="shared" si="46"/>
        <v>0</v>
      </c>
      <c r="P1029" s="114"/>
      <c r="Q1029" s="269"/>
      <c r="R1029" s="272">
        <f t="shared" si="47"/>
        <v>0</v>
      </c>
    </row>
    <row r="1030" spans="2:18" ht="15" customHeight="1" x14ac:dyDescent="0.25">
      <c r="B1030" s="114"/>
      <c r="C1030" s="269"/>
      <c r="D1030" s="272">
        <f t="shared" si="45"/>
        <v>0</v>
      </c>
      <c r="I1030" s="114"/>
      <c r="J1030" s="269"/>
      <c r="K1030" s="272">
        <f t="shared" si="46"/>
        <v>0</v>
      </c>
      <c r="P1030" s="114"/>
      <c r="Q1030" s="269"/>
      <c r="R1030" s="272">
        <f t="shared" si="47"/>
        <v>0</v>
      </c>
    </row>
    <row r="1031" spans="2:18" ht="15" customHeight="1" x14ac:dyDescent="0.25">
      <c r="B1031" s="114"/>
      <c r="C1031" s="269"/>
      <c r="D1031" s="272">
        <f t="shared" si="45"/>
        <v>0</v>
      </c>
      <c r="I1031" s="114"/>
      <c r="J1031" s="269"/>
      <c r="K1031" s="272">
        <f t="shared" si="46"/>
        <v>0</v>
      </c>
      <c r="P1031" s="114"/>
      <c r="Q1031" s="269"/>
      <c r="R1031" s="272">
        <f t="shared" si="47"/>
        <v>0</v>
      </c>
    </row>
    <row r="1032" spans="2:18" ht="15" customHeight="1" x14ac:dyDescent="0.25">
      <c r="B1032" s="114"/>
      <c r="C1032" s="269"/>
      <c r="D1032" s="272">
        <f t="shared" si="45"/>
        <v>0</v>
      </c>
      <c r="I1032" s="114"/>
      <c r="J1032" s="269"/>
      <c r="K1032" s="272">
        <f t="shared" si="46"/>
        <v>0</v>
      </c>
      <c r="P1032" s="114"/>
      <c r="Q1032" s="269"/>
      <c r="R1032" s="272">
        <f t="shared" si="47"/>
        <v>0</v>
      </c>
    </row>
    <row r="1033" spans="2:18" ht="15" customHeight="1" x14ac:dyDescent="0.25">
      <c r="B1033" s="114"/>
      <c r="C1033" s="269"/>
      <c r="D1033" s="272">
        <f t="shared" si="45"/>
        <v>0</v>
      </c>
      <c r="I1033" s="114"/>
      <c r="J1033" s="269"/>
      <c r="K1033" s="272">
        <f t="shared" si="46"/>
        <v>0</v>
      </c>
      <c r="P1033" s="114"/>
      <c r="Q1033" s="269"/>
      <c r="R1033" s="272">
        <f t="shared" si="47"/>
        <v>0</v>
      </c>
    </row>
    <row r="1034" spans="2:18" ht="15" customHeight="1" x14ac:dyDescent="0.25">
      <c r="B1034" s="114"/>
      <c r="C1034" s="269"/>
      <c r="D1034" s="272">
        <f t="shared" si="45"/>
        <v>0</v>
      </c>
      <c r="I1034" s="114"/>
      <c r="J1034" s="269"/>
      <c r="K1034" s="272">
        <f t="shared" si="46"/>
        <v>0</v>
      </c>
      <c r="P1034" s="114"/>
      <c r="Q1034" s="269"/>
      <c r="R1034" s="272">
        <f t="shared" si="47"/>
        <v>0</v>
      </c>
    </row>
    <row r="1035" spans="2:18" ht="15" customHeight="1" x14ac:dyDescent="0.25">
      <c r="B1035" s="114"/>
      <c r="C1035" s="269"/>
      <c r="D1035" s="272">
        <f t="shared" si="45"/>
        <v>0</v>
      </c>
      <c r="I1035" s="114"/>
      <c r="J1035" s="269"/>
      <c r="K1035" s="272">
        <f t="shared" si="46"/>
        <v>0</v>
      </c>
      <c r="P1035" s="114"/>
      <c r="Q1035" s="269"/>
      <c r="R1035" s="272">
        <f t="shared" si="47"/>
        <v>0</v>
      </c>
    </row>
    <row r="1036" spans="2:18" ht="15" customHeight="1" x14ac:dyDescent="0.25">
      <c r="B1036" s="114"/>
      <c r="C1036" s="269"/>
      <c r="D1036" s="272">
        <f t="shared" si="45"/>
        <v>0</v>
      </c>
      <c r="I1036" s="114"/>
      <c r="J1036" s="269"/>
      <c r="K1036" s="272">
        <f t="shared" si="46"/>
        <v>0</v>
      </c>
      <c r="P1036" s="114"/>
      <c r="Q1036" s="269"/>
      <c r="R1036" s="272">
        <f t="shared" si="47"/>
        <v>0</v>
      </c>
    </row>
    <row r="1037" spans="2:18" ht="15" customHeight="1" x14ac:dyDescent="0.25">
      <c r="B1037" s="114"/>
      <c r="C1037" s="269"/>
      <c r="D1037" s="272">
        <f t="shared" si="45"/>
        <v>0</v>
      </c>
      <c r="I1037" s="114"/>
      <c r="J1037" s="269"/>
      <c r="K1037" s="272">
        <f t="shared" si="46"/>
        <v>0</v>
      </c>
      <c r="P1037" s="114"/>
      <c r="Q1037" s="269"/>
      <c r="R1037" s="272">
        <f t="shared" si="47"/>
        <v>0</v>
      </c>
    </row>
    <row r="1038" spans="2:18" ht="15" customHeight="1" x14ac:dyDescent="0.25">
      <c r="B1038" s="114"/>
      <c r="C1038" s="269"/>
      <c r="D1038" s="272">
        <f t="shared" si="45"/>
        <v>0</v>
      </c>
      <c r="I1038" s="114"/>
      <c r="J1038" s="269"/>
      <c r="K1038" s="272">
        <f t="shared" si="46"/>
        <v>0</v>
      </c>
      <c r="P1038" s="114"/>
      <c r="Q1038" s="269"/>
      <c r="R1038" s="272">
        <f t="shared" si="47"/>
        <v>0</v>
      </c>
    </row>
    <row r="1039" spans="2:18" ht="15" customHeight="1" x14ac:dyDescent="0.25">
      <c r="B1039" s="114"/>
      <c r="C1039" s="269"/>
      <c r="D1039" s="272">
        <f t="shared" si="45"/>
        <v>0</v>
      </c>
      <c r="I1039" s="114"/>
      <c r="J1039" s="269"/>
      <c r="K1039" s="272">
        <f t="shared" si="46"/>
        <v>0</v>
      </c>
      <c r="P1039" s="114"/>
      <c r="Q1039" s="269"/>
      <c r="R1039" s="272">
        <f t="shared" si="47"/>
        <v>0</v>
      </c>
    </row>
    <row r="1040" spans="2:18" ht="15" customHeight="1" x14ac:dyDescent="0.25">
      <c r="B1040" s="114"/>
      <c r="C1040" s="269"/>
      <c r="D1040" s="272">
        <f t="shared" si="45"/>
        <v>0</v>
      </c>
      <c r="I1040" s="114"/>
      <c r="J1040" s="269"/>
      <c r="K1040" s="272">
        <f t="shared" si="46"/>
        <v>0</v>
      </c>
      <c r="P1040" s="114"/>
      <c r="Q1040" s="269"/>
      <c r="R1040" s="272">
        <f t="shared" si="47"/>
        <v>0</v>
      </c>
    </row>
    <row r="1041" spans="2:18" ht="15" customHeight="1" x14ac:dyDescent="0.25">
      <c r="B1041" s="114"/>
      <c r="C1041" s="269"/>
      <c r="D1041" s="272">
        <f t="shared" si="45"/>
        <v>0</v>
      </c>
      <c r="I1041" s="114"/>
      <c r="J1041" s="269"/>
      <c r="K1041" s="272">
        <f t="shared" si="46"/>
        <v>0</v>
      </c>
      <c r="P1041" s="114"/>
      <c r="Q1041" s="269"/>
      <c r="R1041" s="272">
        <f t="shared" si="47"/>
        <v>0</v>
      </c>
    </row>
    <row r="1042" spans="2:18" ht="15" customHeight="1" x14ac:dyDescent="0.25">
      <c r="B1042" s="114"/>
      <c r="C1042" s="269"/>
      <c r="D1042" s="272">
        <f t="shared" ref="D1042:D1105" si="48">C1042/1000</f>
        <v>0</v>
      </c>
      <c r="I1042" s="114"/>
      <c r="J1042" s="269"/>
      <c r="K1042" s="272">
        <f t="shared" ref="K1042:K1105" si="49">J1042/1000</f>
        <v>0</v>
      </c>
      <c r="P1042" s="114"/>
      <c r="Q1042" s="269"/>
      <c r="R1042" s="272">
        <f t="shared" ref="R1042:R1105" si="50">Q1042/1000</f>
        <v>0</v>
      </c>
    </row>
    <row r="1043" spans="2:18" ht="15" customHeight="1" x14ac:dyDescent="0.25">
      <c r="B1043" s="114"/>
      <c r="C1043" s="269"/>
      <c r="D1043" s="272">
        <f t="shared" si="48"/>
        <v>0</v>
      </c>
      <c r="I1043" s="114"/>
      <c r="J1043" s="269"/>
      <c r="K1043" s="272">
        <f t="shared" si="49"/>
        <v>0</v>
      </c>
      <c r="P1043" s="114"/>
      <c r="Q1043" s="269"/>
      <c r="R1043" s="272">
        <f t="shared" si="50"/>
        <v>0</v>
      </c>
    </row>
    <row r="1044" spans="2:18" ht="15" customHeight="1" x14ac:dyDescent="0.25">
      <c r="B1044" s="114"/>
      <c r="C1044" s="269"/>
      <c r="D1044" s="272">
        <f t="shared" si="48"/>
        <v>0</v>
      </c>
      <c r="I1044" s="114"/>
      <c r="J1044" s="269"/>
      <c r="K1044" s="272">
        <f t="shared" si="49"/>
        <v>0</v>
      </c>
      <c r="P1044" s="114"/>
      <c r="Q1044" s="269"/>
      <c r="R1044" s="272">
        <f t="shared" si="50"/>
        <v>0</v>
      </c>
    </row>
    <row r="1045" spans="2:18" ht="15" customHeight="1" x14ac:dyDescent="0.25">
      <c r="B1045" s="114"/>
      <c r="C1045" s="269"/>
      <c r="D1045" s="272">
        <f t="shared" si="48"/>
        <v>0</v>
      </c>
      <c r="I1045" s="114"/>
      <c r="J1045" s="269"/>
      <c r="K1045" s="272">
        <f t="shared" si="49"/>
        <v>0</v>
      </c>
      <c r="P1045" s="114"/>
      <c r="Q1045" s="269"/>
      <c r="R1045" s="272">
        <f t="shared" si="50"/>
        <v>0</v>
      </c>
    </row>
    <row r="1046" spans="2:18" ht="15" customHeight="1" x14ac:dyDescent="0.25">
      <c r="B1046" s="114"/>
      <c r="C1046" s="269"/>
      <c r="D1046" s="272">
        <f t="shared" si="48"/>
        <v>0</v>
      </c>
      <c r="I1046" s="114"/>
      <c r="J1046" s="269"/>
      <c r="K1046" s="272">
        <f t="shared" si="49"/>
        <v>0</v>
      </c>
      <c r="P1046" s="114"/>
      <c r="Q1046" s="269"/>
      <c r="R1046" s="272">
        <f t="shared" si="50"/>
        <v>0</v>
      </c>
    </row>
    <row r="1047" spans="2:18" ht="15" customHeight="1" x14ac:dyDescent="0.25">
      <c r="B1047" s="114"/>
      <c r="C1047" s="269"/>
      <c r="D1047" s="272">
        <f t="shared" si="48"/>
        <v>0</v>
      </c>
      <c r="I1047" s="114"/>
      <c r="J1047" s="269"/>
      <c r="K1047" s="272">
        <f t="shared" si="49"/>
        <v>0</v>
      </c>
      <c r="P1047" s="114"/>
      <c r="Q1047" s="269"/>
      <c r="R1047" s="272">
        <f t="shared" si="50"/>
        <v>0</v>
      </c>
    </row>
    <row r="1048" spans="2:18" ht="15" customHeight="1" x14ac:dyDescent="0.25">
      <c r="B1048" s="114"/>
      <c r="C1048" s="269"/>
      <c r="D1048" s="272">
        <f t="shared" si="48"/>
        <v>0</v>
      </c>
      <c r="I1048" s="114"/>
      <c r="J1048" s="269"/>
      <c r="K1048" s="272">
        <f t="shared" si="49"/>
        <v>0</v>
      </c>
      <c r="P1048" s="114"/>
      <c r="Q1048" s="269"/>
      <c r="R1048" s="272">
        <f t="shared" si="50"/>
        <v>0</v>
      </c>
    </row>
    <row r="1049" spans="2:18" ht="15" customHeight="1" x14ac:dyDescent="0.25">
      <c r="B1049" s="114"/>
      <c r="C1049" s="269"/>
      <c r="D1049" s="272">
        <f t="shared" si="48"/>
        <v>0</v>
      </c>
      <c r="I1049" s="114"/>
      <c r="J1049" s="269"/>
      <c r="K1049" s="272">
        <f t="shared" si="49"/>
        <v>0</v>
      </c>
      <c r="P1049" s="114"/>
      <c r="Q1049" s="269"/>
      <c r="R1049" s="272">
        <f t="shared" si="50"/>
        <v>0</v>
      </c>
    </row>
    <row r="1050" spans="2:18" ht="15" customHeight="1" x14ac:dyDescent="0.25">
      <c r="B1050" s="114"/>
      <c r="C1050" s="269"/>
      <c r="D1050" s="272">
        <f t="shared" si="48"/>
        <v>0</v>
      </c>
      <c r="I1050" s="114"/>
      <c r="J1050" s="269"/>
      <c r="K1050" s="272">
        <f t="shared" si="49"/>
        <v>0</v>
      </c>
      <c r="P1050" s="114"/>
      <c r="Q1050" s="269"/>
      <c r="R1050" s="272">
        <f t="shared" si="50"/>
        <v>0</v>
      </c>
    </row>
    <row r="1051" spans="2:18" ht="15" customHeight="1" x14ac:dyDescent="0.25">
      <c r="B1051" s="114"/>
      <c r="C1051" s="269"/>
      <c r="D1051" s="272">
        <f t="shared" si="48"/>
        <v>0</v>
      </c>
      <c r="I1051" s="114"/>
      <c r="J1051" s="269"/>
      <c r="K1051" s="272">
        <f t="shared" si="49"/>
        <v>0</v>
      </c>
      <c r="P1051" s="114"/>
      <c r="Q1051" s="269"/>
      <c r="R1051" s="272">
        <f t="shared" si="50"/>
        <v>0</v>
      </c>
    </row>
    <row r="1052" spans="2:18" ht="15" customHeight="1" x14ac:dyDescent="0.25">
      <c r="B1052" s="114"/>
      <c r="C1052" s="269"/>
      <c r="D1052" s="272">
        <f t="shared" si="48"/>
        <v>0</v>
      </c>
      <c r="I1052" s="114"/>
      <c r="J1052" s="269"/>
      <c r="K1052" s="272">
        <f t="shared" si="49"/>
        <v>0</v>
      </c>
      <c r="P1052" s="114"/>
      <c r="Q1052" s="269"/>
      <c r="R1052" s="272">
        <f t="shared" si="50"/>
        <v>0</v>
      </c>
    </row>
    <row r="1053" spans="2:18" ht="15" customHeight="1" x14ac:dyDescent="0.25">
      <c r="B1053" s="114"/>
      <c r="C1053" s="269"/>
      <c r="D1053" s="272">
        <f t="shared" si="48"/>
        <v>0</v>
      </c>
      <c r="I1053" s="114"/>
      <c r="J1053" s="269"/>
      <c r="K1053" s="272">
        <f t="shared" si="49"/>
        <v>0</v>
      </c>
      <c r="P1053" s="114"/>
      <c r="Q1053" s="269"/>
      <c r="R1053" s="272">
        <f t="shared" si="50"/>
        <v>0</v>
      </c>
    </row>
    <row r="1054" spans="2:18" ht="15" customHeight="1" x14ac:dyDescent="0.25">
      <c r="B1054" s="114"/>
      <c r="C1054" s="269"/>
      <c r="D1054" s="272">
        <f t="shared" si="48"/>
        <v>0</v>
      </c>
      <c r="I1054" s="114"/>
      <c r="J1054" s="269"/>
      <c r="K1054" s="272">
        <f t="shared" si="49"/>
        <v>0</v>
      </c>
      <c r="P1054" s="114"/>
      <c r="Q1054" s="269"/>
      <c r="R1054" s="272">
        <f t="shared" si="50"/>
        <v>0</v>
      </c>
    </row>
    <row r="1055" spans="2:18" ht="15" customHeight="1" x14ac:dyDescent="0.25">
      <c r="B1055" s="114"/>
      <c r="C1055" s="269"/>
      <c r="D1055" s="272">
        <f t="shared" si="48"/>
        <v>0</v>
      </c>
      <c r="I1055" s="114"/>
      <c r="J1055" s="269"/>
      <c r="K1055" s="272">
        <f t="shared" si="49"/>
        <v>0</v>
      </c>
      <c r="P1055" s="114"/>
      <c r="Q1055" s="269"/>
      <c r="R1055" s="272">
        <f t="shared" si="50"/>
        <v>0</v>
      </c>
    </row>
    <row r="1056" spans="2:18" ht="15" customHeight="1" x14ac:dyDescent="0.25">
      <c r="B1056" s="114"/>
      <c r="C1056" s="269"/>
      <c r="D1056" s="272">
        <f t="shared" si="48"/>
        <v>0</v>
      </c>
      <c r="I1056" s="114"/>
      <c r="J1056" s="269"/>
      <c r="K1056" s="272">
        <f t="shared" si="49"/>
        <v>0</v>
      </c>
      <c r="P1056" s="114"/>
      <c r="Q1056" s="269"/>
      <c r="R1056" s="272">
        <f t="shared" si="50"/>
        <v>0</v>
      </c>
    </row>
    <row r="1057" spans="2:18" ht="15" customHeight="1" x14ac:dyDescent="0.25">
      <c r="B1057" s="114"/>
      <c r="C1057" s="269"/>
      <c r="D1057" s="272">
        <f t="shared" si="48"/>
        <v>0</v>
      </c>
      <c r="I1057" s="114"/>
      <c r="J1057" s="269"/>
      <c r="K1057" s="272">
        <f t="shared" si="49"/>
        <v>0</v>
      </c>
      <c r="P1057" s="114"/>
      <c r="Q1057" s="269"/>
      <c r="R1057" s="272">
        <f t="shared" si="50"/>
        <v>0</v>
      </c>
    </row>
    <row r="1058" spans="2:18" ht="15" customHeight="1" x14ac:dyDescent="0.25">
      <c r="B1058" s="114"/>
      <c r="C1058" s="269"/>
      <c r="D1058" s="272">
        <f t="shared" si="48"/>
        <v>0</v>
      </c>
      <c r="I1058" s="114"/>
      <c r="J1058" s="269"/>
      <c r="K1058" s="272">
        <f t="shared" si="49"/>
        <v>0</v>
      </c>
      <c r="P1058" s="114"/>
      <c r="Q1058" s="269"/>
      <c r="R1058" s="272">
        <f t="shared" si="50"/>
        <v>0</v>
      </c>
    </row>
    <row r="1059" spans="2:18" ht="15" customHeight="1" x14ac:dyDescent="0.25">
      <c r="B1059" s="114"/>
      <c r="C1059" s="269"/>
      <c r="D1059" s="272">
        <f t="shared" si="48"/>
        <v>0</v>
      </c>
      <c r="I1059" s="114"/>
      <c r="J1059" s="269"/>
      <c r="K1059" s="272">
        <f t="shared" si="49"/>
        <v>0</v>
      </c>
      <c r="P1059" s="114"/>
      <c r="Q1059" s="269"/>
      <c r="R1059" s="272">
        <f t="shared" si="50"/>
        <v>0</v>
      </c>
    </row>
    <row r="1060" spans="2:18" ht="15" customHeight="1" x14ac:dyDescent="0.25">
      <c r="B1060" s="114"/>
      <c r="C1060" s="269"/>
      <c r="D1060" s="272">
        <f t="shared" si="48"/>
        <v>0</v>
      </c>
      <c r="I1060" s="114"/>
      <c r="J1060" s="269"/>
      <c r="K1060" s="272">
        <f t="shared" si="49"/>
        <v>0</v>
      </c>
      <c r="P1060" s="114"/>
      <c r="Q1060" s="269"/>
      <c r="R1060" s="272">
        <f t="shared" si="50"/>
        <v>0</v>
      </c>
    </row>
    <row r="1061" spans="2:18" ht="15" customHeight="1" x14ac:dyDescent="0.25">
      <c r="B1061" s="114"/>
      <c r="C1061" s="269"/>
      <c r="D1061" s="272">
        <f t="shared" si="48"/>
        <v>0</v>
      </c>
      <c r="I1061" s="114"/>
      <c r="J1061" s="269"/>
      <c r="K1061" s="272">
        <f t="shared" si="49"/>
        <v>0</v>
      </c>
      <c r="P1061" s="114"/>
      <c r="Q1061" s="269"/>
      <c r="R1061" s="272">
        <f t="shared" si="50"/>
        <v>0</v>
      </c>
    </row>
    <row r="1062" spans="2:18" ht="15" customHeight="1" x14ac:dyDescent="0.25">
      <c r="B1062" s="114"/>
      <c r="C1062" s="269"/>
      <c r="D1062" s="272">
        <f t="shared" si="48"/>
        <v>0</v>
      </c>
      <c r="I1062" s="114"/>
      <c r="J1062" s="269"/>
      <c r="K1062" s="272">
        <f t="shared" si="49"/>
        <v>0</v>
      </c>
      <c r="P1062" s="114"/>
      <c r="Q1062" s="269"/>
      <c r="R1062" s="272">
        <f t="shared" si="50"/>
        <v>0</v>
      </c>
    </row>
    <row r="1063" spans="2:18" ht="15" customHeight="1" x14ac:dyDescent="0.25">
      <c r="B1063" s="114"/>
      <c r="C1063" s="269"/>
      <c r="D1063" s="272">
        <f t="shared" si="48"/>
        <v>0</v>
      </c>
      <c r="I1063" s="114"/>
      <c r="J1063" s="269"/>
      <c r="K1063" s="272">
        <f t="shared" si="49"/>
        <v>0</v>
      </c>
      <c r="P1063" s="114"/>
      <c r="Q1063" s="269"/>
      <c r="R1063" s="272">
        <f t="shared" si="50"/>
        <v>0</v>
      </c>
    </row>
    <row r="1064" spans="2:18" ht="15" customHeight="1" x14ac:dyDescent="0.25">
      <c r="B1064" s="114"/>
      <c r="C1064" s="269"/>
      <c r="D1064" s="272">
        <f t="shared" si="48"/>
        <v>0</v>
      </c>
      <c r="I1064" s="114"/>
      <c r="J1064" s="269"/>
      <c r="K1064" s="272">
        <f t="shared" si="49"/>
        <v>0</v>
      </c>
      <c r="P1064" s="114"/>
      <c r="Q1064" s="269"/>
      <c r="R1064" s="272">
        <f t="shared" si="50"/>
        <v>0</v>
      </c>
    </row>
    <row r="1065" spans="2:18" ht="15" customHeight="1" x14ac:dyDescent="0.25">
      <c r="B1065" s="114"/>
      <c r="C1065" s="269"/>
      <c r="D1065" s="272">
        <f t="shared" si="48"/>
        <v>0</v>
      </c>
      <c r="I1065" s="114"/>
      <c r="J1065" s="269"/>
      <c r="K1065" s="272">
        <f t="shared" si="49"/>
        <v>0</v>
      </c>
      <c r="P1065" s="114"/>
      <c r="Q1065" s="269"/>
      <c r="R1065" s="272">
        <f t="shared" si="50"/>
        <v>0</v>
      </c>
    </row>
    <row r="1066" spans="2:18" ht="15" customHeight="1" x14ac:dyDescent="0.25">
      <c r="B1066" s="114"/>
      <c r="C1066" s="269"/>
      <c r="D1066" s="272">
        <f t="shared" si="48"/>
        <v>0</v>
      </c>
      <c r="I1066" s="114"/>
      <c r="J1066" s="269"/>
      <c r="K1066" s="272">
        <f t="shared" si="49"/>
        <v>0</v>
      </c>
      <c r="P1066" s="114"/>
      <c r="Q1066" s="269"/>
      <c r="R1066" s="272">
        <f t="shared" si="50"/>
        <v>0</v>
      </c>
    </row>
    <row r="1067" spans="2:18" ht="15" customHeight="1" x14ac:dyDescent="0.25">
      <c r="B1067" s="114"/>
      <c r="C1067" s="269"/>
      <c r="D1067" s="272">
        <f t="shared" si="48"/>
        <v>0</v>
      </c>
      <c r="I1067" s="114"/>
      <c r="J1067" s="269"/>
      <c r="K1067" s="272">
        <f t="shared" si="49"/>
        <v>0</v>
      </c>
      <c r="P1067" s="114"/>
      <c r="Q1067" s="269"/>
      <c r="R1067" s="272">
        <f t="shared" si="50"/>
        <v>0</v>
      </c>
    </row>
    <row r="1068" spans="2:18" ht="15" customHeight="1" x14ac:dyDescent="0.25">
      <c r="B1068" s="114"/>
      <c r="C1068" s="269"/>
      <c r="D1068" s="272">
        <f t="shared" si="48"/>
        <v>0</v>
      </c>
      <c r="I1068" s="114"/>
      <c r="J1068" s="269"/>
      <c r="K1068" s="272">
        <f t="shared" si="49"/>
        <v>0</v>
      </c>
      <c r="P1068" s="114"/>
      <c r="Q1068" s="269"/>
      <c r="R1068" s="272">
        <f t="shared" si="50"/>
        <v>0</v>
      </c>
    </row>
    <row r="1069" spans="2:18" ht="15" customHeight="1" x14ac:dyDescent="0.25">
      <c r="B1069" s="114"/>
      <c r="C1069" s="269"/>
      <c r="D1069" s="272">
        <f t="shared" si="48"/>
        <v>0</v>
      </c>
      <c r="I1069" s="114"/>
      <c r="J1069" s="269"/>
      <c r="K1069" s="272">
        <f t="shared" si="49"/>
        <v>0</v>
      </c>
      <c r="P1069" s="114"/>
      <c r="Q1069" s="269"/>
      <c r="R1069" s="272">
        <f t="shared" si="50"/>
        <v>0</v>
      </c>
    </row>
    <row r="1070" spans="2:18" ht="15" customHeight="1" x14ac:dyDescent="0.25">
      <c r="B1070" s="114"/>
      <c r="C1070" s="269"/>
      <c r="D1070" s="272">
        <f t="shared" si="48"/>
        <v>0</v>
      </c>
      <c r="I1070" s="114"/>
      <c r="J1070" s="269"/>
      <c r="K1070" s="272">
        <f t="shared" si="49"/>
        <v>0</v>
      </c>
      <c r="P1070" s="114"/>
      <c r="Q1070" s="269"/>
      <c r="R1070" s="272">
        <f t="shared" si="50"/>
        <v>0</v>
      </c>
    </row>
    <row r="1071" spans="2:18" ht="15" customHeight="1" x14ac:dyDescent="0.25">
      <c r="B1071" s="114"/>
      <c r="C1071" s="269"/>
      <c r="D1071" s="272">
        <f t="shared" si="48"/>
        <v>0</v>
      </c>
      <c r="I1071" s="114"/>
      <c r="J1071" s="269"/>
      <c r="K1071" s="272">
        <f t="shared" si="49"/>
        <v>0</v>
      </c>
      <c r="P1071" s="114"/>
      <c r="Q1071" s="269"/>
      <c r="R1071" s="272">
        <f t="shared" si="50"/>
        <v>0</v>
      </c>
    </row>
    <row r="1072" spans="2:18" ht="15" customHeight="1" x14ac:dyDescent="0.25">
      <c r="B1072" s="114"/>
      <c r="C1072" s="269"/>
      <c r="D1072" s="272">
        <f t="shared" si="48"/>
        <v>0</v>
      </c>
      <c r="I1072" s="114"/>
      <c r="J1072" s="269"/>
      <c r="K1072" s="272">
        <f t="shared" si="49"/>
        <v>0</v>
      </c>
      <c r="P1072" s="114"/>
      <c r="Q1072" s="269"/>
      <c r="R1072" s="272">
        <f t="shared" si="50"/>
        <v>0</v>
      </c>
    </row>
    <row r="1073" spans="2:18" ht="15" customHeight="1" x14ac:dyDescent="0.25">
      <c r="B1073" s="114"/>
      <c r="C1073" s="269"/>
      <c r="D1073" s="272">
        <f t="shared" si="48"/>
        <v>0</v>
      </c>
      <c r="I1073" s="114"/>
      <c r="J1073" s="269"/>
      <c r="K1073" s="272">
        <f t="shared" si="49"/>
        <v>0</v>
      </c>
      <c r="P1073" s="114"/>
      <c r="Q1073" s="269"/>
      <c r="R1073" s="272">
        <f t="shared" si="50"/>
        <v>0</v>
      </c>
    </row>
    <row r="1074" spans="2:18" ht="15" customHeight="1" x14ac:dyDescent="0.25">
      <c r="B1074" s="114"/>
      <c r="C1074" s="269"/>
      <c r="D1074" s="272">
        <f t="shared" si="48"/>
        <v>0</v>
      </c>
      <c r="I1074" s="114"/>
      <c r="J1074" s="269"/>
      <c r="K1074" s="272">
        <f t="shared" si="49"/>
        <v>0</v>
      </c>
      <c r="P1074" s="114"/>
      <c r="Q1074" s="269"/>
      <c r="R1074" s="272">
        <f t="shared" si="50"/>
        <v>0</v>
      </c>
    </row>
    <row r="1075" spans="2:18" ht="15" customHeight="1" x14ac:dyDescent="0.25">
      <c r="B1075" s="114"/>
      <c r="C1075" s="269"/>
      <c r="D1075" s="272">
        <f t="shared" si="48"/>
        <v>0</v>
      </c>
      <c r="I1075" s="114"/>
      <c r="J1075" s="269"/>
      <c r="K1075" s="272">
        <f t="shared" si="49"/>
        <v>0</v>
      </c>
      <c r="P1075" s="114"/>
      <c r="Q1075" s="269"/>
      <c r="R1075" s="272">
        <f t="shared" si="50"/>
        <v>0</v>
      </c>
    </row>
    <row r="1076" spans="2:18" ht="15" customHeight="1" x14ac:dyDescent="0.25">
      <c r="B1076" s="114"/>
      <c r="C1076" s="269"/>
      <c r="D1076" s="272">
        <f t="shared" si="48"/>
        <v>0</v>
      </c>
      <c r="I1076" s="114"/>
      <c r="J1076" s="269"/>
      <c r="K1076" s="272">
        <f t="shared" si="49"/>
        <v>0</v>
      </c>
      <c r="P1076" s="114"/>
      <c r="Q1076" s="269"/>
      <c r="R1076" s="272">
        <f t="shared" si="50"/>
        <v>0</v>
      </c>
    </row>
    <row r="1077" spans="2:18" ht="15" customHeight="1" x14ac:dyDescent="0.25">
      <c r="B1077" s="114"/>
      <c r="C1077" s="269"/>
      <c r="D1077" s="272">
        <f t="shared" si="48"/>
        <v>0</v>
      </c>
      <c r="I1077" s="114"/>
      <c r="J1077" s="269"/>
      <c r="K1077" s="272">
        <f t="shared" si="49"/>
        <v>0</v>
      </c>
      <c r="P1077" s="114"/>
      <c r="Q1077" s="269"/>
      <c r="R1077" s="272">
        <f t="shared" si="50"/>
        <v>0</v>
      </c>
    </row>
    <row r="1078" spans="2:18" ht="15" customHeight="1" x14ac:dyDescent="0.25">
      <c r="B1078" s="114"/>
      <c r="C1078" s="269"/>
      <c r="D1078" s="272">
        <f t="shared" si="48"/>
        <v>0</v>
      </c>
      <c r="I1078" s="114"/>
      <c r="J1078" s="269"/>
      <c r="K1078" s="272">
        <f t="shared" si="49"/>
        <v>0</v>
      </c>
      <c r="P1078" s="114"/>
      <c r="Q1078" s="269"/>
      <c r="R1078" s="272">
        <f t="shared" si="50"/>
        <v>0</v>
      </c>
    </row>
    <row r="1079" spans="2:18" ht="15" customHeight="1" x14ac:dyDescent="0.25">
      <c r="B1079" s="114"/>
      <c r="C1079" s="269"/>
      <c r="D1079" s="272">
        <f t="shared" si="48"/>
        <v>0</v>
      </c>
      <c r="I1079" s="114"/>
      <c r="J1079" s="269"/>
      <c r="K1079" s="272">
        <f t="shared" si="49"/>
        <v>0</v>
      </c>
      <c r="P1079" s="114"/>
      <c r="Q1079" s="269"/>
      <c r="R1079" s="272">
        <f t="shared" si="50"/>
        <v>0</v>
      </c>
    </row>
    <row r="1080" spans="2:18" ht="15" customHeight="1" x14ac:dyDescent="0.25">
      <c r="B1080" s="114"/>
      <c r="C1080" s="269"/>
      <c r="D1080" s="272">
        <f t="shared" si="48"/>
        <v>0</v>
      </c>
      <c r="I1080" s="114"/>
      <c r="J1080" s="269"/>
      <c r="K1080" s="272">
        <f t="shared" si="49"/>
        <v>0</v>
      </c>
      <c r="P1080" s="114"/>
      <c r="Q1080" s="269"/>
      <c r="R1080" s="272">
        <f t="shared" si="50"/>
        <v>0</v>
      </c>
    </row>
    <row r="1081" spans="2:18" ht="15" customHeight="1" x14ac:dyDescent="0.25">
      <c r="B1081" s="114"/>
      <c r="C1081" s="269"/>
      <c r="D1081" s="272">
        <f t="shared" si="48"/>
        <v>0</v>
      </c>
      <c r="I1081" s="114"/>
      <c r="J1081" s="269"/>
      <c r="K1081" s="272">
        <f t="shared" si="49"/>
        <v>0</v>
      </c>
      <c r="P1081" s="114"/>
      <c r="Q1081" s="269"/>
      <c r="R1081" s="272">
        <f t="shared" si="50"/>
        <v>0</v>
      </c>
    </row>
    <row r="1082" spans="2:18" ht="15" customHeight="1" x14ac:dyDescent="0.25">
      <c r="B1082" s="114"/>
      <c r="C1082" s="269"/>
      <c r="D1082" s="272">
        <f t="shared" si="48"/>
        <v>0</v>
      </c>
      <c r="I1082" s="114"/>
      <c r="J1082" s="269"/>
      <c r="K1082" s="272">
        <f t="shared" si="49"/>
        <v>0</v>
      </c>
      <c r="P1082" s="114"/>
      <c r="Q1082" s="269"/>
      <c r="R1082" s="272">
        <f t="shared" si="50"/>
        <v>0</v>
      </c>
    </row>
    <row r="1083" spans="2:18" ht="15" customHeight="1" x14ac:dyDescent="0.25">
      <c r="B1083" s="114"/>
      <c r="C1083" s="269"/>
      <c r="D1083" s="272">
        <f t="shared" si="48"/>
        <v>0</v>
      </c>
      <c r="I1083" s="114"/>
      <c r="J1083" s="269"/>
      <c r="K1083" s="272">
        <f t="shared" si="49"/>
        <v>0</v>
      </c>
      <c r="P1083" s="114"/>
      <c r="Q1083" s="269"/>
      <c r="R1083" s="272">
        <f t="shared" si="50"/>
        <v>0</v>
      </c>
    </row>
    <row r="1084" spans="2:18" ht="15" customHeight="1" x14ac:dyDescent="0.25">
      <c r="B1084" s="114"/>
      <c r="C1084" s="269"/>
      <c r="D1084" s="272">
        <f t="shared" si="48"/>
        <v>0</v>
      </c>
      <c r="I1084" s="114"/>
      <c r="J1084" s="269"/>
      <c r="K1084" s="272">
        <f t="shared" si="49"/>
        <v>0</v>
      </c>
      <c r="P1084" s="114"/>
      <c r="Q1084" s="269"/>
      <c r="R1084" s="272">
        <f t="shared" si="50"/>
        <v>0</v>
      </c>
    </row>
    <row r="1085" spans="2:18" ht="15" customHeight="1" x14ac:dyDescent="0.25">
      <c r="B1085" s="114"/>
      <c r="C1085" s="269"/>
      <c r="D1085" s="272">
        <f t="shared" si="48"/>
        <v>0</v>
      </c>
      <c r="I1085" s="114"/>
      <c r="J1085" s="269"/>
      <c r="K1085" s="272">
        <f t="shared" si="49"/>
        <v>0</v>
      </c>
      <c r="P1085" s="114"/>
      <c r="Q1085" s="269"/>
      <c r="R1085" s="272">
        <f t="shared" si="50"/>
        <v>0</v>
      </c>
    </row>
    <row r="1086" spans="2:18" ht="15" customHeight="1" x14ac:dyDescent="0.25">
      <c r="B1086" s="114"/>
      <c r="C1086" s="269"/>
      <c r="D1086" s="272">
        <f t="shared" si="48"/>
        <v>0</v>
      </c>
      <c r="I1086" s="114"/>
      <c r="J1086" s="269"/>
      <c r="K1086" s="272">
        <f t="shared" si="49"/>
        <v>0</v>
      </c>
      <c r="P1086" s="114"/>
      <c r="Q1086" s="269"/>
      <c r="R1086" s="272">
        <f t="shared" si="50"/>
        <v>0</v>
      </c>
    </row>
    <row r="1087" spans="2:18" ht="15" customHeight="1" x14ac:dyDescent="0.25">
      <c r="B1087" s="114"/>
      <c r="C1087" s="269"/>
      <c r="D1087" s="272">
        <f t="shared" si="48"/>
        <v>0</v>
      </c>
      <c r="I1087" s="114"/>
      <c r="J1087" s="269"/>
      <c r="K1087" s="272">
        <f t="shared" si="49"/>
        <v>0</v>
      </c>
      <c r="P1087" s="114"/>
      <c r="Q1087" s="269"/>
      <c r="R1087" s="272">
        <f t="shared" si="50"/>
        <v>0</v>
      </c>
    </row>
    <row r="1088" spans="2:18" ht="15" customHeight="1" x14ac:dyDescent="0.25">
      <c r="B1088" s="114"/>
      <c r="C1088" s="269"/>
      <c r="D1088" s="272">
        <f t="shared" si="48"/>
        <v>0</v>
      </c>
      <c r="I1088" s="114"/>
      <c r="J1088" s="269"/>
      <c r="K1088" s="272">
        <f t="shared" si="49"/>
        <v>0</v>
      </c>
      <c r="P1088" s="114"/>
      <c r="Q1088" s="269"/>
      <c r="R1088" s="272">
        <f t="shared" si="50"/>
        <v>0</v>
      </c>
    </row>
    <row r="1089" spans="2:18" ht="15" customHeight="1" x14ac:dyDescent="0.25">
      <c r="B1089" s="114"/>
      <c r="C1089" s="269"/>
      <c r="D1089" s="272">
        <f t="shared" si="48"/>
        <v>0</v>
      </c>
      <c r="I1089" s="114"/>
      <c r="J1089" s="269"/>
      <c r="K1089" s="272">
        <f t="shared" si="49"/>
        <v>0</v>
      </c>
      <c r="P1089" s="114"/>
      <c r="Q1089" s="269"/>
      <c r="R1089" s="272">
        <f t="shared" si="50"/>
        <v>0</v>
      </c>
    </row>
    <row r="1090" spans="2:18" ht="15" customHeight="1" x14ac:dyDescent="0.25">
      <c r="B1090" s="114"/>
      <c r="C1090" s="269"/>
      <c r="D1090" s="272">
        <f t="shared" si="48"/>
        <v>0</v>
      </c>
      <c r="I1090" s="114"/>
      <c r="J1090" s="269"/>
      <c r="K1090" s="272">
        <f t="shared" si="49"/>
        <v>0</v>
      </c>
      <c r="P1090" s="114"/>
      <c r="Q1090" s="269"/>
      <c r="R1090" s="272">
        <f t="shared" si="50"/>
        <v>0</v>
      </c>
    </row>
    <row r="1091" spans="2:18" ht="15" customHeight="1" x14ac:dyDescent="0.25">
      <c r="B1091" s="114"/>
      <c r="C1091" s="269"/>
      <c r="D1091" s="272">
        <f t="shared" si="48"/>
        <v>0</v>
      </c>
      <c r="I1091" s="114"/>
      <c r="J1091" s="269"/>
      <c r="K1091" s="272">
        <f t="shared" si="49"/>
        <v>0</v>
      </c>
      <c r="P1091" s="114"/>
      <c r="Q1091" s="269"/>
      <c r="R1091" s="272">
        <f t="shared" si="50"/>
        <v>0</v>
      </c>
    </row>
    <row r="1092" spans="2:18" ht="15" customHeight="1" x14ac:dyDescent="0.25">
      <c r="B1092" s="114"/>
      <c r="C1092" s="269"/>
      <c r="D1092" s="272">
        <f t="shared" si="48"/>
        <v>0</v>
      </c>
      <c r="I1092" s="114"/>
      <c r="J1092" s="269"/>
      <c r="K1092" s="272">
        <f t="shared" si="49"/>
        <v>0</v>
      </c>
      <c r="P1092" s="114"/>
      <c r="Q1092" s="269"/>
      <c r="R1092" s="272">
        <f t="shared" si="50"/>
        <v>0</v>
      </c>
    </row>
    <row r="1093" spans="2:18" ht="15" customHeight="1" x14ac:dyDescent="0.25">
      <c r="B1093" s="114"/>
      <c r="C1093" s="269"/>
      <c r="D1093" s="272">
        <f t="shared" si="48"/>
        <v>0</v>
      </c>
      <c r="I1093" s="114"/>
      <c r="J1093" s="269"/>
      <c r="K1093" s="272">
        <f t="shared" si="49"/>
        <v>0</v>
      </c>
      <c r="P1093" s="114"/>
      <c r="Q1093" s="269"/>
      <c r="R1093" s="272">
        <f t="shared" si="50"/>
        <v>0</v>
      </c>
    </row>
    <row r="1094" spans="2:18" ht="15" customHeight="1" x14ac:dyDescent="0.25">
      <c r="B1094" s="114"/>
      <c r="C1094" s="269"/>
      <c r="D1094" s="272">
        <f t="shared" si="48"/>
        <v>0</v>
      </c>
      <c r="I1094" s="114"/>
      <c r="J1094" s="269"/>
      <c r="K1094" s="272">
        <f t="shared" si="49"/>
        <v>0</v>
      </c>
      <c r="P1094" s="114"/>
      <c r="Q1094" s="269"/>
      <c r="R1094" s="272">
        <f t="shared" si="50"/>
        <v>0</v>
      </c>
    </row>
    <row r="1095" spans="2:18" ht="15" customHeight="1" x14ac:dyDescent="0.25">
      <c r="B1095" s="114"/>
      <c r="C1095" s="269"/>
      <c r="D1095" s="272">
        <f t="shared" si="48"/>
        <v>0</v>
      </c>
      <c r="I1095" s="114"/>
      <c r="J1095" s="269"/>
      <c r="K1095" s="272">
        <f t="shared" si="49"/>
        <v>0</v>
      </c>
      <c r="P1095" s="114"/>
      <c r="Q1095" s="269"/>
      <c r="R1095" s="272">
        <f t="shared" si="50"/>
        <v>0</v>
      </c>
    </row>
    <row r="1096" spans="2:18" ht="15" customHeight="1" x14ac:dyDescent="0.25">
      <c r="B1096" s="114"/>
      <c r="C1096" s="269"/>
      <c r="D1096" s="272">
        <f t="shared" si="48"/>
        <v>0</v>
      </c>
      <c r="I1096" s="114"/>
      <c r="J1096" s="269"/>
      <c r="K1096" s="272">
        <f t="shared" si="49"/>
        <v>0</v>
      </c>
      <c r="P1096" s="114"/>
      <c r="Q1096" s="269"/>
      <c r="R1096" s="272">
        <f t="shared" si="50"/>
        <v>0</v>
      </c>
    </row>
    <row r="1097" spans="2:18" ht="15" customHeight="1" x14ac:dyDescent="0.25">
      <c r="B1097" s="114"/>
      <c r="C1097" s="269"/>
      <c r="D1097" s="272">
        <f t="shared" si="48"/>
        <v>0</v>
      </c>
      <c r="I1097" s="114"/>
      <c r="J1097" s="269"/>
      <c r="K1097" s="272">
        <f t="shared" si="49"/>
        <v>0</v>
      </c>
      <c r="P1097" s="114"/>
      <c r="Q1097" s="269"/>
      <c r="R1097" s="272">
        <f t="shared" si="50"/>
        <v>0</v>
      </c>
    </row>
    <row r="1098" spans="2:18" ht="15" customHeight="1" x14ac:dyDescent="0.25">
      <c r="B1098" s="114"/>
      <c r="C1098" s="269"/>
      <c r="D1098" s="272">
        <f t="shared" si="48"/>
        <v>0</v>
      </c>
      <c r="I1098" s="114"/>
      <c r="J1098" s="269"/>
      <c r="K1098" s="272">
        <f t="shared" si="49"/>
        <v>0</v>
      </c>
      <c r="P1098" s="114"/>
      <c r="Q1098" s="269"/>
      <c r="R1098" s="272">
        <f t="shared" si="50"/>
        <v>0</v>
      </c>
    </row>
    <row r="1099" spans="2:18" ht="15" customHeight="1" x14ac:dyDescent="0.25">
      <c r="B1099" s="114"/>
      <c r="C1099" s="269"/>
      <c r="D1099" s="272">
        <f t="shared" si="48"/>
        <v>0</v>
      </c>
      <c r="I1099" s="114"/>
      <c r="J1099" s="269"/>
      <c r="K1099" s="272">
        <f t="shared" si="49"/>
        <v>0</v>
      </c>
      <c r="P1099" s="114"/>
      <c r="Q1099" s="269"/>
      <c r="R1099" s="272">
        <f t="shared" si="50"/>
        <v>0</v>
      </c>
    </row>
    <row r="1100" spans="2:18" ht="15" customHeight="1" x14ac:dyDescent="0.25">
      <c r="B1100" s="114"/>
      <c r="C1100" s="269"/>
      <c r="D1100" s="272">
        <f t="shared" si="48"/>
        <v>0</v>
      </c>
      <c r="I1100" s="114"/>
      <c r="J1100" s="269"/>
      <c r="K1100" s="272">
        <f t="shared" si="49"/>
        <v>0</v>
      </c>
      <c r="P1100" s="114"/>
      <c r="Q1100" s="269"/>
      <c r="R1100" s="272">
        <f t="shared" si="50"/>
        <v>0</v>
      </c>
    </row>
    <row r="1101" spans="2:18" ht="15" customHeight="1" x14ac:dyDescent="0.25">
      <c r="B1101" s="114"/>
      <c r="C1101" s="269"/>
      <c r="D1101" s="272">
        <f t="shared" si="48"/>
        <v>0</v>
      </c>
      <c r="I1101" s="114"/>
      <c r="J1101" s="269"/>
      <c r="K1101" s="272">
        <f t="shared" si="49"/>
        <v>0</v>
      </c>
      <c r="P1101" s="114"/>
      <c r="Q1101" s="269"/>
      <c r="R1101" s="272">
        <f t="shared" si="50"/>
        <v>0</v>
      </c>
    </row>
    <row r="1102" spans="2:18" ht="15" customHeight="1" x14ac:dyDescent="0.25">
      <c r="B1102" s="114"/>
      <c r="C1102" s="269"/>
      <c r="D1102" s="272">
        <f t="shared" si="48"/>
        <v>0</v>
      </c>
      <c r="I1102" s="114"/>
      <c r="J1102" s="269"/>
      <c r="K1102" s="272">
        <f t="shared" si="49"/>
        <v>0</v>
      </c>
      <c r="P1102" s="114"/>
      <c r="Q1102" s="269"/>
      <c r="R1102" s="272">
        <f t="shared" si="50"/>
        <v>0</v>
      </c>
    </row>
    <row r="1103" spans="2:18" ht="15" customHeight="1" x14ac:dyDescent="0.25">
      <c r="B1103" s="114"/>
      <c r="C1103" s="269"/>
      <c r="D1103" s="272">
        <f t="shared" si="48"/>
        <v>0</v>
      </c>
      <c r="I1103" s="114"/>
      <c r="J1103" s="269"/>
      <c r="K1103" s="272">
        <f t="shared" si="49"/>
        <v>0</v>
      </c>
      <c r="P1103" s="114"/>
      <c r="Q1103" s="269"/>
      <c r="R1103" s="272">
        <f t="shared" si="50"/>
        <v>0</v>
      </c>
    </row>
    <row r="1104" spans="2:18" ht="15" customHeight="1" x14ac:dyDescent="0.25">
      <c r="B1104" s="114"/>
      <c r="C1104" s="269"/>
      <c r="D1104" s="272">
        <f t="shared" si="48"/>
        <v>0</v>
      </c>
      <c r="I1104" s="114"/>
      <c r="J1104" s="269"/>
      <c r="K1104" s="272">
        <f t="shared" si="49"/>
        <v>0</v>
      </c>
      <c r="P1104" s="114"/>
      <c r="Q1104" s="269"/>
      <c r="R1104" s="272">
        <f t="shared" si="50"/>
        <v>0</v>
      </c>
    </row>
    <row r="1105" spans="2:18" ht="15" customHeight="1" x14ac:dyDescent="0.25">
      <c r="B1105" s="114"/>
      <c r="C1105" s="269"/>
      <c r="D1105" s="272">
        <f t="shared" si="48"/>
        <v>0</v>
      </c>
      <c r="I1105" s="114"/>
      <c r="J1105" s="269"/>
      <c r="K1105" s="272">
        <f t="shared" si="49"/>
        <v>0</v>
      </c>
      <c r="P1105" s="114"/>
      <c r="Q1105" s="269"/>
      <c r="R1105" s="272">
        <f t="shared" si="50"/>
        <v>0</v>
      </c>
    </row>
    <row r="1106" spans="2:18" ht="15" customHeight="1" x14ac:dyDescent="0.25">
      <c r="B1106" s="114"/>
      <c r="C1106" s="269"/>
      <c r="D1106" s="272">
        <f t="shared" ref="D1106:D1169" si="51">C1106/1000</f>
        <v>0</v>
      </c>
      <c r="I1106" s="114"/>
      <c r="J1106" s="269"/>
      <c r="K1106" s="272">
        <f t="shared" ref="K1106:K1169" si="52">J1106/1000</f>
        <v>0</v>
      </c>
      <c r="P1106" s="114"/>
      <c r="Q1106" s="269"/>
      <c r="R1106" s="272">
        <f t="shared" ref="R1106:R1169" si="53">Q1106/1000</f>
        <v>0</v>
      </c>
    </row>
    <row r="1107" spans="2:18" ht="15" customHeight="1" x14ac:dyDescent="0.25">
      <c r="B1107" s="114"/>
      <c r="C1107" s="269"/>
      <c r="D1107" s="272">
        <f t="shared" si="51"/>
        <v>0</v>
      </c>
      <c r="I1107" s="114"/>
      <c r="J1107" s="269"/>
      <c r="K1107" s="272">
        <f t="shared" si="52"/>
        <v>0</v>
      </c>
      <c r="P1107" s="114"/>
      <c r="Q1107" s="269"/>
      <c r="R1107" s="272">
        <f t="shared" si="53"/>
        <v>0</v>
      </c>
    </row>
    <row r="1108" spans="2:18" ht="15" customHeight="1" x14ac:dyDescent="0.25">
      <c r="B1108" s="114"/>
      <c r="C1108" s="269"/>
      <c r="D1108" s="272">
        <f t="shared" si="51"/>
        <v>0</v>
      </c>
      <c r="I1108" s="114"/>
      <c r="J1108" s="269"/>
      <c r="K1108" s="272">
        <f t="shared" si="52"/>
        <v>0</v>
      </c>
      <c r="P1108" s="114"/>
      <c r="Q1108" s="269"/>
      <c r="R1108" s="272">
        <f t="shared" si="53"/>
        <v>0</v>
      </c>
    </row>
    <row r="1109" spans="2:18" ht="15" customHeight="1" x14ac:dyDescent="0.25">
      <c r="B1109" s="114"/>
      <c r="C1109" s="269"/>
      <c r="D1109" s="272">
        <f t="shared" si="51"/>
        <v>0</v>
      </c>
      <c r="I1109" s="114"/>
      <c r="J1109" s="269"/>
      <c r="K1109" s="272">
        <f t="shared" si="52"/>
        <v>0</v>
      </c>
      <c r="P1109" s="114"/>
      <c r="Q1109" s="269"/>
      <c r="R1109" s="272">
        <f t="shared" si="53"/>
        <v>0</v>
      </c>
    </row>
    <row r="1110" spans="2:18" ht="15" customHeight="1" x14ac:dyDescent="0.25">
      <c r="B1110" s="114"/>
      <c r="C1110" s="269"/>
      <c r="D1110" s="272">
        <f t="shared" si="51"/>
        <v>0</v>
      </c>
      <c r="I1110" s="114"/>
      <c r="J1110" s="269"/>
      <c r="K1110" s="272">
        <f t="shared" si="52"/>
        <v>0</v>
      </c>
      <c r="P1110" s="114"/>
      <c r="Q1110" s="269"/>
      <c r="R1110" s="272">
        <f t="shared" si="53"/>
        <v>0</v>
      </c>
    </row>
    <row r="1111" spans="2:18" ht="15" customHeight="1" x14ac:dyDescent="0.25">
      <c r="B1111" s="114"/>
      <c r="C1111" s="269"/>
      <c r="D1111" s="272">
        <f t="shared" si="51"/>
        <v>0</v>
      </c>
      <c r="I1111" s="114"/>
      <c r="J1111" s="269"/>
      <c r="K1111" s="272">
        <f t="shared" si="52"/>
        <v>0</v>
      </c>
      <c r="P1111" s="114"/>
      <c r="Q1111" s="269"/>
      <c r="R1111" s="272">
        <f t="shared" si="53"/>
        <v>0</v>
      </c>
    </row>
    <row r="1112" spans="2:18" ht="15" customHeight="1" x14ac:dyDescent="0.25">
      <c r="B1112" s="114"/>
      <c r="C1112" s="269"/>
      <c r="D1112" s="272">
        <f t="shared" si="51"/>
        <v>0</v>
      </c>
      <c r="I1112" s="114"/>
      <c r="J1112" s="269"/>
      <c r="K1112" s="272">
        <f t="shared" si="52"/>
        <v>0</v>
      </c>
      <c r="P1112" s="114"/>
      <c r="Q1112" s="269"/>
      <c r="R1112" s="272">
        <f t="shared" si="53"/>
        <v>0</v>
      </c>
    </row>
    <row r="1113" spans="2:18" ht="15" customHeight="1" x14ac:dyDescent="0.25">
      <c r="B1113" s="114"/>
      <c r="C1113" s="269"/>
      <c r="D1113" s="272">
        <f t="shared" si="51"/>
        <v>0</v>
      </c>
      <c r="I1113" s="114"/>
      <c r="J1113" s="269"/>
      <c r="K1113" s="272">
        <f t="shared" si="52"/>
        <v>0</v>
      </c>
      <c r="P1113" s="114"/>
      <c r="Q1113" s="269"/>
      <c r="R1113" s="272">
        <f t="shared" si="53"/>
        <v>0</v>
      </c>
    </row>
    <row r="1114" spans="2:18" ht="15" customHeight="1" x14ac:dyDescent="0.25">
      <c r="B1114" s="114"/>
      <c r="C1114" s="269"/>
      <c r="D1114" s="272">
        <f t="shared" si="51"/>
        <v>0</v>
      </c>
      <c r="I1114" s="114"/>
      <c r="J1114" s="269"/>
      <c r="K1114" s="272">
        <f t="shared" si="52"/>
        <v>0</v>
      </c>
      <c r="P1114" s="114"/>
      <c r="Q1114" s="269"/>
      <c r="R1114" s="272">
        <f t="shared" si="53"/>
        <v>0</v>
      </c>
    </row>
    <row r="1115" spans="2:18" ht="15" customHeight="1" x14ac:dyDescent="0.25">
      <c r="B1115" s="114"/>
      <c r="C1115" s="269"/>
      <c r="D1115" s="272">
        <f t="shared" si="51"/>
        <v>0</v>
      </c>
      <c r="I1115" s="114"/>
      <c r="J1115" s="269"/>
      <c r="K1115" s="272">
        <f t="shared" si="52"/>
        <v>0</v>
      </c>
      <c r="P1115" s="114"/>
      <c r="Q1115" s="269"/>
      <c r="R1115" s="272">
        <f t="shared" si="53"/>
        <v>0</v>
      </c>
    </row>
    <row r="1116" spans="2:18" ht="15" customHeight="1" x14ac:dyDescent="0.25">
      <c r="B1116" s="114"/>
      <c r="C1116" s="269"/>
      <c r="D1116" s="272">
        <f t="shared" si="51"/>
        <v>0</v>
      </c>
      <c r="I1116" s="114"/>
      <c r="J1116" s="269"/>
      <c r="K1116" s="272">
        <f t="shared" si="52"/>
        <v>0</v>
      </c>
      <c r="P1116" s="114"/>
      <c r="Q1116" s="269"/>
      <c r="R1116" s="272">
        <f t="shared" si="53"/>
        <v>0</v>
      </c>
    </row>
    <row r="1117" spans="2:18" ht="15" customHeight="1" x14ac:dyDescent="0.25">
      <c r="B1117" s="114"/>
      <c r="C1117" s="269"/>
      <c r="D1117" s="272">
        <f t="shared" si="51"/>
        <v>0</v>
      </c>
      <c r="I1117" s="114"/>
      <c r="J1117" s="269"/>
      <c r="K1117" s="272">
        <f t="shared" si="52"/>
        <v>0</v>
      </c>
      <c r="P1117" s="114"/>
      <c r="Q1117" s="269"/>
      <c r="R1117" s="272">
        <f t="shared" si="53"/>
        <v>0</v>
      </c>
    </row>
    <row r="1118" spans="2:18" ht="15" customHeight="1" x14ac:dyDescent="0.25">
      <c r="B1118" s="114"/>
      <c r="C1118" s="269"/>
      <c r="D1118" s="272">
        <f t="shared" si="51"/>
        <v>0</v>
      </c>
      <c r="I1118" s="114"/>
      <c r="J1118" s="269"/>
      <c r="K1118" s="272">
        <f t="shared" si="52"/>
        <v>0</v>
      </c>
      <c r="P1118" s="114"/>
      <c r="Q1118" s="269"/>
      <c r="R1118" s="272">
        <f t="shared" si="53"/>
        <v>0</v>
      </c>
    </row>
    <row r="1119" spans="2:18" ht="15" customHeight="1" x14ac:dyDescent="0.25">
      <c r="B1119" s="114"/>
      <c r="C1119" s="269"/>
      <c r="D1119" s="272">
        <f t="shared" si="51"/>
        <v>0</v>
      </c>
      <c r="I1119" s="114"/>
      <c r="J1119" s="269"/>
      <c r="K1119" s="272">
        <f t="shared" si="52"/>
        <v>0</v>
      </c>
      <c r="P1119" s="114"/>
      <c r="Q1119" s="269"/>
      <c r="R1119" s="272">
        <f t="shared" si="53"/>
        <v>0</v>
      </c>
    </row>
    <row r="1120" spans="2:18" ht="15" customHeight="1" x14ac:dyDescent="0.25">
      <c r="B1120" s="114"/>
      <c r="C1120" s="269"/>
      <c r="D1120" s="272">
        <f t="shared" si="51"/>
        <v>0</v>
      </c>
      <c r="I1120" s="114"/>
      <c r="J1120" s="269"/>
      <c r="K1120" s="272">
        <f t="shared" si="52"/>
        <v>0</v>
      </c>
      <c r="P1120" s="114"/>
      <c r="Q1120" s="269"/>
      <c r="R1120" s="272">
        <f t="shared" si="53"/>
        <v>0</v>
      </c>
    </row>
    <row r="1121" spans="2:18" ht="15" customHeight="1" x14ac:dyDescent="0.25">
      <c r="B1121" s="114"/>
      <c r="C1121" s="269"/>
      <c r="D1121" s="272">
        <f t="shared" si="51"/>
        <v>0</v>
      </c>
      <c r="I1121" s="114"/>
      <c r="J1121" s="269"/>
      <c r="K1121" s="272">
        <f t="shared" si="52"/>
        <v>0</v>
      </c>
      <c r="P1121" s="114"/>
      <c r="Q1121" s="269"/>
      <c r="R1121" s="272">
        <f t="shared" si="53"/>
        <v>0</v>
      </c>
    </row>
    <row r="1122" spans="2:18" ht="15" customHeight="1" x14ac:dyDescent="0.25">
      <c r="B1122" s="114"/>
      <c r="C1122" s="269"/>
      <c r="D1122" s="272">
        <f t="shared" si="51"/>
        <v>0</v>
      </c>
      <c r="I1122" s="114"/>
      <c r="J1122" s="269"/>
      <c r="K1122" s="272">
        <f t="shared" si="52"/>
        <v>0</v>
      </c>
      <c r="P1122" s="114"/>
      <c r="Q1122" s="269"/>
      <c r="R1122" s="272">
        <f t="shared" si="53"/>
        <v>0</v>
      </c>
    </row>
    <row r="1123" spans="2:18" ht="15" customHeight="1" x14ac:dyDescent="0.25">
      <c r="B1123" s="114"/>
      <c r="C1123" s="269"/>
      <c r="D1123" s="272">
        <f t="shared" si="51"/>
        <v>0</v>
      </c>
      <c r="I1123" s="114"/>
      <c r="J1123" s="269"/>
      <c r="K1123" s="272">
        <f t="shared" si="52"/>
        <v>0</v>
      </c>
      <c r="P1123" s="114"/>
      <c r="Q1123" s="269"/>
      <c r="R1123" s="272">
        <f t="shared" si="53"/>
        <v>0</v>
      </c>
    </row>
    <row r="1124" spans="2:18" ht="15" customHeight="1" x14ac:dyDescent="0.25">
      <c r="B1124" s="114"/>
      <c r="C1124" s="269"/>
      <c r="D1124" s="272">
        <f t="shared" si="51"/>
        <v>0</v>
      </c>
      <c r="I1124" s="114"/>
      <c r="J1124" s="269"/>
      <c r="K1124" s="272">
        <f t="shared" si="52"/>
        <v>0</v>
      </c>
      <c r="P1124" s="114"/>
      <c r="Q1124" s="269"/>
      <c r="R1124" s="272">
        <f t="shared" si="53"/>
        <v>0</v>
      </c>
    </row>
    <row r="1125" spans="2:18" ht="15" customHeight="1" x14ac:dyDescent="0.25">
      <c r="B1125" s="114"/>
      <c r="C1125" s="269"/>
      <c r="D1125" s="272">
        <f t="shared" si="51"/>
        <v>0</v>
      </c>
      <c r="I1125" s="114"/>
      <c r="J1125" s="269"/>
      <c r="K1125" s="272">
        <f t="shared" si="52"/>
        <v>0</v>
      </c>
      <c r="P1125" s="114"/>
      <c r="Q1125" s="269"/>
      <c r="R1125" s="272">
        <f t="shared" si="53"/>
        <v>0</v>
      </c>
    </row>
    <row r="1126" spans="2:18" ht="15" customHeight="1" x14ac:dyDescent="0.25">
      <c r="B1126" s="114"/>
      <c r="C1126" s="269"/>
      <c r="D1126" s="272">
        <f t="shared" si="51"/>
        <v>0</v>
      </c>
      <c r="I1126" s="114"/>
      <c r="J1126" s="269"/>
      <c r="K1126" s="272">
        <f t="shared" si="52"/>
        <v>0</v>
      </c>
      <c r="P1126" s="114"/>
      <c r="Q1126" s="269"/>
      <c r="R1126" s="272">
        <f t="shared" si="53"/>
        <v>0</v>
      </c>
    </row>
    <row r="1127" spans="2:18" ht="15" customHeight="1" x14ac:dyDescent="0.25">
      <c r="B1127" s="114"/>
      <c r="C1127" s="269"/>
      <c r="D1127" s="272">
        <f t="shared" si="51"/>
        <v>0</v>
      </c>
      <c r="I1127" s="114"/>
      <c r="J1127" s="269"/>
      <c r="K1127" s="272">
        <f t="shared" si="52"/>
        <v>0</v>
      </c>
      <c r="P1127" s="114"/>
      <c r="Q1127" s="269"/>
      <c r="R1127" s="272">
        <f t="shared" si="53"/>
        <v>0</v>
      </c>
    </row>
    <row r="1128" spans="2:18" ht="15" customHeight="1" x14ac:dyDescent="0.25">
      <c r="B1128" s="114"/>
      <c r="C1128" s="269"/>
      <c r="D1128" s="272">
        <f t="shared" si="51"/>
        <v>0</v>
      </c>
      <c r="I1128" s="114"/>
      <c r="J1128" s="269"/>
      <c r="K1128" s="272">
        <f t="shared" si="52"/>
        <v>0</v>
      </c>
      <c r="P1128" s="114"/>
      <c r="Q1128" s="269"/>
      <c r="R1128" s="272">
        <f t="shared" si="53"/>
        <v>0</v>
      </c>
    </row>
    <row r="1129" spans="2:18" ht="15" customHeight="1" x14ac:dyDescent="0.25">
      <c r="B1129" s="114"/>
      <c r="C1129" s="269"/>
      <c r="D1129" s="272">
        <f t="shared" si="51"/>
        <v>0</v>
      </c>
      <c r="I1129" s="114"/>
      <c r="J1129" s="269"/>
      <c r="K1129" s="272">
        <f t="shared" si="52"/>
        <v>0</v>
      </c>
      <c r="P1129" s="114"/>
      <c r="Q1129" s="269"/>
      <c r="R1129" s="272">
        <f t="shared" si="53"/>
        <v>0</v>
      </c>
    </row>
    <row r="1130" spans="2:18" ht="15" customHeight="1" x14ac:dyDescent="0.25">
      <c r="B1130" s="114"/>
      <c r="C1130" s="269"/>
      <c r="D1130" s="272">
        <f t="shared" si="51"/>
        <v>0</v>
      </c>
      <c r="I1130" s="114"/>
      <c r="J1130" s="269"/>
      <c r="K1130" s="272">
        <f t="shared" si="52"/>
        <v>0</v>
      </c>
      <c r="P1130" s="114"/>
      <c r="Q1130" s="269"/>
      <c r="R1130" s="272">
        <f t="shared" si="53"/>
        <v>0</v>
      </c>
    </row>
    <row r="1131" spans="2:18" ht="15" customHeight="1" x14ac:dyDescent="0.25">
      <c r="B1131" s="114"/>
      <c r="C1131" s="269"/>
      <c r="D1131" s="272">
        <f t="shared" si="51"/>
        <v>0</v>
      </c>
      <c r="I1131" s="114"/>
      <c r="J1131" s="269"/>
      <c r="K1131" s="272">
        <f t="shared" si="52"/>
        <v>0</v>
      </c>
      <c r="P1131" s="114"/>
      <c r="Q1131" s="269"/>
      <c r="R1131" s="272">
        <f t="shared" si="53"/>
        <v>0</v>
      </c>
    </row>
    <row r="1132" spans="2:18" ht="15" customHeight="1" x14ac:dyDescent="0.25">
      <c r="B1132" s="114"/>
      <c r="C1132" s="269"/>
      <c r="D1132" s="272">
        <f t="shared" si="51"/>
        <v>0</v>
      </c>
      <c r="I1132" s="114"/>
      <c r="J1132" s="269"/>
      <c r="K1132" s="272">
        <f t="shared" si="52"/>
        <v>0</v>
      </c>
      <c r="P1132" s="114"/>
      <c r="Q1132" s="269"/>
      <c r="R1132" s="272">
        <f t="shared" si="53"/>
        <v>0</v>
      </c>
    </row>
    <row r="1133" spans="2:18" ht="15" customHeight="1" x14ac:dyDescent="0.25">
      <c r="B1133" s="114"/>
      <c r="C1133" s="269"/>
      <c r="D1133" s="272">
        <f t="shared" si="51"/>
        <v>0</v>
      </c>
      <c r="I1133" s="114"/>
      <c r="J1133" s="269"/>
      <c r="K1133" s="272">
        <f t="shared" si="52"/>
        <v>0</v>
      </c>
      <c r="P1133" s="114"/>
      <c r="Q1133" s="269"/>
      <c r="R1133" s="272">
        <f t="shared" si="53"/>
        <v>0</v>
      </c>
    </row>
    <row r="1134" spans="2:18" ht="15" customHeight="1" x14ac:dyDescent="0.25">
      <c r="B1134" s="114"/>
      <c r="C1134" s="269"/>
      <c r="D1134" s="272">
        <f t="shared" si="51"/>
        <v>0</v>
      </c>
      <c r="I1134" s="114"/>
      <c r="J1134" s="269"/>
      <c r="K1134" s="272">
        <f t="shared" si="52"/>
        <v>0</v>
      </c>
      <c r="P1134" s="114"/>
      <c r="Q1134" s="269"/>
      <c r="R1134" s="272">
        <f t="shared" si="53"/>
        <v>0</v>
      </c>
    </row>
    <row r="1135" spans="2:18" ht="15" customHeight="1" x14ac:dyDescent="0.25">
      <c r="B1135" s="114"/>
      <c r="C1135" s="269"/>
      <c r="D1135" s="272">
        <f t="shared" si="51"/>
        <v>0</v>
      </c>
      <c r="I1135" s="114"/>
      <c r="J1135" s="269"/>
      <c r="K1135" s="272">
        <f t="shared" si="52"/>
        <v>0</v>
      </c>
      <c r="P1135" s="114"/>
      <c r="Q1135" s="269"/>
      <c r="R1135" s="272">
        <f t="shared" si="53"/>
        <v>0</v>
      </c>
    </row>
    <row r="1136" spans="2:18" ht="15" customHeight="1" x14ac:dyDescent="0.25">
      <c r="B1136" s="114"/>
      <c r="C1136" s="269"/>
      <c r="D1136" s="272">
        <f t="shared" si="51"/>
        <v>0</v>
      </c>
      <c r="I1136" s="114"/>
      <c r="J1136" s="269"/>
      <c r="K1136" s="272">
        <f t="shared" si="52"/>
        <v>0</v>
      </c>
      <c r="P1136" s="114"/>
      <c r="Q1136" s="269"/>
      <c r="R1136" s="272">
        <f t="shared" si="53"/>
        <v>0</v>
      </c>
    </row>
    <row r="1137" spans="2:18" ht="15" customHeight="1" x14ac:dyDescent="0.25">
      <c r="B1137" s="114"/>
      <c r="C1137" s="269"/>
      <c r="D1137" s="272">
        <f t="shared" si="51"/>
        <v>0</v>
      </c>
      <c r="I1137" s="114"/>
      <c r="J1137" s="269"/>
      <c r="K1137" s="272">
        <f t="shared" si="52"/>
        <v>0</v>
      </c>
      <c r="P1137" s="114"/>
      <c r="Q1137" s="269"/>
      <c r="R1137" s="272">
        <f t="shared" si="53"/>
        <v>0</v>
      </c>
    </row>
    <row r="1138" spans="2:18" ht="15" customHeight="1" x14ac:dyDescent="0.25">
      <c r="B1138" s="114"/>
      <c r="C1138" s="269"/>
      <c r="D1138" s="272">
        <f t="shared" si="51"/>
        <v>0</v>
      </c>
      <c r="I1138" s="114"/>
      <c r="J1138" s="269"/>
      <c r="K1138" s="272">
        <f t="shared" si="52"/>
        <v>0</v>
      </c>
      <c r="P1138" s="114"/>
      <c r="Q1138" s="269"/>
      <c r="R1138" s="272">
        <f t="shared" si="53"/>
        <v>0</v>
      </c>
    </row>
    <row r="1139" spans="2:18" ht="15" customHeight="1" x14ac:dyDescent="0.25">
      <c r="B1139" s="114"/>
      <c r="C1139" s="269"/>
      <c r="D1139" s="272">
        <f t="shared" si="51"/>
        <v>0</v>
      </c>
      <c r="I1139" s="114"/>
      <c r="J1139" s="269"/>
      <c r="K1139" s="272">
        <f t="shared" si="52"/>
        <v>0</v>
      </c>
      <c r="P1139" s="114"/>
      <c r="Q1139" s="269"/>
      <c r="R1139" s="272">
        <f t="shared" si="53"/>
        <v>0</v>
      </c>
    </row>
    <row r="1140" spans="2:18" ht="15" customHeight="1" x14ac:dyDescent="0.25">
      <c r="B1140" s="114"/>
      <c r="C1140" s="269"/>
      <c r="D1140" s="272">
        <f t="shared" si="51"/>
        <v>0</v>
      </c>
      <c r="I1140" s="114"/>
      <c r="J1140" s="269"/>
      <c r="K1140" s="272">
        <f t="shared" si="52"/>
        <v>0</v>
      </c>
      <c r="P1140" s="114"/>
      <c r="Q1140" s="269"/>
      <c r="R1140" s="272">
        <f t="shared" si="53"/>
        <v>0</v>
      </c>
    </row>
    <row r="1141" spans="2:18" ht="15" customHeight="1" x14ac:dyDescent="0.25">
      <c r="B1141" s="114"/>
      <c r="C1141" s="269"/>
      <c r="D1141" s="272">
        <f t="shared" si="51"/>
        <v>0</v>
      </c>
      <c r="I1141" s="114"/>
      <c r="J1141" s="269"/>
      <c r="K1141" s="272">
        <f t="shared" si="52"/>
        <v>0</v>
      </c>
      <c r="P1141" s="114"/>
      <c r="Q1141" s="269"/>
      <c r="R1141" s="272">
        <f t="shared" si="53"/>
        <v>0</v>
      </c>
    </row>
    <row r="1142" spans="2:18" ht="15" customHeight="1" x14ac:dyDescent="0.25">
      <c r="B1142" s="114"/>
      <c r="C1142" s="269"/>
      <c r="D1142" s="272">
        <f t="shared" si="51"/>
        <v>0</v>
      </c>
      <c r="I1142" s="114"/>
      <c r="J1142" s="269"/>
      <c r="K1142" s="272">
        <f t="shared" si="52"/>
        <v>0</v>
      </c>
      <c r="P1142" s="114"/>
      <c r="Q1142" s="269"/>
      <c r="R1142" s="272">
        <f t="shared" si="53"/>
        <v>0</v>
      </c>
    </row>
    <row r="1143" spans="2:18" ht="15" customHeight="1" x14ac:dyDescent="0.25">
      <c r="B1143" s="114"/>
      <c r="C1143" s="269"/>
      <c r="D1143" s="272">
        <f t="shared" si="51"/>
        <v>0</v>
      </c>
      <c r="I1143" s="114"/>
      <c r="J1143" s="269"/>
      <c r="K1143" s="272">
        <f t="shared" si="52"/>
        <v>0</v>
      </c>
      <c r="P1143" s="114"/>
      <c r="Q1143" s="269"/>
      <c r="R1143" s="272">
        <f t="shared" si="53"/>
        <v>0</v>
      </c>
    </row>
    <row r="1144" spans="2:18" ht="15" customHeight="1" x14ac:dyDescent="0.25">
      <c r="B1144" s="114"/>
      <c r="C1144" s="269"/>
      <c r="D1144" s="272">
        <f t="shared" si="51"/>
        <v>0</v>
      </c>
      <c r="I1144" s="114"/>
      <c r="J1144" s="269"/>
      <c r="K1144" s="272">
        <f t="shared" si="52"/>
        <v>0</v>
      </c>
      <c r="P1144" s="114"/>
      <c r="Q1144" s="269"/>
      <c r="R1144" s="272">
        <f t="shared" si="53"/>
        <v>0</v>
      </c>
    </row>
    <row r="1145" spans="2:18" ht="15" customHeight="1" x14ac:dyDescent="0.25">
      <c r="B1145" s="114"/>
      <c r="C1145" s="269"/>
      <c r="D1145" s="272">
        <f t="shared" si="51"/>
        <v>0</v>
      </c>
      <c r="I1145" s="114"/>
      <c r="J1145" s="269"/>
      <c r="K1145" s="272">
        <f t="shared" si="52"/>
        <v>0</v>
      </c>
      <c r="P1145" s="114"/>
      <c r="Q1145" s="269"/>
      <c r="R1145" s="272">
        <f t="shared" si="53"/>
        <v>0</v>
      </c>
    </row>
    <row r="1146" spans="2:18" ht="15" customHeight="1" x14ac:dyDescent="0.25">
      <c r="B1146" s="114"/>
      <c r="C1146" s="269"/>
      <c r="D1146" s="272">
        <f t="shared" si="51"/>
        <v>0</v>
      </c>
      <c r="I1146" s="114"/>
      <c r="J1146" s="269"/>
      <c r="K1146" s="272">
        <f t="shared" si="52"/>
        <v>0</v>
      </c>
      <c r="P1146" s="114"/>
      <c r="Q1146" s="269"/>
      <c r="R1146" s="272">
        <f t="shared" si="53"/>
        <v>0</v>
      </c>
    </row>
    <row r="1147" spans="2:18" ht="15" customHeight="1" x14ac:dyDescent="0.25">
      <c r="B1147" s="114"/>
      <c r="C1147" s="269"/>
      <c r="D1147" s="272">
        <f t="shared" si="51"/>
        <v>0</v>
      </c>
      <c r="I1147" s="114"/>
      <c r="J1147" s="269"/>
      <c r="K1147" s="272">
        <f t="shared" si="52"/>
        <v>0</v>
      </c>
      <c r="P1147" s="114"/>
      <c r="Q1147" s="269"/>
      <c r="R1147" s="272">
        <f t="shared" si="53"/>
        <v>0</v>
      </c>
    </row>
    <row r="1148" spans="2:18" ht="15" customHeight="1" x14ac:dyDescent="0.25">
      <c r="B1148" s="114"/>
      <c r="C1148" s="269"/>
      <c r="D1148" s="272">
        <f t="shared" si="51"/>
        <v>0</v>
      </c>
      <c r="I1148" s="114"/>
      <c r="J1148" s="269"/>
      <c r="K1148" s="272">
        <f t="shared" si="52"/>
        <v>0</v>
      </c>
      <c r="P1148" s="114"/>
      <c r="Q1148" s="269"/>
      <c r="R1148" s="272">
        <f t="shared" si="53"/>
        <v>0</v>
      </c>
    </row>
    <row r="1149" spans="2:18" ht="15" customHeight="1" x14ac:dyDescent="0.25">
      <c r="B1149" s="114"/>
      <c r="C1149" s="269"/>
      <c r="D1149" s="272">
        <f t="shared" si="51"/>
        <v>0</v>
      </c>
      <c r="I1149" s="114"/>
      <c r="J1149" s="269"/>
      <c r="K1149" s="272">
        <f t="shared" si="52"/>
        <v>0</v>
      </c>
      <c r="P1149" s="114"/>
      <c r="Q1149" s="269"/>
      <c r="R1149" s="272">
        <f t="shared" si="53"/>
        <v>0</v>
      </c>
    </row>
    <row r="1150" spans="2:18" ht="15" customHeight="1" x14ac:dyDescent="0.25">
      <c r="B1150" s="114"/>
      <c r="C1150" s="269"/>
      <c r="D1150" s="272">
        <f t="shared" si="51"/>
        <v>0</v>
      </c>
      <c r="I1150" s="114"/>
      <c r="J1150" s="269"/>
      <c r="K1150" s="272">
        <f t="shared" si="52"/>
        <v>0</v>
      </c>
      <c r="P1150" s="114"/>
      <c r="Q1150" s="269"/>
      <c r="R1150" s="272">
        <f t="shared" si="53"/>
        <v>0</v>
      </c>
    </row>
    <row r="1151" spans="2:18" ht="15" customHeight="1" x14ac:dyDescent="0.25">
      <c r="B1151" s="114"/>
      <c r="C1151" s="269"/>
      <c r="D1151" s="272">
        <f t="shared" si="51"/>
        <v>0</v>
      </c>
      <c r="I1151" s="114"/>
      <c r="J1151" s="269"/>
      <c r="K1151" s="272">
        <f t="shared" si="52"/>
        <v>0</v>
      </c>
      <c r="P1151" s="114"/>
      <c r="Q1151" s="269"/>
      <c r="R1151" s="272">
        <f t="shared" si="53"/>
        <v>0</v>
      </c>
    </row>
    <row r="1152" spans="2:18" ht="15" customHeight="1" x14ac:dyDescent="0.25">
      <c r="B1152" s="114"/>
      <c r="C1152" s="269"/>
      <c r="D1152" s="272">
        <f t="shared" si="51"/>
        <v>0</v>
      </c>
      <c r="I1152" s="114"/>
      <c r="J1152" s="269"/>
      <c r="K1152" s="272">
        <f t="shared" si="52"/>
        <v>0</v>
      </c>
      <c r="P1152" s="114"/>
      <c r="Q1152" s="269"/>
      <c r="R1152" s="272">
        <f t="shared" si="53"/>
        <v>0</v>
      </c>
    </row>
    <row r="1153" spans="2:18" ht="15" customHeight="1" x14ac:dyDescent="0.25">
      <c r="B1153" s="114"/>
      <c r="C1153" s="269"/>
      <c r="D1153" s="272">
        <f t="shared" si="51"/>
        <v>0</v>
      </c>
      <c r="I1153" s="114"/>
      <c r="J1153" s="269"/>
      <c r="K1153" s="272">
        <f t="shared" si="52"/>
        <v>0</v>
      </c>
      <c r="P1153" s="114"/>
      <c r="Q1153" s="269"/>
      <c r="R1153" s="272">
        <f t="shared" si="53"/>
        <v>0</v>
      </c>
    </row>
    <row r="1154" spans="2:18" ht="15" customHeight="1" x14ac:dyDescent="0.25">
      <c r="B1154" s="114"/>
      <c r="C1154" s="269"/>
      <c r="D1154" s="272">
        <f t="shared" si="51"/>
        <v>0</v>
      </c>
      <c r="I1154" s="114"/>
      <c r="J1154" s="269"/>
      <c r="K1154" s="272">
        <f t="shared" si="52"/>
        <v>0</v>
      </c>
      <c r="P1154" s="114"/>
      <c r="Q1154" s="269"/>
      <c r="R1154" s="272">
        <f t="shared" si="53"/>
        <v>0</v>
      </c>
    </row>
    <row r="1155" spans="2:18" ht="15" customHeight="1" x14ac:dyDescent="0.25">
      <c r="B1155" s="114"/>
      <c r="C1155" s="269"/>
      <c r="D1155" s="272">
        <f t="shared" si="51"/>
        <v>0</v>
      </c>
      <c r="I1155" s="114"/>
      <c r="J1155" s="269"/>
      <c r="K1155" s="272">
        <f t="shared" si="52"/>
        <v>0</v>
      </c>
      <c r="P1155" s="114"/>
      <c r="Q1155" s="269"/>
      <c r="R1155" s="272">
        <f t="shared" si="53"/>
        <v>0</v>
      </c>
    </row>
    <row r="1156" spans="2:18" ht="15" customHeight="1" x14ac:dyDescent="0.25">
      <c r="B1156" s="114"/>
      <c r="C1156" s="269"/>
      <c r="D1156" s="272">
        <f t="shared" si="51"/>
        <v>0</v>
      </c>
      <c r="I1156" s="114"/>
      <c r="J1156" s="269"/>
      <c r="K1156" s="272">
        <f t="shared" si="52"/>
        <v>0</v>
      </c>
      <c r="P1156" s="114"/>
      <c r="Q1156" s="269"/>
      <c r="R1156" s="272">
        <f t="shared" si="53"/>
        <v>0</v>
      </c>
    </row>
    <row r="1157" spans="2:18" ht="15" customHeight="1" x14ac:dyDescent="0.25">
      <c r="B1157" s="114"/>
      <c r="C1157" s="269"/>
      <c r="D1157" s="272">
        <f t="shared" si="51"/>
        <v>0</v>
      </c>
      <c r="I1157" s="114"/>
      <c r="J1157" s="269"/>
      <c r="K1157" s="272">
        <f t="shared" si="52"/>
        <v>0</v>
      </c>
      <c r="P1157" s="114"/>
      <c r="Q1157" s="269"/>
      <c r="R1157" s="272">
        <f t="shared" si="53"/>
        <v>0</v>
      </c>
    </row>
    <row r="1158" spans="2:18" ht="15" customHeight="1" x14ac:dyDescent="0.25">
      <c r="B1158" s="114"/>
      <c r="C1158" s="269"/>
      <c r="D1158" s="272">
        <f t="shared" si="51"/>
        <v>0</v>
      </c>
      <c r="I1158" s="114"/>
      <c r="J1158" s="269"/>
      <c r="K1158" s="272">
        <f t="shared" si="52"/>
        <v>0</v>
      </c>
      <c r="P1158" s="114"/>
      <c r="Q1158" s="269"/>
      <c r="R1158" s="272">
        <f t="shared" si="53"/>
        <v>0</v>
      </c>
    </row>
    <row r="1159" spans="2:18" ht="15" customHeight="1" x14ac:dyDescent="0.25">
      <c r="B1159" s="114"/>
      <c r="C1159" s="269"/>
      <c r="D1159" s="272">
        <f t="shared" si="51"/>
        <v>0</v>
      </c>
      <c r="I1159" s="114"/>
      <c r="J1159" s="269"/>
      <c r="K1159" s="272">
        <f t="shared" si="52"/>
        <v>0</v>
      </c>
      <c r="P1159" s="114"/>
      <c r="Q1159" s="269"/>
      <c r="R1159" s="272">
        <f t="shared" si="53"/>
        <v>0</v>
      </c>
    </row>
    <row r="1160" spans="2:18" ht="15" customHeight="1" x14ac:dyDescent="0.25">
      <c r="B1160" s="114"/>
      <c r="C1160" s="269"/>
      <c r="D1160" s="272">
        <f t="shared" si="51"/>
        <v>0</v>
      </c>
      <c r="I1160" s="114"/>
      <c r="J1160" s="269"/>
      <c r="K1160" s="272">
        <f t="shared" si="52"/>
        <v>0</v>
      </c>
      <c r="P1160" s="114"/>
      <c r="Q1160" s="269"/>
      <c r="R1160" s="272">
        <f t="shared" si="53"/>
        <v>0</v>
      </c>
    </row>
    <row r="1161" spans="2:18" ht="15" customHeight="1" x14ac:dyDescent="0.25">
      <c r="B1161" s="114"/>
      <c r="C1161" s="269"/>
      <c r="D1161" s="272">
        <f t="shared" si="51"/>
        <v>0</v>
      </c>
      <c r="I1161" s="114"/>
      <c r="J1161" s="269"/>
      <c r="K1161" s="272">
        <f t="shared" si="52"/>
        <v>0</v>
      </c>
      <c r="P1161" s="114"/>
      <c r="Q1161" s="269"/>
      <c r="R1161" s="272">
        <f t="shared" si="53"/>
        <v>0</v>
      </c>
    </row>
    <row r="1162" spans="2:18" ht="15" customHeight="1" x14ac:dyDescent="0.25">
      <c r="B1162" s="114"/>
      <c r="C1162" s="269"/>
      <c r="D1162" s="272">
        <f t="shared" si="51"/>
        <v>0</v>
      </c>
      <c r="I1162" s="114"/>
      <c r="J1162" s="269"/>
      <c r="K1162" s="272">
        <f t="shared" si="52"/>
        <v>0</v>
      </c>
      <c r="P1162" s="114"/>
      <c r="Q1162" s="269"/>
      <c r="R1162" s="272">
        <f t="shared" si="53"/>
        <v>0</v>
      </c>
    </row>
    <row r="1163" spans="2:18" ht="15" customHeight="1" x14ac:dyDescent="0.25">
      <c r="B1163" s="114"/>
      <c r="C1163" s="269"/>
      <c r="D1163" s="272">
        <f t="shared" si="51"/>
        <v>0</v>
      </c>
      <c r="I1163" s="114"/>
      <c r="J1163" s="269"/>
      <c r="K1163" s="272">
        <f t="shared" si="52"/>
        <v>0</v>
      </c>
      <c r="P1163" s="114"/>
      <c r="Q1163" s="269"/>
      <c r="R1163" s="272">
        <f t="shared" si="53"/>
        <v>0</v>
      </c>
    </row>
    <row r="1164" spans="2:18" ht="15" customHeight="1" x14ac:dyDescent="0.25">
      <c r="B1164" s="114"/>
      <c r="C1164" s="269"/>
      <c r="D1164" s="272">
        <f t="shared" si="51"/>
        <v>0</v>
      </c>
      <c r="I1164" s="114"/>
      <c r="J1164" s="269"/>
      <c r="K1164" s="272">
        <f t="shared" si="52"/>
        <v>0</v>
      </c>
      <c r="P1164" s="114"/>
      <c r="Q1164" s="269"/>
      <c r="R1164" s="272">
        <f t="shared" si="53"/>
        <v>0</v>
      </c>
    </row>
    <row r="1165" spans="2:18" ht="15" customHeight="1" x14ac:dyDescent="0.25">
      <c r="B1165" s="114"/>
      <c r="C1165" s="269"/>
      <c r="D1165" s="272">
        <f t="shared" si="51"/>
        <v>0</v>
      </c>
      <c r="I1165" s="114"/>
      <c r="J1165" s="269"/>
      <c r="K1165" s="272">
        <f t="shared" si="52"/>
        <v>0</v>
      </c>
      <c r="P1165" s="114"/>
      <c r="Q1165" s="269"/>
      <c r="R1165" s="272">
        <f t="shared" si="53"/>
        <v>0</v>
      </c>
    </row>
    <row r="1166" spans="2:18" ht="15" customHeight="1" x14ac:dyDescent="0.25">
      <c r="B1166" s="114"/>
      <c r="C1166" s="269"/>
      <c r="D1166" s="272">
        <f t="shared" si="51"/>
        <v>0</v>
      </c>
      <c r="I1166" s="114"/>
      <c r="J1166" s="269"/>
      <c r="K1166" s="272">
        <f t="shared" si="52"/>
        <v>0</v>
      </c>
      <c r="P1166" s="114"/>
      <c r="Q1166" s="269"/>
      <c r="R1166" s="272">
        <f t="shared" si="53"/>
        <v>0</v>
      </c>
    </row>
    <row r="1167" spans="2:18" ht="15" customHeight="1" x14ac:dyDescent="0.25">
      <c r="B1167" s="114"/>
      <c r="C1167" s="269"/>
      <c r="D1167" s="272">
        <f t="shared" si="51"/>
        <v>0</v>
      </c>
      <c r="I1167" s="114"/>
      <c r="J1167" s="269"/>
      <c r="K1167" s="272">
        <f t="shared" si="52"/>
        <v>0</v>
      </c>
      <c r="P1167" s="114"/>
      <c r="Q1167" s="269"/>
      <c r="R1167" s="272">
        <f t="shared" si="53"/>
        <v>0</v>
      </c>
    </row>
    <row r="1168" spans="2:18" ht="15" customHeight="1" x14ac:dyDescent="0.25">
      <c r="B1168" s="114"/>
      <c r="C1168" s="269"/>
      <c r="D1168" s="272">
        <f t="shared" si="51"/>
        <v>0</v>
      </c>
      <c r="I1168" s="114"/>
      <c r="J1168" s="269"/>
      <c r="K1168" s="272">
        <f t="shared" si="52"/>
        <v>0</v>
      </c>
      <c r="P1168" s="114"/>
      <c r="Q1168" s="269"/>
      <c r="R1168" s="272">
        <f t="shared" si="53"/>
        <v>0</v>
      </c>
    </row>
    <row r="1169" spans="2:18" ht="15" customHeight="1" x14ac:dyDescent="0.25">
      <c r="B1169" s="114"/>
      <c r="C1169" s="269"/>
      <c r="D1169" s="272">
        <f t="shared" si="51"/>
        <v>0</v>
      </c>
      <c r="I1169" s="114"/>
      <c r="J1169" s="269"/>
      <c r="K1169" s="272">
        <f t="shared" si="52"/>
        <v>0</v>
      </c>
      <c r="P1169" s="114"/>
      <c r="Q1169" s="269"/>
      <c r="R1169" s="272">
        <f t="shared" si="53"/>
        <v>0</v>
      </c>
    </row>
    <row r="1170" spans="2:18" ht="15" customHeight="1" x14ac:dyDescent="0.25">
      <c r="B1170" s="114"/>
      <c r="C1170" s="269"/>
      <c r="D1170" s="272">
        <f t="shared" ref="D1170:D1233" si="54">C1170/1000</f>
        <v>0</v>
      </c>
      <c r="I1170" s="114"/>
      <c r="J1170" s="269"/>
      <c r="K1170" s="272">
        <f t="shared" ref="K1170:K1233" si="55">J1170/1000</f>
        <v>0</v>
      </c>
      <c r="P1170" s="114"/>
      <c r="Q1170" s="269"/>
      <c r="R1170" s="272">
        <f t="shared" ref="R1170:R1233" si="56">Q1170/1000</f>
        <v>0</v>
      </c>
    </row>
    <row r="1171" spans="2:18" ht="15" customHeight="1" x14ac:dyDescent="0.25">
      <c r="B1171" s="114"/>
      <c r="C1171" s="269"/>
      <c r="D1171" s="272">
        <f t="shared" si="54"/>
        <v>0</v>
      </c>
      <c r="I1171" s="114"/>
      <c r="J1171" s="269"/>
      <c r="K1171" s="272">
        <f t="shared" si="55"/>
        <v>0</v>
      </c>
      <c r="P1171" s="114"/>
      <c r="Q1171" s="269"/>
      <c r="R1171" s="272">
        <f t="shared" si="56"/>
        <v>0</v>
      </c>
    </row>
    <row r="1172" spans="2:18" ht="15" customHeight="1" x14ac:dyDescent="0.25">
      <c r="B1172" s="114"/>
      <c r="C1172" s="269"/>
      <c r="D1172" s="272">
        <f t="shared" si="54"/>
        <v>0</v>
      </c>
      <c r="I1172" s="114"/>
      <c r="J1172" s="269"/>
      <c r="K1172" s="272">
        <f t="shared" si="55"/>
        <v>0</v>
      </c>
      <c r="P1172" s="114"/>
      <c r="Q1172" s="269"/>
      <c r="R1172" s="272">
        <f t="shared" si="56"/>
        <v>0</v>
      </c>
    </row>
    <row r="1173" spans="2:18" ht="15" customHeight="1" x14ac:dyDescent="0.25">
      <c r="B1173" s="114"/>
      <c r="C1173" s="269"/>
      <c r="D1173" s="272">
        <f t="shared" si="54"/>
        <v>0</v>
      </c>
      <c r="I1173" s="114"/>
      <c r="J1173" s="269"/>
      <c r="K1173" s="272">
        <f t="shared" si="55"/>
        <v>0</v>
      </c>
      <c r="P1173" s="114"/>
      <c r="Q1173" s="269"/>
      <c r="R1173" s="272">
        <f t="shared" si="56"/>
        <v>0</v>
      </c>
    </row>
    <row r="1174" spans="2:18" ht="15" customHeight="1" x14ac:dyDescent="0.25">
      <c r="B1174" s="114"/>
      <c r="C1174" s="269"/>
      <c r="D1174" s="272">
        <f t="shared" si="54"/>
        <v>0</v>
      </c>
      <c r="I1174" s="114"/>
      <c r="J1174" s="269"/>
      <c r="K1174" s="272">
        <f t="shared" si="55"/>
        <v>0</v>
      </c>
      <c r="P1174" s="114"/>
      <c r="Q1174" s="269"/>
      <c r="R1174" s="272">
        <f t="shared" si="56"/>
        <v>0</v>
      </c>
    </row>
    <row r="1175" spans="2:18" ht="15" customHeight="1" x14ac:dyDescent="0.25">
      <c r="B1175" s="114"/>
      <c r="C1175" s="269"/>
      <c r="D1175" s="272">
        <f t="shared" si="54"/>
        <v>0</v>
      </c>
      <c r="I1175" s="114"/>
      <c r="J1175" s="269"/>
      <c r="K1175" s="272">
        <f t="shared" si="55"/>
        <v>0</v>
      </c>
      <c r="P1175" s="114"/>
      <c r="Q1175" s="269"/>
      <c r="R1175" s="272">
        <f t="shared" si="56"/>
        <v>0</v>
      </c>
    </row>
    <row r="1176" spans="2:18" ht="15" customHeight="1" x14ac:dyDescent="0.25">
      <c r="B1176" s="114"/>
      <c r="C1176" s="269"/>
      <c r="D1176" s="272">
        <f t="shared" si="54"/>
        <v>0</v>
      </c>
      <c r="I1176" s="114"/>
      <c r="J1176" s="269"/>
      <c r="K1176" s="272">
        <f t="shared" si="55"/>
        <v>0</v>
      </c>
      <c r="P1176" s="114"/>
      <c r="Q1176" s="269"/>
      <c r="R1176" s="272">
        <f t="shared" si="56"/>
        <v>0</v>
      </c>
    </row>
    <row r="1177" spans="2:18" ht="15" customHeight="1" x14ac:dyDescent="0.25">
      <c r="B1177" s="114"/>
      <c r="C1177" s="269"/>
      <c r="D1177" s="272">
        <f t="shared" si="54"/>
        <v>0</v>
      </c>
      <c r="I1177" s="114"/>
      <c r="J1177" s="269"/>
      <c r="K1177" s="272">
        <f t="shared" si="55"/>
        <v>0</v>
      </c>
      <c r="P1177" s="114"/>
      <c r="Q1177" s="269"/>
      <c r="R1177" s="272">
        <f t="shared" si="56"/>
        <v>0</v>
      </c>
    </row>
    <row r="1178" spans="2:18" ht="15" customHeight="1" x14ac:dyDescent="0.25">
      <c r="B1178" s="114"/>
      <c r="C1178" s="269"/>
      <c r="D1178" s="272">
        <f t="shared" si="54"/>
        <v>0</v>
      </c>
      <c r="I1178" s="114"/>
      <c r="J1178" s="269"/>
      <c r="K1178" s="272">
        <f t="shared" si="55"/>
        <v>0</v>
      </c>
      <c r="P1178" s="114"/>
      <c r="Q1178" s="269"/>
      <c r="R1178" s="272">
        <f t="shared" si="56"/>
        <v>0</v>
      </c>
    </row>
    <row r="1179" spans="2:18" ht="15" customHeight="1" x14ac:dyDescent="0.25">
      <c r="B1179" s="114"/>
      <c r="C1179" s="269"/>
      <c r="D1179" s="272">
        <f t="shared" si="54"/>
        <v>0</v>
      </c>
      <c r="I1179" s="114"/>
      <c r="J1179" s="269"/>
      <c r="K1179" s="272">
        <f t="shared" si="55"/>
        <v>0</v>
      </c>
      <c r="P1179" s="114"/>
      <c r="Q1179" s="269"/>
      <c r="R1179" s="272">
        <f t="shared" si="56"/>
        <v>0</v>
      </c>
    </row>
    <row r="1180" spans="2:18" ht="15" customHeight="1" x14ac:dyDescent="0.25">
      <c r="B1180" s="114"/>
      <c r="C1180" s="269"/>
      <c r="D1180" s="272">
        <f t="shared" si="54"/>
        <v>0</v>
      </c>
      <c r="I1180" s="114"/>
      <c r="J1180" s="269"/>
      <c r="K1180" s="272">
        <f t="shared" si="55"/>
        <v>0</v>
      </c>
      <c r="P1180" s="114"/>
      <c r="Q1180" s="269"/>
      <c r="R1180" s="272">
        <f t="shared" si="56"/>
        <v>0</v>
      </c>
    </row>
    <row r="1181" spans="2:18" ht="15" customHeight="1" x14ac:dyDescent="0.25">
      <c r="B1181" s="114"/>
      <c r="C1181" s="269"/>
      <c r="D1181" s="272">
        <f t="shared" si="54"/>
        <v>0</v>
      </c>
      <c r="I1181" s="114"/>
      <c r="J1181" s="269"/>
      <c r="K1181" s="272">
        <f t="shared" si="55"/>
        <v>0</v>
      </c>
      <c r="P1181" s="114"/>
      <c r="Q1181" s="269"/>
      <c r="R1181" s="272">
        <f t="shared" si="56"/>
        <v>0</v>
      </c>
    </row>
    <row r="1182" spans="2:18" ht="15" customHeight="1" x14ac:dyDescent="0.25">
      <c r="B1182" s="114"/>
      <c r="C1182" s="269"/>
      <c r="D1182" s="272">
        <f t="shared" si="54"/>
        <v>0</v>
      </c>
      <c r="I1182" s="114"/>
      <c r="J1182" s="269"/>
      <c r="K1182" s="272">
        <f t="shared" si="55"/>
        <v>0</v>
      </c>
      <c r="P1182" s="114"/>
      <c r="Q1182" s="269"/>
      <c r="R1182" s="272">
        <f t="shared" si="56"/>
        <v>0</v>
      </c>
    </row>
    <row r="1183" spans="2:18" ht="15" customHeight="1" x14ac:dyDescent="0.25">
      <c r="B1183" s="114"/>
      <c r="C1183" s="269"/>
      <c r="D1183" s="272">
        <f t="shared" si="54"/>
        <v>0</v>
      </c>
      <c r="I1183" s="114"/>
      <c r="J1183" s="269"/>
      <c r="K1183" s="272">
        <f t="shared" si="55"/>
        <v>0</v>
      </c>
      <c r="P1183" s="114"/>
      <c r="Q1183" s="269"/>
      <c r="R1183" s="272">
        <f t="shared" si="56"/>
        <v>0</v>
      </c>
    </row>
    <row r="1184" spans="2:18" ht="15" customHeight="1" x14ac:dyDescent="0.25">
      <c r="B1184" s="114"/>
      <c r="C1184" s="269"/>
      <c r="D1184" s="272">
        <f t="shared" si="54"/>
        <v>0</v>
      </c>
      <c r="I1184" s="114"/>
      <c r="J1184" s="269"/>
      <c r="K1184" s="272">
        <f t="shared" si="55"/>
        <v>0</v>
      </c>
      <c r="P1184" s="114"/>
      <c r="Q1184" s="269"/>
      <c r="R1184" s="272">
        <f t="shared" si="56"/>
        <v>0</v>
      </c>
    </row>
    <row r="1185" spans="2:18" ht="15" customHeight="1" x14ac:dyDescent="0.25">
      <c r="B1185" s="114"/>
      <c r="C1185" s="269"/>
      <c r="D1185" s="272">
        <f t="shared" si="54"/>
        <v>0</v>
      </c>
      <c r="I1185" s="114"/>
      <c r="J1185" s="269"/>
      <c r="K1185" s="272">
        <f t="shared" si="55"/>
        <v>0</v>
      </c>
      <c r="P1185" s="114"/>
      <c r="Q1185" s="269"/>
      <c r="R1185" s="272">
        <f t="shared" si="56"/>
        <v>0</v>
      </c>
    </row>
    <row r="1186" spans="2:18" ht="15" customHeight="1" x14ac:dyDescent="0.25">
      <c r="B1186" s="114"/>
      <c r="C1186" s="269"/>
      <c r="D1186" s="272">
        <f t="shared" si="54"/>
        <v>0</v>
      </c>
      <c r="I1186" s="114"/>
      <c r="J1186" s="269"/>
      <c r="K1186" s="272">
        <f t="shared" si="55"/>
        <v>0</v>
      </c>
      <c r="P1186" s="114"/>
      <c r="Q1186" s="269"/>
      <c r="R1186" s="272">
        <f t="shared" si="56"/>
        <v>0</v>
      </c>
    </row>
    <row r="1187" spans="2:18" ht="15" customHeight="1" x14ac:dyDescent="0.25">
      <c r="B1187" s="114"/>
      <c r="C1187" s="269"/>
      <c r="D1187" s="272">
        <f t="shared" si="54"/>
        <v>0</v>
      </c>
      <c r="I1187" s="114"/>
      <c r="J1187" s="269"/>
      <c r="K1187" s="272">
        <f t="shared" si="55"/>
        <v>0</v>
      </c>
      <c r="P1187" s="114"/>
      <c r="Q1187" s="269"/>
      <c r="R1187" s="272">
        <f t="shared" si="56"/>
        <v>0</v>
      </c>
    </row>
    <row r="1188" spans="2:18" ht="15" customHeight="1" x14ac:dyDescent="0.25">
      <c r="B1188" s="114"/>
      <c r="C1188" s="269"/>
      <c r="D1188" s="272">
        <f t="shared" si="54"/>
        <v>0</v>
      </c>
      <c r="I1188" s="114"/>
      <c r="J1188" s="269"/>
      <c r="K1188" s="272">
        <f t="shared" si="55"/>
        <v>0</v>
      </c>
      <c r="P1188" s="114"/>
      <c r="Q1188" s="269"/>
      <c r="R1188" s="272">
        <f t="shared" si="56"/>
        <v>0</v>
      </c>
    </row>
    <row r="1189" spans="2:18" ht="15" customHeight="1" x14ac:dyDescent="0.25">
      <c r="B1189" s="114"/>
      <c r="C1189" s="269"/>
      <c r="D1189" s="272">
        <f t="shared" si="54"/>
        <v>0</v>
      </c>
      <c r="I1189" s="114"/>
      <c r="J1189" s="269"/>
      <c r="K1189" s="272">
        <f t="shared" si="55"/>
        <v>0</v>
      </c>
      <c r="P1189" s="114"/>
      <c r="Q1189" s="269"/>
      <c r="R1189" s="272">
        <f t="shared" si="56"/>
        <v>0</v>
      </c>
    </row>
    <row r="1190" spans="2:18" ht="15" customHeight="1" x14ac:dyDescent="0.25">
      <c r="B1190" s="114"/>
      <c r="C1190" s="269"/>
      <c r="D1190" s="272">
        <f t="shared" si="54"/>
        <v>0</v>
      </c>
      <c r="I1190" s="114"/>
      <c r="J1190" s="269"/>
      <c r="K1190" s="272">
        <f t="shared" si="55"/>
        <v>0</v>
      </c>
      <c r="P1190" s="114"/>
      <c r="Q1190" s="269"/>
      <c r="R1190" s="272">
        <f t="shared" si="56"/>
        <v>0</v>
      </c>
    </row>
    <row r="1191" spans="2:18" ht="15" customHeight="1" x14ac:dyDescent="0.25">
      <c r="B1191" s="114"/>
      <c r="C1191" s="269"/>
      <c r="D1191" s="272">
        <f t="shared" si="54"/>
        <v>0</v>
      </c>
      <c r="I1191" s="114"/>
      <c r="J1191" s="269"/>
      <c r="K1191" s="272">
        <f t="shared" si="55"/>
        <v>0</v>
      </c>
      <c r="P1191" s="114"/>
      <c r="Q1191" s="269"/>
      <c r="R1191" s="272">
        <f t="shared" si="56"/>
        <v>0</v>
      </c>
    </row>
    <row r="1192" spans="2:18" ht="15" customHeight="1" x14ac:dyDescent="0.25">
      <c r="B1192" s="114"/>
      <c r="C1192" s="269"/>
      <c r="D1192" s="272">
        <f t="shared" si="54"/>
        <v>0</v>
      </c>
      <c r="I1192" s="114"/>
      <c r="J1192" s="269"/>
      <c r="K1192" s="272">
        <f t="shared" si="55"/>
        <v>0</v>
      </c>
      <c r="P1192" s="114"/>
      <c r="Q1192" s="269"/>
      <c r="R1192" s="272">
        <f t="shared" si="56"/>
        <v>0</v>
      </c>
    </row>
    <row r="1193" spans="2:18" ht="15" customHeight="1" x14ac:dyDescent="0.25">
      <c r="B1193" s="114"/>
      <c r="C1193" s="269"/>
      <c r="D1193" s="272">
        <f t="shared" si="54"/>
        <v>0</v>
      </c>
      <c r="I1193" s="114"/>
      <c r="J1193" s="269"/>
      <c r="K1193" s="272">
        <f t="shared" si="55"/>
        <v>0</v>
      </c>
      <c r="P1193" s="114"/>
      <c r="Q1193" s="269"/>
      <c r="R1193" s="272">
        <f t="shared" si="56"/>
        <v>0</v>
      </c>
    </row>
    <row r="1194" spans="2:18" ht="15" customHeight="1" x14ac:dyDescent="0.25">
      <c r="B1194" s="114"/>
      <c r="C1194" s="269"/>
      <c r="D1194" s="272">
        <f t="shared" si="54"/>
        <v>0</v>
      </c>
      <c r="I1194" s="114"/>
      <c r="J1194" s="269"/>
      <c r="K1194" s="272">
        <f t="shared" si="55"/>
        <v>0</v>
      </c>
      <c r="P1194" s="114"/>
      <c r="Q1194" s="269"/>
      <c r="R1194" s="272">
        <f t="shared" si="56"/>
        <v>0</v>
      </c>
    </row>
    <row r="1195" spans="2:18" ht="15" customHeight="1" x14ac:dyDescent="0.25">
      <c r="B1195" s="114"/>
      <c r="C1195" s="269"/>
      <c r="D1195" s="272">
        <f t="shared" si="54"/>
        <v>0</v>
      </c>
      <c r="I1195" s="114"/>
      <c r="J1195" s="269"/>
      <c r="K1195" s="272">
        <f t="shared" si="55"/>
        <v>0</v>
      </c>
      <c r="P1195" s="114"/>
      <c r="Q1195" s="269"/>
      <c r="R1195" s="272">
        <f t="shared" si="56"/>
        <v>0</v>
      </c>
    </row>
    <row r="1196" spans="2:18" ht="15" customHeight="1" x14ac:dyDescent="0.25">
      <c r="B1196" s="114"/>
      <c r="C1196" s="269"/>
      <c r="D1196" s="272">
        <f t="shared" si="54"/>
        <v>0</v>
      </c>
      <c r="I1196" s="114"/>
      <c r="J1196" s="269"/>
      <c r="K1196" s="272">
        <f t="shared" si="55"/>
        <v>0</v>
      </c>
      <c r="P1196" s="114"/>
      <c r="Q1196" s="269"/>
      <c r="R1196" s="272">
        <f t="shared" si="56"/>
        <v>0</v>
      </c>
    </row>
    <row r="1197" spans="2:18" ht="15" customHeight="1" x14ac:dyDescent="0.25">
      <c r="B1197" s="114"/>
      <c r="C1197" s="269"/>
      <c r="D1197" s="272">
        <f t="shared" si="54"/>
        <v>0</v>
      </c>
      <c r="I1197" s="114"/>
      <c r="J1197" s="269"/>
      <c r="K1197" s="272">
        <f t="shared" si="55"/>
        <v>0</v>
      </c>
      <c r="P1197" s="114"/>
      <c r="Q1197" s="269"/>
      <c r="R1197" s="272">
        <f t="shared" si="56"/>
        <v>0</v>
      </c>
    </row>
    <row r="1198" spans="2:18" ht="15" customHeight="1" x14ac:dyDescent="0.25">
      <c r="B1198" s="114"/>
      <c r="C1198" s="269"/>
      <c r="D1198" s="272">
        <f t="shared" si="54"/>
        <v>0</v>
      </c>
      <c r="I1198" s="114"/>
      <c r="J1198" s="269"/>
      <c r="K1198" s="272">
        <f t="shared" si="55"/>
        <v>0</v>
      </c>
      <c r="P1198" s="114"/>
      <c r="Q1198" s="269"/>
      <c r="R1198" s="272">
        <f t="shared" si="56"/>
        <v>0</v>
      </c>
    </row>
    <row r="1199" spans="2:18" ht="15" customHeight="1" x14ac:dyDescent="0.25">
      <c r="B1199" s="114"/>
      <c r="C1199" s="269"/>
      <c r="D1199" s="272">
        <f t="shared" si="54"/>
        <v>0</v>
      </c>
      <c r="I1199" s="114"/>
      <c r="J1199" s="269"/>
      <c r="K1199" s="272">
        <f t="shared" si="55"/>
        <v>0</v>
      </c>
      <c r="P1199" s="114"/>
      <c r="Q1199" s="269"/>
      <c r="R1199" s="272">
        <f t="shared" si="56"/>
        <v>0</v>
      </c>
    </row>
    <row r="1200" spans="2:18" ht="15" customHeight="1" x14ac:dyDescent="0.25">
      <c r="B1200" s="114"/>
      <c r="C1200" s="269"/>
      <c r="D1200" s="272">
        <f t="shared" si="54"/>
        <v>0</v>
      </c>
      <c r="I1200" s="114"/>
      <c r="J1200" s="269"/>
      <c r="K1200" s="272">
        <f t="shared" si="55"/>
        <v>0</v>
      </c>
      <c r="P1200" s="114"/>
      <c r="Q1200" s="269"/>
      <c r="R1200" s="272">
        <f t="shared" si="56"/>
        <v>0</v>
      </c>
    </row>
    <row r="1201" spans="2:18" ht="15" customHeight="1" x14ac:dyDescent="0.25">
      <c r="B1201" s="114"/>
      <c r="C1201" s="269"/>
      <c r="D1201" s="272">
        <f t="shared" si="54"/>
        <v>0</v>
      </c>
      <c r="I1201" s="114"/>
      <c r="J1201" s="269"/>
      <c r="K1201" s="272">
        <f t="shared" si="55"/>
        <v>0</v>
      </c>
      <c r="P1201" s="114"/>
      <c r="Q1201" s="269"/>
      <c r="R1201" s="272">
        <f t="shared" si="56"/>
        <v>0</v>
      </c>
    </row>
    <row r="1202" spans="2:18" ht="15" customHeight="1" x14ac:dyDescent="0.25">
      <c r="B1202" s="114"/>
      <c r="C1202" s="269"/>
      <c r="D1202" s="272">
        <f t="shared" si="54"/>
        <v>0</v>
      </c>
      <c r="I1202" s="114"/>
      <c r="J1202" s="269"/>
      <c r="K1202" s="272">
        <f t="shared" si="55"/>
        <v>0</v>
      </c>
      <c r="P1202" s="114"/>
      <c r="Q1202" s="269"/>
      <c r="R1202" s="272">
        <f t="shared" si="56"/>
        <v>0</v>
      </c>
    </row>
    <row r="1203" spans="2:18" ht="15" customHeight="1" x14ac:dyDescent="0.25">
      <c r="B1203" s="114"/>
      <c r="C1203" s="269"/>
      <c r="D1203" s="272">
        <f t="shared" si="54"/>
        <v>0</v>
      </c>
      <c r="I1203" s="114"/>
      <c r="J1203" s="269"/>
      <c r="K1203" s="272">
        <f t="shared" si="55"/>
        <v>0</v>
      </c>
      <c r="P1203" s="114"/>
      <c r="Q1203" s="269"/>
      <c r="R1203" s="272">
        <f t="shared" si="56"/>
        <v>0</v>
      </c>
    </row>
    <row r="1204" spans="2:18" ht="15" customHeight="1" x14ac:dyDescent="0.25">
      <c r="B1204" s="114"/>
      <c r="C1204" s="269"/>
      <c r="D1204" s="272">
        <f t="shared" si="54"/>
        <v>0</v>
      </c>
      <c r="I1204" s="114"/>
      <c r="J1204" s="269"/>
      <c r="K1204" s="272">
        <f t="shared" si="55"/>
        <v>0</v>
      </c>
      <c r="P1204" s="114"/>
      <c r="Q1204" s="269"/>
      <c r="R1204" s="272">
        <f t="shared" si="56"/>
        <v>0</v>
      </c>
    </row>
    <row r="1205" spans="2:18" ht="15" customHeight="1" x14ac:dyDescent="0.25">
      <c r="B1205" s="114"/>
      <c r="C1205" s="269"/>
      <c r="D1205" s="272">
        <f t="shared" si="54"/>
        <v>0</v>
      </c>
      <c r="I1205" s="114"/>
      <c r="J1205" s="269"/>
      <c r="K1205" s="272">
        <f t="shared" si="55"/>
        <v>0</v>
      </c>
      <c r="P1205" s="114"/>
      <c r="Q1205" s="269"/>
      <c r="R1205" s="272">
        <f t="shared" si="56"/>
        <v>0</v>
      </c>
    </row>
    <row r="1206" spans="2:18" ht="15" customHeight="1" x14ac:dyDescent="0.25">
      <c r="B1206" s="114"/>
      <c r="C1206" s="269"/>
      <c r="D1206" s="272">
        <f t="shared" si="54"/>
        <v>0</v>
      </c>
      <c r="I1206" s="114"/>
      <c r="J1206" s="269"/>
      <c r="K1206" s="272">
        <f t="shared" si="55"/>
        <v>0</v>
      </c>
      <c r="P1206" s="114"/>
      <c r="Q1206" s="269"/>
      <c r="R1206" s="272">
        <f t="shared" si="56"/>
        <v>0</v>
      </c>
    </row>
    <row r="1207" spans="2:18" ht="15" customHeight="1" x14ac:dyDescent="0.25">
      <c r="B1207" s="114"/>
      <c r="C1207" s="269"/>
      <c r="D1207" s="272">
        <f t="shared" si="54"/>
        <v>0</v>
      </c>
      <c r="I1207" s="114"/>
      <c r="J1207" s="269"/>
      <c r="K1207" s="272">
        <f t="shared" si="55"/>
        <v>0</v>
      </c>
      <c r="P1207" s="114"/>
      <c r="Q1207" s="269"/>
      <c r="R1207" s="272">
        <f t="shared" si="56"/>
        <v>0</v>
      </c>
    </row>
    <row r="1208" spans="2:18" ht="15" customHeight="1" x14ac:dyDescent="0.25">
      <c r="B1208" s="114"/>
      <c r="C1208" s="269"/>
      <c r="D1208" s="272">
        <f t="shared" si="54"/>
        <v>0</v>
      </c>
      <c r="I1208" s="114"/>
      <c r="J1208" s="269"/>
      <c r="K1208" s="272">
        <f t="shared" si="55"/>
        <v>0</v>
      </c>
      <c r="P1208" s="114"/>
      <c r="Q1208" s="269"/>
      <c r="R1208" s="272">
        <f t="shared" si="56"/>
        <v>0</v>
      </c>
    </row>
    <row r="1209" spans="2:18" ht="15" customHeight="1" x14ac:dyDescent="0.25">
      <c r="B1209" s="114"/>
      <c r="C1209" s="269"/>
      <c r="D1209" s="272">
        <f t="shared" si="54"/>
        <v>0</v>
      </c>
      <c r="I1209" s="114"/>
      <c r="J1209" s="269"/>
      <c r="K1209" s="272">
        <f t="shared" si="55"/>
        <v>0</v>
      </c>
      <c r="P1209" s="114"/>
      <c r="Q1209" s="269"/>
      <c r="R1209" s="272">
        <f t="shared" si="56"/>
        <v>0</v>
      </c>
    </row>
    <row r="1210" spans="2:18" ht="15" customHeight="1" x14ac:dyDescent="0.25">
      <c r="B1210" s="114"/>
      <c r="C1210" s="269"/>
      <c r="D1210" s="272">
        <f t="shared" si="54"/>
        <v>0</v>
      </c>
      <c r="I1210" s="114"/>
      <c r="J1210" s="269"/>
      <c r="K1210" s="272">
        <f t="shared" si="55"/>
        <v>0</v>
      </c>
      <c r="P1210" s="114"/>
      <c r="Q1210" s="269"/>
      <c r="R1210" s="272">
        <f t="shared" si="56"/>
        <v>0</v>
      </c>
    </row>
    <row r="1211" spans="2:18" ht="15" customHeight="1" x14ac:dyDescent="0.25">
      <c r="B1211" s="114"/>
      <c r="C1211" s="269"/>
      <c r="D1211" s="272">
        <f t="shared" si="54"/>
        <v>0</v>
      </c>
      <c r="I1211" s="114"/>
      <c r="J1211" s="269"/>
      <c r="K1211" s="272">
        <f t="shared" si="55"/>
        <v>0</v>
      </c>
      <c r="P1211" s="114"/>
      <c r="Q1211" s="269"/>
      <c r="R1211" s="272">
        <f t="shared" si="56"/>
        <v>0</v>
      </c>
    </row>
    <row r="1212" spans="2:18" ht="15" customHeight="1" x14ac:dyDescent="0.25">
      <c r="B1212" s="114"/>
      <c r="C1212" s="269"/>
      <c r="D1212" s="272">
        <f t="shared" si="54"/>
        <v>0</v>
      </c>
      <c r="I1212" s="114"/>
      <c r="J1212" s="269"/>
      <c r="K1212" s="272">
        <f t="shared" si="55"/>
        <v>0</v>
      </c>
      <c r="P1212" s="114"/>
      <c r="Q1212" s="269"/>
      <c r="R1212" s="272">
        <f t="shared" si="56"/>
        <v>0</v>
      </c>
    </row>
    <row r="1213" spans="2:18" ht="15" customHeight="1" x14ac:dyDescent="0.25">
      <c r="B1213" s="114"/>
      <c r="C1213" s="269"/>
      <c r="D1213" s="272">
        <f t="shared" si="54"/>
        <v>0</v>
      </c>
      <c r="I1213" s="114"/>
      <c r="J1213" s="269"/>
      <c r="K1213" s="272">
        <f t="shared" si="55"/>
        <v>0</v>
      </c>
      <c r="P1213" s="114"/>
      <c r="Q1213" s="269"/>
      <c r="R1213" s="272">
        <f t="shared" si="56"/>
        <v>0</v>
      </c>
    </row>
    <row r="1214" spans="2:18" ht="15" customHeight="1" x14ac:dyDescent="0.25">
      <c r="B1214" s="114"/>
      <c r="C1214" s="269"/>
      <c r="D1214" s="272">
        <f t="shared" si="54"/>
        <v>0</v>
      </c>
      <c r="I1214" s="114"/>
      <c r="J1214" s="269"/>
      <c r="K1214" s="272">
        <f t="shared" si="55"/>
        <v>0</v>
      </c>
      <c r="P1214" s="114"/>
      <c r="Q1214" s="269"/>
      <c r="R1214" s="272">
        <f t="shared" si="56"/>
        <v>0</v>
      </c>
    </row>
    <row r="1215" spans="2:18" ht="15" customHeight="1" x14ac:dyDescent="0.25">
      <c r="B1215" s="114"/>
      <c r="C1215" s="269"/>
      <c r="D1215" s="272">
        <f t="shared" si="54"/>
        <v>0</v>
      </c>
      <c r="I1215" s="114"/>
      <c r="J1215" s="269"/>
      <c r="K1215" s="272">
        <f t="shared" si="55"/>
        <v>0</v>
      </c>
      <c r="P1215" s="114"/>
      <c r="Q1215" s="269"/>
      <c r="R1215" s="272">
        <f t="shared" si="56"/>
        <v>0</v>
      </c>
    </row>
    <row r="1216" spans="2:18" ht="15" customHeight="1" x14ac:dyDescent="0.25">
      <c r="B1216" s="114"/>
      <c r="C1216" s="269"/>
      <c r="D1216" s="272">
        <f t="shared" si="54"/>
        <v>0</v>
      </c>
      <c r="I1216" s="114"/>
      <c r="J1216" s="269"/>
      <c r="K1216" s="272">
        <f t="shared" si="55"/>
        <v>0</v>
      </c>
      <c r="P1216" s="114"/>
      <c r="Q1216" s="269"/>
      <c r="R1216" s="272">
        <f t="shared" si="56"/>
        <v>0</v>
      </c>
    </row>
    <row r="1217" spans="2:18" ht="15" customHeight="1" x14ac:dyDescent="0.25">
      <c r="B1217" s="114"/>
      <c r="C1217" s="269"/>
      <c r="D1217" s="272">
        <f t="shared" si="54"/>
        <v>0</v>
      </c>
      <c r="I1217" s="114"/>
      <c r="J1217" s="269"/>
      <c r="K1217" s="272">
        <f t="shared" si="55"/>
        <v>0</v>
      </c>
      <c r="P1217" s="114"/>
      <c r="Q1217" s="269"/>
      <c r="R1217" s="272">
        <f t="shared" si="56"/>
        <v>0</v>
      </c>
    </row>
    <row r="1218" spans="2:18" ht="15" customHeight="1" x14ac:dyDescent="0.25">
      <c r="B1218" s="114"/>
      <c r="C1218" s="269"/>
      <c r="D1218" s="272">
        <f t="shared" si="54"/>
        <v>0</v>
      </c>
      <c r="I1218" s="114"/>
      <c r="J1218" s="269"/>
      <c r="K1218" s="272">
        <f t="shared" si="55"/>
        <v>0</v>
      </c>
      <c r="P1218" s="114"/>
      <c r="Q1218" s="269"/>
      <c r="R1218" s="272">
        <f t="shared" si="56"/>
        <v>0</v>
      </c>
    </row>
    <row r="1219" spans="2:18" ht="15" customHeight="1" x14ac:dyDescent="0.25">
      <c r="B1219" s="114"/>
      <c r="C1219" s="269"/>
      <c r="D1219" s="272">
        <f t="shared" si="54"/>
        <v>0</v>
      </c>
      <c r="I1219" s="114"/>
      <c r="J1219" s="269"/>
      <c r="K1219" s="272">
        <f t="shared" si="55"/>
        <v>0</v>
      </c>
      <c r="P1219" s="114"/>
      <c r="Q1219" s="269"/>
      <c r="R1219" s="272">
        <f t="shared" si="56"/>
        <v>0</v>
      </c>
    </row>
    <row r="1220" spans="2:18" ht="15" customHeight="1" x14ac:dyDescent="0.25">
      <c r="B1220" s="114"/>
      <c r="C1220" s="269"/>
      <c r="D1220" s="272">
        <f t="shared" si="54"/>
        <v>0</v>
      </c>
      <c r="I1220" s="114"/>
      <c r="J1220" s="269"/>
      <c r="K1220" s="272">
        <f t="shared" si="55"/>
        <v>0</v>
      </c>
      <c r="P1220" s="114"/>
      <c r="Q1220" s="269"/>
      <c r="R1220" s="272">
        <f t="shared" si="56"/>
        <v>0</v>
      </c>
    </row>
    <row r="1221" spans="2:18" ht="15" customHeight="1" x14ac:dyDescent="0.25">
      <c r="B1221" s="114"/>
      <c r="C1221" s="269"/>
      <c r="D1221" s="272">
        <f t="shared" si="54"/>
        <v>0</v>
      </c>
      <c r="I1221" s="114"/>
      <c r="J1221" s="269"/>
      <c r="K1221" s="272">
        <f t="shared" si="55"/>
        <v>0</v>
      </c>
      <c r="P1221" s="114"/>
      <c r="Q1221" s="269"/>
      <c r="R1221" s="272">
        <f t="shared" si="56"/>
        <v>0</v>
      </c>
    </row>
    <row r="1222" spans="2:18" ht="15" customHeight="1" x14ac:dyDescent="0.25">
      <c r="B1222" s="114"/>
      <c r="C1222" s="269"/>
      <c r="D1222" s="272">
        <f t="shared" si="54"/>
        <v>0</v>
      </c>
      <c r="I1222" s="114"/>
      <c r="J1222" s="269"/>
      <c r="K1222" s="272">
        <f t="shared" si="55"/>
        <v>0</v>
      </c>
      <c r="P1222" s="114"/>
      <c r="Q1222" s="269"/>
      <c r="R1222" s="272">
        <f t="shared" si="56"/>
        <v>0</v>
      </c>
    </row>
    <row r="1223" spans="2:18" ht="15" customHeight="1" x14ac:dyDescent="0.25">
      <c r="B1223" s="114"/>
      <c r="C1223" s="269"/>
      <c r="D1223" s="272">
        <f t="shared" si="54"/>
        <v>0</v>
      </c>
      <c r="I1223" s="114"/>
      <c r="J1223" s="269"/>
      <c r="K1223" s="272">
        <f t="shared" si="55"/>
        <v>0</v>
      </c>
      <c r="P1223" s="114"/>
      <c r="Q1223" s="269"/>
      <c r="R1223" s="272">
        <f t="shared" si="56"/>
        <v>0</v>
      </c>
    </row>
    <row r="1224" spans="2:18" ht="15" customHeight="1" x14ac:dyDescent="0.25">
      <c r="B1224" s="114"/>
      <c r="C1224" s="269"/>
      <c r="D1224" s="272">
        <f t="shared" si="54"/>
        <v>0</v>
      </c>
      <c r="I1224" s="114"/>
      <c r="J1224" s="269"/>
      <c r="K1224" s="272">
        <f t="shared" si="55"/>
        <v>0</v>
      </c>
      <c r="P1224" s="114"/>
      <c r="Q1224" s="269"/>
      <c r="R1224" s="272">
        <f t="shared" si="56"/>
        <v>0</v>
      </c>
    </row>
    <row r="1225" spans="2:18" ht="15" customHeight="1" x14ac:dyDescent="0.25">
      <c r="B1225" s="114"/>
      <c r="C1225" s="269"/>
      <c r="D1225" s="272">
        <f t="shared" si="54"/>
        <v>0</v>
      </c>
      <c r="I1225" s="114"/>
      <c r="J1225" s="269"/>
      <c r="K1225" s="272">
        <f t="shared" si="55"/>
        <v>0</v>
      </c>
      <c r="P1225" s="114"/>
      <c r="Q1225" s="269"/>
      <c r="R1225" s="272">
        <f t="shared" si="56"/>
        <v>0</v>
      </c>
    </row>
    <row r="1226" spans="2:18" ht="15" customHeight="1" x14ac:dyDescent="0.25">
      <c r="B1226" s="114"/>
      <c r="C1226" s="269"/>
      <c r="D1226" s="272">
        <f t="shared" si="54"/>
        <v>0</v>
      </c>
      <c r="I1226" s="114"/>
      <c r="J1226" s="269"/>
      <c r="K1226" s="272">
        <f t="shared" si="55"/>
        <v>0</v>
      </c>
      <c r="P1226" s="114"/>
      <c r="Q1226" s="269"/>
      <c r="R1226" s="272">
        <f t="shared" si="56"/>
        <v>0</v>
      </c>
    </row>
    <row r="1227" spans="2:18" ht="15" customHeight="1" x14ac:dyDescent="0.25">
      <c r="B1227" s="114"/>
      <c r="C1227" s="269"/>
      <c r="D1227" s="272">
        <f t="shared" si="54"/>
        <v>0</v>
      </c>
      <c r="I1227" s="114"/>
      <c r="J1227" s="269"/>
      <c r="K1227" s="272">
        <f t="shared" si="55"/>
        <v>0</v>
      </c>
      <c r="P1227" s="114"/>
      <c r="Q1227" s="269"/>
      <c r="R1227" s="272">
        <f t="shared" si="56"/>
        <v>0</v>
      </c>
    </row>
    <row r="1228" spans="2:18" ht="15" customHeight="1" x14ac:dyDescent="0.25">
      <c r="B1228" s="114"/>
      <c r="C1228" s="269"/>
      <c r="D1228" s="272">
        <f t="shared" si="54"/>
        <v>0</v>
      </c>
      <c r="I1228" s="114"/>
      <c r="J1228" s="269"/>
      <c r="K1228" s="272">
        <f t="shared" si="55"/>
        <v>0</v>
      </c>
      <c r="P1228" s="114"/>
      <c r="Q1228" s="269"/>
      <c r="R1228" s="272">
        <f t="shared" si="56"/>
        <v>0</v>
      </c>
    </row>
    <row r="1229" spans="2:18" ht="15" customHeight="1" x14ac:dyDescent="0.25">
      <c r="B1229" s="114"/>
      <c r="C1229" s="269"/>
      <c r="D1229" s="272">
        <f t="shared" si="54"/>
        <v>0</v>
      </c>
      <c r="I1229" s="114"/>
      <c r="J1229" s="269"/>
      <c r="K1229" s="272">
        <f t="shared" si="55"/>
        <v>0</v>
      </c>
      <c r="P1229" s="114"/>
      <c r="Q1229" s="269"/>
      <c r="R1229" s="272">
        <f t="shared" si="56"/>
        <v>0</v>
      </c>
    </row>
    <row r="1230" spans="2:18" ht="15" customHeight="1" x14ac:dyDescent="0.25">
      <c r="B1230" s="114"/>
      <c r="C1230" s="269"/>
      <c r="D1230" s="272">
        <f t="shared" si="54"/>
        <v>0</v>
      </c>
      <c r="I1230" s="114"/>
      <c r="J1230" s="269"/>
      <c r="K1230" s="272">
        <f t="shared" si="55"/>
        <v>0</v>
      </c>
      <c r="P1230" s="114"/>
      <c r="Q1230" s="269"/>
      <c r="R1230" s="272">
        <f t="shared" si="56"/>
        <v>0</v>
      </c>
    </row>
    <row r="1231" spans="2:18" ht="15" customHeight="1" x14ac:dyDescent="0.25">
      <c r="B1231" s="114"/>
      <c r="C1231" s="269"/>
      <c r="D1231" s="272">
        <f t="shared" si="54"/>
        <v>0</v>
      </c>
      <c r="I1231" s="114"/>
      <c r="J1231" s="269"/>
      <c r="K1231" s="272">
        <f t="shared" si="55"/>
        <v>0</v>
      </c>
      <c r="P1231" s="114"/>
      <c r="Q1231" s="269"/>
      <c r="R1231" s="272">
        <f t="shared" si="56"/>
        <v>0</v>
      </c>
    </row>
    <row r="1232" spans="2:18" ht="15" customHeight="1" x14ac:dyDescent="0.25">
      <c r="B1232" s="114"/>
      <c r="C1232" s="269"/>
      <c r="D1232" s="272">
        <f t="shared" si="54"/>
        <v>0</v>
      </c>
      <c r="I1232" s="114"/>
      <c r="J1232" s="269"/>
      <c r="K1232" s="272">
        <f t="shared" si="55"/>
        <v>0</v>
      </c>
      <c r="P1232" s="114"/>
      <c r="Q1232" s="269"/>
      <c r="R1232" s="272">
        <f t="shared" si="56"/>
        <v>0</v>
      </c>
    </row>
    <row r="1233" spans="2:18" ht="15" customHeight="1" x14ac:dyDescent="0.25">
      <c r="B1233" s="114"/>
      <c r="C1233" s="269"/>
      <c r="D1233" s="272">
        <f t="shared" si="54"/>
        <v>0</v>
      </c>
      <c r="I1233" s="114"/>
      <c r="J1233" s="269"/>
      <c r="K1233" s="272">
        <f t="shared" si="55"/>
        <v>0</v>
      </c>
      <c r="P1233" s="114"/>
      <c r="Q1233" s="269"/>
      <c r="R1233" s="272">
        <f t="shared" si="56"/>
        <v>0</v>
      </c>
    </row>
    <row r="1234" spans="2:18" ht="15" customHeight="1" x14ac:dyDescent="0.25">
      <c r="B1234" s="114"/>
      <c r="C1234" s="269"/>
      <c r="D1234" s="272">
        <f t="shared" ref="D1234:D1267" si="57">C1234/1000</f>
        <v>0</v>
      </c>
      <c r="I1234" s="114"/>
      <c r="J1234" s="269"/>
      <c r="K1234" s="272">
        <f t="shared" ref="K1234:K1267" si="58">J1234/1000</f>
        <v>0</v>
      </c>
      <c r="P1234" s="114"/>
      <c r="Q1234" s="269"/>
      <c r="R1234" s="272">
        <f t="shared" ref="R1234:R1267" si="59">Q1234/1000</f>
        <v>0</v>
      </c>
    </row>
    <row r="1235" spans="2:18" ht="15" customHeight="1" x14ac:dyDescent="0.25">
      <c r="B1235" s="114"/>
      <c r="C1235" s="269"/>
      <c r="D1235" s="272">
        <f t="shared" si="57"/>
        <v>0</v>
      </c>
      <c r="I1235" s="114"/>
      <c r="J1235" s="269"/>
      <c r="K1235" s="272">
        <f t="shared" si="58"/>
        <v>0</v>
      </c>
      <c r="P1235" s="114"/>
      <c r="Q1235" s="269"/>
      <c r="R1235" s="272">
        <f t="shared" si="59"/>
        <v>0</v>
      </c>
    </row>
    <row r="1236" spans="2:18" ht="15" customHeight="1" x14ac:dyDescent="0.25">
      <c r="B1236" s="114"/>
      <c r="C1236" s="269"/>
      <c r="D1236" s="272">
        <f t="shared" si="57"/>
        <v>0</v>
      </c>
      <c r="I1236" s="114"/>
      <c r="J1236" s="269"/>
      <c r="K1236" s="272">
        <f t="shared" si="58"/>
        <v>0</v>
      </c>
      <c r="P1236" s="114"/>
      <c r="Q1236" s="269"/>
      <c r="R1236" s="272">
        <f t="shared" si="59"/>
        <v>0</v>
      </c>
    </row>
    <row r="1237" spans="2:18" ht="15" customHeight="1" x14ac:dyDescent="0.25">
      <c r="B1237" s="114"/>
      <c r="C1237" s="269"/>
      <c r="D1237" s="272">
        <f t="shared" si="57"/>
        <v>0</v>
      </c>
      <c r="I1237" s="114"/>
      <c r="J1237" s="269"/>
      <c r="K1237" s="272">
        <f t="shared" si="58"/>
        <v>0</v>
      </c>
      <c r="P1237" s="114"/>
      <c r="Q1237" s="269"/>
      <c r="R1237" s="272">
        <f t="shared" si="59"/>
        <v>0</v>
      </c>
    </row>
    <row r="1238" spans="2:18" ht="15" customHeight="1" x14ac:dyDescent="0.25">
      <c r="B1238" s="114"/>
      <c r="C1238" s="269"/>
      <c r="D1238" s="272">
        <f t="shared" si="57"/>
        <v>0</v>
      </c>
      <c r="I1238" s="114"/>
      <c r="J1238" s="269"/>
      <c r="K1238" s="272">
        <f t="shared" si="58"/>
        <v>0</v>
      </c>
      <c r="P1238" s="114"/>
      <c r="Q1238" s="269"/>
      <c r="R1238" s="272">
        <f t="shared" si="59"/>
        <v>0</v>
      </c>
    </row>
    <row r="1239" spans="2:18" ht="15" customHeight="1" x14ac:dyDescent="0.25">
      <c r="B1239" s="114"/>
      <c r="C1239" s="269"/>
      <c r="D1239" s="272">
        <f t="shared" si="57"/>
        <v>0</v>
      </c>
      <c r="I1239" s="114"/>
      <c r="J1239" s="269"/>
      <c r="K1239" s="272">
        <f t="shared" si="58"/>
        <v>0</v>
      </c>
      <c r="P1239" s="114"/>
      <c r="Q1239" s="269"/>
      <c r="R1239" s="272">
        <f t="shared" si="59"/>
        <v>0</v>
      </c>
    </row>
    <row r="1240" spans="2:18" ht="15" customHeight="1" x14ac:dyDescent="0.25">
      <c r="B1240" s="114"/>
      <c r="C1240" s="269"/>
      <c r="D1240" s="272">
        <f t="shared" si="57"/>
        <v>0</v>
      </c>
      <c r="I1240" s="114"/>
      <c r="J1240" s="269"/>
      <c r="K1240" s="272">
        <f t="shared" si="58"/>
        <v>0</v>
      </c>
      <c r="P1240" s="114"/>
      <c r="Q1240" s="269"/>
      <c r="R1240" s="272">
        <f t="shared" si="59"/>
        <v>0</v>
      </c>
    </row>
    <row r="1241" spans="2:18" ht="15" customHeight="1" x14ac:dyDescent="0.25">
      <c r="B1241" s="114"/>
      <c r="C1241" s="269"/>
      <c r="D1241" s="272">
        <f t="shared" si="57"/>
        <v>0</v>
      </c>
      <c r="I1241" s="114"/>
      <c r="J1241" s="269"/>
      <c r="K1241" s="272">
        <f t="shared" si="58"/>
        <v>0</v>
      </c>
      <c r="P1241" s="114"/>
      <c r="Q1241" s="269"/>
      <c r="R1241" s="272">
        <f t="shared" si="59"/>
        <v>0</v>
      </c>
    </row>
    <row r="1242" spans="2:18" ht="15" customHeight="1" x14ac:dyDescent="0.25">
      <c r="B1242" s="114"/>
      <c r="C1242" s="269"/>
      <c r="D1242" s="272">
        <f t="shared" si="57"/>
        <v>0</v>
      </c>
      <c r="I1242" s="114"/>
      <c r="J1242" s="269"/>
      <c r="K1242" s="272">
        <f t="shared" si="58"/>
        <v>0</v>
      </c>
      <c r="P1242" s="114"/>
      <c r="Q1242" s="269"/>
      <c r="R1242" s="272">
        <f t="shared" si="59"/>
        <v>0</v>
      </c>
    </row>
    <row r="1243" spans="2:18" ht="15" customHeight="1" x14ac:dyDescent="0.25">
      <c r="B1243" s="114"/>
      <c r="C1243" s="269"/>
      <c r="D1243" s="272">
        <f t="shared" si="57"/>
        <v>0</v>
      </c>
      <c r="I1243" s="114"/>
      <c r="J1243" s="269"/>
      <c r="K1243" s="272">
        <f t="shared" si="58"/>
        <v>0</v>
      </c>
      <c r="P1243" s="114"/>
      <c r="Q1243" s="269"/>
      <c r="R1243" s="272">
        <f t="shared" si="59"/>
        <v>0</v>
      </c>
    </row>
    <row r="1244" spans="2:18" ht="15" customHeight="1" x14ac:dyDescent="0.25">
      <c r="B1244" s="114"/>
      <c r="C1244" s="269"/>
      <c r="D1244" s="272">
        <f t="shared" si="57"/>
        <v>0</v>
      </c>
      <c r="I1244" s="114"/>
      <c r="J1244" s="269"/>
      <c r="K1244" s="272">
        <f t="shared" si="58"/>
        <v>0</v>
      </c>
      <c r="P1244" s="114"/>
      <c r="Q1244" s="269"/>
      <c r="R1244" s="272">
        <f t="shared" si="59"/>
        <v>0</v>
      </c>
    </row>
    <row r="1245" spans="2:18" ht="15" customHeight="1" x14ac:dyDescent="0.25">
      <c r="B1245" s="114"/>
      <c r="C1245" s="269"/>
      <c r="D1245" s="272">
        <f t="shared" si="57"/>
        <v>0</v>
      </c>
      <c r="I1245" s="114"/>
      <c r="J1245" s="269"/>
      <c r="K1245" s="272">
        <f t="shared" si="58"/>
        <v>0</v>
      </c>
      <c r="P1245" s="114"/>
      <c r="Q1245" s="269"/>
      <c r="R1245" s="272">
        <f t="shared" si="59"/>
        <v>0</v>
      </c>
    </row>
    <row r="1246" spans="2:18" ht="15" customHeight="1" x14ac:dyDescent="0.25">
      <c r="B1246" s="114"/>
      <c r="C1246" s="269"/>
      <c r="D1246" s="272">
        <f t="shared" si="57"/>
        <v>0</v>
      </c>
      <c r="I1246" s="114"/>
      <c r="J1246" s="269"/>
      <c r="K1246" s="272">
        <f t="shared" si="58"/>
        <v>0</v>
      </c>
      <c r="P1246" s="114"/>
      <c r="Q1246" s="269"/>
      <c r="R1246" s="272">
        <f t="shared" si="59"/>
        <v>0</v>
      </c>
    </row>
    <row r="1247" spans="2:18" ht="15" customHeight="1" x14ac:dyDescent="0.25">
      <c r="B1247" s="114"/>
      <c r="C1247" s="269"/>
      <c r="D1247" s="272">
        <f t="shared" si="57"/>
        <v>0</v>
      </c>
      <c r="I1247" s="114"/>
      <c r="J1247" s="269"/>
      <c r="K1247" s="272">
        <f t="shared" si="58"/>
        <v>0</v>
      </c>
      <c r="P1247" s="114"/>
      <c r="Q1247" s="269"/>
      <c r="R1247" s="272">
        <f t="shared" si="59"/>
        <v>0</v>
      </c>
    </row>
    <row r="1248" spans="2:18" ht="15" customHeight="1" x14ac:dyDescent="0.25">
      <c r="B1248" s="114"/>
      <c r="C1248" s="269"/>
      <c r="D1248" s="272">
        <f t="shared" si="57"/>
        <v>0</v>
      </c>
      <c r="I1248" s="114"/>
      <c r="J1248" s="269"/>
      <c r="K1248" s="272">
        <f t="shared" si="58"/>
        <v>0</v>
      </c>
      <c r="P1248" s="114"/>
      <c r="Q1248" s="269"/>
      <c r="R1248" s="272">
        <f t="shared" si="59"/>
        <v>0</v>
      </c>
    </row>
    <row r="1249" spans="2:18" ht="15" customHeight="1" x14ac:dyDescent="0.25">
      <c r="B1249" s="114"/>
      <c r="C1249" s="269"/>
      <c r="D1249" s="272">
        <f t="shared" si="57"/>
        <v>0</v>
      </c>
      <c r="I1249" s="114"/>
      <c r="J1249" s="269"/>
      <c r="K1249" s="272">
        <f t="shared" si="58"/>
        <v>0</v>
      </c>
      <c r="P1249" s="114"/>
      <c r="Q1249" s="269"/>
      <c r="R1249" s="272">
        <f t="shared" si="59"/>
        <v>0</v>
      </c>
    </row>
    <row r="1250" spans="2:18" ht="15" customHeight="1" x14ac:dyDescent="0.25">
      <c r="B1250" s="114"/>
      <c r="C1250" s="269"/>
      <c r="D1250" s="272">
        <f t="shared" si="57"/>
        <v>0</v>
      </c>
      <c r="I1250" s="114"/>
      <c r="J1250" s="269"/>
      <c r="K1250" s="272">
        <f t="shared" si="58"/>
        <v>0</v>
      </c>
      <c r="P1250" s="114"/>
      <c r="Q1250" s="269"/>
      <c r="R1250" s="272">
        <f t="shared" si="59"/>
        <v>0</v>
      </c>
    </row>
    <row r="1251" spans="2:18" ht="15" customHeight="1" x14ac:dyDescent="0.25">
      <c r="B1251" s="114"/>
      <c r="C1251" s="269"/>
      <c r="D1251" s="272">
        <f t="shared" si="57"/>
        <v>0</v>
      </c>
      <c r="I1251" s="114"/>
      <c r="J1251" s="269"/>
      <c r="K1251" s="272">
        <f t="shared" si="58"/>
        <v>0</v>
      </c>
      <c r="P1251" s="114"/>
      <c r="Q1251" s="269"/>
      <c r="R1251" s="272">
        <f t="shared" si="59"/>
        <v>0</v>
      </c>
    </row>
    <row r="1252" spans="2:18" ht="15" customHeight="1" x14ac:dyDescent="0.25">
      <c r="B1252" s="114"/>
      <c r="C1252" s="269"/>
      <c r="D1252" s="272">
        <f t="shared" si="57"/>
        <v>0</v>
      </c>
      <c r="I1252" s="114"/>
      <c r="J1252" s="269"/>
      <c r="K1252" s="272">
        <f t="shared" si="58"/>
        <v>0</v>
      </c>
      <c r="P1252" s="114"/>
      <c r="Q1252" s="269"/>
      <c r="R1252" s="272">
        <f t="shared" si="59"/>
        <v>0</v>
      </c>
    </row>
    <row r="1253" spans="2:18" ht="15" customHeight="1" x14ac:dyDescent="0.25">
      <c r="B1253" s="114"/>
      <c r="C1253" s="269"/>
      <c r="D1253" s="272">
        <f t="shared" si="57"/>
        <v>0</v>
      </c>
      <c r="I1253" s="114"/>
      <c r="J1253" s="269"/>
      <c r="K1253" s="272">
        <f t="shared" si="58"/>
        <v>0</v>
      </c>
      <c r="P1253" s="114"/>
      <c r="Q1253" s="269"/>
      <c r="R1253" s="272">
        <f t="shared" si="59"/>
        <v>0</v>
      </c>
    </row>
    <row r="1254" spans="2:18" ht="15" customHeight="1" x14ac:dyDescent="0.25">
      <c r="B1254" s="114"/>
      <c r="C1254" s="269"/>
      <c r="D1254" s="272">
        <f t="shared" si="57"/>
        <v>0</v>
      </c>
      <c r="I1254" s="114"/>
      <c r="J1254" s="269"/>
      <c r="K1254" s="272">
        <f t="shared" si="58"/>
        <v>0</v>
      </c>
      <c r="P1254" s="114"/>
      <c r="Q1254" s="269"/>
      <c r="R1254" s="272">
        <f t="shared" si="59"/>
        <v>0</v>
      </c>
    </row>
    <row r="1255" spans="2:18" ht="15" customHeight="1" x14ac:dyDescent="0.25">
      <c r="B1255" s="114"/>
      <c r="C1255" s="269"/>
      <c r="D1255" s="272">
        <f t="shared" si="57"/>
        <v>0</v>
      </c>
      <c r="I1255" s="114"/>
      <c r="J1255" s="269"/>
      <c r="K1255" s="272">
        <f t="shared" si="58"/>
        <v>0</v>
      </c>
      <c r="P1255" s="114"/>
      <c r="Q1255" s="269"/>
      <c r="R1255" s="272">
        <f t="shared" si="59"/>
        <v>0</v>
      </c>
    </row>
    <row r="1256" spans="2:18" ht="15" customHeight="1" x14ac:dyDescent="0.25">
      <c r="B1256" s="114"/>
      <c r="C1256" s="269"/>
      <c r="D1256" s="272">
        <f t="shared" si="57"/>
        <v>0</v>
      </c>
      <c r="I1256" s="114"/>
      <c r="J1256" s="269"/>
      <c r="K1256" s="272">
        <f t="shared" si="58"/>
        <v>0</v>
      </c>
      <c r="P1256" s="114"/>
      <c r="Q1256" s="269"/>
      <c r="R1256" s="272">
        <f t="shared" si="59"/>
        <v>0</v>
      </c>
    </row>
    <row r="1257" spans="2:18" ht="15" customHeight="1" x14ac:dyDescent="0.25">
      <c r="B1257" s="114"/>
      <c r="C1257" s="269"/>
      <c r="D1257" s="272">
        <f t="shared" si="57"/>
        <v>0</v>
      </c>
      <c r="I1257" s="114"/>
      <c r="J1257" s="269"/>
      <c r="K1257" s="272">
        <f t="shared" si="58"/>
        <v>0</v>
      </c>
      <c r="P1257" s="114"/>
      <c r="Q1257" s="269"/>
      <c r="R1257" s="272">
        <f t="shared" si="59"/>
        <v>0</v>
      </c>
    </row>
    <row r="1258" spans="2:18" ht="15" customHeight="1" x14ac:dyDescent="0.25">
      <c r="B1258" s="114"/>
      <c r="C1258" s="269"/>
      <c r="D1258" s="272">
        <f t="shared" si="57"/>
        <v>0</v>
      </c>
      <c r="I1258" s="114"/>
      <c r="J1258" s="269"/>
      <c r="K1258" s="272">
        <f t="shared" si="58"/>
        <v>0</v>
      </c>
      <c r="P1258" s="114"/>
      <c r="Q1258" s="269"/>
      <c r="R1258" s="272">
        <f t="shared" si="59"/>
        <v>0</v>
      </c>
    </row>
    <row r="1259" spans="2:18" ht="15" customHeight="1" x14ac:dyDescent="0.25">
      <c r="B1259" s="114"/>
      <c r="C1259" s="269"/>
      <c r="D1259" s="272">
        <f t="shared" si="57"/>
        <v>0</v>
      </c>
      <c r="I1259" s="114"/>
      <c r="J1259" s="269"/>
      <c r="K1259" s="272">
        <f t="shared" si="58"/>
        <v>0</v>
      </c>
      <c r="P1259" s="114"/>
      <c r="Q1259" s="269"/>
      <c r="R1259" s="272">
        <f t="shared" si="59"/>
        <v>0</v>
      </c>
    </row>
    <row r="1260" spans="2:18" ht="15" customHeight="1" x14ac:dyDescent="0.25">
      <c r="B1260" s="114"/>
      <c r="C1260" s="269"/>
      <c r="D1260" s="272">
        <f t="shared" si="57"/>
        <v>0</v>
      </c>
      <c r="I1260" s="114"/>
      <c r="J1260" s="269"/>
      <c r="K1260" s="272">
        <f t="shared" si="58"/>
        <v>0</v>
      </c>
      <c r="P1260" s="114"/>
      <c r="Q1260" s="269"/>
      <c r="R1260" s="272">
        <f t="shared" si="59"/>
        <v>0</v>
      </c>
    </row>
    <row r="1261" spans="2:18" ht="15" customHeight="1" x14ac:dyDescent="0.25">
      <c r="B1261" s="114"/>
      <c r="C1261" s="269"/>
      <c r="D1261" s="272">
        <f t="shared" si="57"/>
        <v>0</v>
      </c>
      <c r="I1261" s="114"/>
      <c r="J1261" s="269"/>
      <c r="K1261" s="272">
        <f t="shared" si="58"/>
        <v>0</v>
      </c>
      <c r="P1261" s="114"/>
      <c r="Q1261" s="269"/>
      <c r="R1261" s="272">
        <f t="shared" si="59"/>
        <v>0</v>
      </c>
    </row>
    <row r="1262" spans="2:18" ht="15" customHeight="1" x14ac:dyDescent="0.25">
      <c r="B1262" s="114"/>
      <c r="C1262" s="269"/>
      <c r="D1262" s="272">
        <f t="shared" si="57"/>
        <v>0</v>
      </c>
      <c r="I1262" s="114"/>
      <c r="J1262" s="269"/>
      <c r="K1262" s="272">
        <f t="shared" si="58"/>
        <v>0</v>
      </c>
      <c r="P1262" s="114"/>
      <c r="Q1262" s="269"/>
      <c r="R1262" s="272">
        <f t="shared" si="59"/>
        <v>0</v>
      </c>
    </row>
    <row r="1263" spans="2:18" ht="15" customHeight="1" x14ac:dyDescent="0.25">
      <c r="B1263" s="114"/>
      <c r="C1263" s="269"/>
      <c r="D1263" s="272">
        <f t="shared" si="57"/>
        <v>0</v>
      </c>
      <c r="I1263" s="114"/>
      <c r="J1263" s="269"/>
      <c r="K1263" s="272">
        <f t="shared" si="58"/>
        <v>0</v>
      </c>
      <c r="P1263" s="114"/>
      <c r="Q1263" s="269"/>
      <c r="R1263" s="272">
        <f t="shared" si="59"/>
        <v>0</v>
      </c>
    </row>
    <row r="1264" spans="2:18" ht="15" customHeight="1" x14ac:dyDescent="0.25">
      <c r="B1264" s="114"/>
      <c r="C1264" s="269"/>
      <c r="D1264" s="272">
        <f t="shared" si="57"/>
        <v>0</v>
      </c>
      <c r="I1264" s="114"/>
      <c r="J1264" s="269"/>
      <c r="K1264" s="272">
        <f t="shared" si="58"/>
        <v>0</v>
      </c>
      <c r="P1264" s="114"/>
      <c r="Q1264" s="269"/>
      <c r="R1264" s="272">
        <f t="shared" si="59"/>
        <v>0</v>
      </c>
    </row>
    <row r="1265" spans="2:18" ht="15" customHeight="1" x14ac:dyDescent="0.25">
      <c r="B1265" s="114"/>
      <c r="C1265" s="269"/>
      <c r="D1265" s="272">
        <f t="shared" si="57"/>
        <v>0</v>
      </c>
      <c r="I1265" s="114"/>
      <c r="J1265" s="269"/>
      <c r="K1265" s="272">
        <f t="shared" si="58"/>
        <v>0</v>
      </c>
      <c r="P1265" s="114"/>
      <c r="Q1265" s="269"/>
      <c r="R1265" s="272">
        <f t="shared" si="59"/>
        <v>0</v>
      </c>
    </row>
    <row r="1266" spans="2:18" ht="15" customHeight="1" x14ac:dyDescent="0.25">
      <c r="B1266" s="114"/>
      <c r="C1266" s="269"/>
      <c r="D1266" s="272">
        <f t="shared" si="57"/>
        <v>0</v>
      </c>
      <c r="I1266" s="114"/>
      <c r="J1266" s="269"/>
      <c r="K1266" s="272">
        <f t="shared" si="58"/>
        <v>0</v>
      </c>
      <c r="P1266" s="114"/>
      <c r="Q1266" s="269"/>
      <c r="R1266" s="272">
        <f t="shared" si="59"/>
        <v>0</v>
      </c>
    </row>
    <row r="1267" spans="2:18" ht="15" customHeight="1" x14ac:dyDescent="0.25">
      <c r="B1267" s="114"/>
      <c r="C1267" s="269"/>
      <c r="D1267" s="272">
        <f t="shared" si="57"/>
        <v>0</v>
      </c>
      <c r="I1267" s="114"/>
      <c r="J1267" s="269"/>
      <c r="K1267" s="272">
        <f t="shared" si="58"/>
        <v>0</v>
      </c>
      <c r="P1267" s="114"/>
      <c r="Q1267" s="269"/>
      <c r="R1267" s="272">
        <f t="shared" si="59"/>
        <v>0</v>
      </c>
    </row>
  </sheetData>
  <mergeCells count="39">
    <mergeCell ref="B8:C8"/>
    <mergeCell ref="I8:J8"/>
    <mergeCell ref="P8:Q8"/>
    <mergeCell ref="W21:X21"/>
    <mergeCell ref="W16:X16"/>
    <mergeCell ref="B16:D16"/>
    <mergeCell ref="J13:K13"/>
    <mergeCell ref="M16:N16"/>
    <mergeCell ref="Q14:R14"/>
    <mergeCell ref="P16:R16"/>
    <mergeCell ref="T16:U16"/>
    <mergeCell ref="Q13:R13"/>
    <mergeCell ref="C14:D14"/>
    <mergeCell ref="W1:X1"/>
    <mergeCell ref="J14:K14"/>
    <mergeCell ref="P1:U1"/>
    <mergeCell ref="P3:R3"/>
    <mergeCell ref="P5:Q5"/>
    <mergeCell ref="I1:N1"/>
    <mergeCell ref="I6:J6"/>
    <mergeCell ref="P6:Q6"/>
    <mergeCell ref="I7:J7"/>
    <mergeCell ref="P7:Q7"/>
    <mergeCell ref="F102:G102"/>
    <mergeCell ref="I16:K16"/>
    <mergeCell ref="M102:N102"/>
    <mergeCell ref="T70:U70"/>
    <mergeCell ref="B1:G1"/>
    <mergeCell ref="F16:G16"/>
    <mergeCell ref="C13:D13"/>
    <mergeCell ref="P4:Q4"/>
    <mergeCell ref="B4:C4"/>
    <mergeCell ref="B5:C5"/>
    <mergeCell ref="B6:C6"/>
    <mergeCell ref="B3:D3"/>
    <mergeCell ref="I3:K3"/>
    <mergeCell ref="I4:J4"/>
    <mergeCell ref="I5:J5"/>
    <mergeCell ref="B7:C7"/>
  </mergeCells>
  <conditionalFormatting sqref="P14 W14 I14 B14">
    <cfRule type="cellIs" dxfId="42" priority="3" operator="equal">
      <formula>"not ok"</formula>
    </cfRule>
    <cfRule type="cellIs" dxfId="41" priority="4" operator="equal">
      <formula>"ok"</formula>
    </cfRule>
  </conditionalFormatting>
  <conditionalFormatting sqref="B18:B1267 I18:I1267 P18:P1267">
    <cfRule type="containsText" dxfId="40" priority="2" operator="containsText" text=".">
      <formula>NOT(ISERROR(SEARCH(".",B18)))</formula>
    </cfRule>
  </conditionalFormatting>
  <conditionalFormatting sqref="B18:C1267 I18:J1267 P18:Q1267">
    <cfRule type="containsText" dxfId="39" priority="1" operator="containsText" text=".">
      <formula>NOT(ISERROR(SEARCH(".",B18)))</formula>
    </cfRule>
  </conditionalFormatting>
  <dataValidations count="7">
    <dataValidation allowBlank="1" showErrorMessage="1" prompt="O conteúdo desta célula não deve ser alterado." sqref="G18:G58 N18:N58 U18:U58 W18:X20" xr:uid="{00000000-0002-0000-0400-000000000000}"/>
    <dataValidation type="list" showInputMessage="1" showErrorMessage="1" sqref="K5 D5 R5" xr:uid="{88474867-5521-428A-BF97-7632D8183D59}">
      <formula1>"Sim, Não"</formula1>
    </dataValidation>
    <dataValidation type="whole" allowBlank="1" showInputMessage="1" showErrorMessage="1" errorTitle="Valor Inválido" error="O número de pontos deve estar entre 3 e 40." sqref="D4 K4 R4" xr:uid="{0165071E-5DAD-42C8-928A-5E2755DE019E}">
      <formula1>3</formula1>
      <formula2>40</formula2>
    </dataValidation>
    <dataValidation type="whole" operator="greaterThan" allowBlank="1" showInputMessage="1" showErrorMessage="1" sqref="K6 D6 R6" xr:uid="{C76C17E5-F74E-4D6E-B148-0424B6C8EE87}">
      <formula1>1</formula1>
    </dataValidation>
    <dataValidation type="list" allowBlank="1" showErrorMessage="1" prompt="O conteúdo desta célula não deve ser alterado." sqref="W14 P14 I14 B14" xr:uid="{5C2374D3-5426-4E48-BAFB-A87145F6862D}">
      <formula1>"ok, not ok"</formula1>
    </dataValidation>
    <dataValidation showInputMessage="1" showErrorMessage="1" sqref="K6 D6 R6" xr:uid="{F17943BE-B66E-44C0-A474-DA0B592E2D4E}"/>
    <dataValidation type="list" allowBlank="1" showInputMessage="1" showErrorMessage="1" sqref="D7 K7 R7" xr:uid="{48A213BF-FFF3-4664-A156-1EBEC9D21372}">
      <formula1>"Alagado, Seco"</formula1>
    </dataValidation>
  </dataValidations>
  <pageMargins left="0.7" right="0.7" top="0.75" bottom="0.75" header="0.3" footer="0.3"/>
  <pageSetup orientation="portrait" r:id="rId1"/>
  <ignoredErrors>
    <ignoredError sqref="W19:W20 X20" evalError="1"/>
  </ignoredErrors>
  <drawing r:id="rId2"/>
  <legacyDrawing r:id="rId3"/>
  <tableParts count="7">
    <tablePart r:id="rId4"/>
    <tablePart r:id="rId5"/>
    <tablePart r:id="rId6"/>
    <tablePart r:id="rId7"/>
    <tablePart r:id="rId8"/>
    <tablePart r:id="rId9"/>
    <tablePart r:id="rId10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7AF808-D24F-4FD8-85BD-EAE5727D63CD}">
  <sheetPr codeName="Sheet22"/>
  <dimension ref="A1:O338"/>
  <sheetViews>
    <sheetView tabSelected="1" zoomScale="90" zoomScaleNormal="90" workbookViewId="0">
      <selection activeCell="A2" sqref="A2"/>
    </sheetView>
  </sheetViews>
  <sheetFormatPr defaultColWidth="0" defaultRowHeight="15" customHeight="1" x14ac:dyDescent="0.25"/>
  <cols>
    <col min="1" max="1" width="17.54296875" style="20" customWidth="1"/>
    <col min="2" max="2" width="10.26953125" style="20" bestFit="1" customWidth="1"/>
    <col min="3" max="3" width="24.7265625" style="21" bestFit="1" customWidth="1"/>
    <col min="4" max="4" width="39.453125" style="21" bestFit="1" customWidth="1"/>
    <col min="5" max="5" width="40.7265625" style="137" customWidth="1"/>
    <col min="6" max="6" width="2.7265625" style="98" customWidth="1"/>
    <col min="7" max="7" width="46.7265625" style="140" customWidth="1"/>
    <col min="8" max="8" width="45.81640625" style="140" bestFit="1" customWidth="1"/>
    <col min="9" max="9" width="2.7265625" style="19" customWidth="1"/>
    <col min="10" max="13" width="9.26953125" style="19" hidden="1" customWidth="1"/>
    <col min="14" max="15" width="0" style="19" hidden="1" customWidth="1"/>
    <col min="16" max="16384" width="9.26953125" style="19" hidden="1"/>
  </cols>
  <sheetData>
    <row r="1" spans="1:8" ht="15" customHeight="1" thickBot="1" x14ac:dyDescent="0.3">
      <c r="D1" s="231"/>
      <c r="E1" s="22"/>
    </row>
    <row r="2" spans="1:8" ht="15" customHeight="1" thickBot="1" x14ac:dyDescent="0.3">
      <c r="A2" s="403" t="s">
        <v>451</v>
      </c>
      <c r="B2" s="122" t="s">
        <v>452</v>
      </c>
      <c r="C2" s="404"/>
      <c r="D2" s="22"/>
      <c r="E2" s="21"/>
    </row>
    <row r="3" spans="1:8" ht="15" customHeight="1" x14ac:dyDescent="0.25">
      <c r="A3" s="123" t="s">
        <v>453</v>
      </c>
      <c r="B3" s="124"/>
      <c r="C3" s="124"/>
      <c r="D3" s="124"/>
      <c r="E3" s="409"/>
      <c r="F3" s="20"/>
      <c r="G3" s="98"/>
      <c r="H3" s="98"/>
    </row>
    <row r="4" spans="1:8" ht="15" customHeight="1" x14ac:dyDescent="0.25">
      <c r="A4" s="125" t="s">
        <v>454</v>
      </c>
      <c r="B4" s="564"/>
      <c r="C4" s="566"/>
      <c r="D4" s="566"/>
      <c r="E4" s="410"/>
      <c r="F4" s="20"/>
    </row>
    <row r="5" spans="1:8" ht="15" customHeight="1" thickBot="1" x14ac:dyDescent="0.3">
      <c r="A5" s="411"/>
      <c r="B5" s="126"/>
      <c r="C5" s="126"/>
      <c r="D5" s="126"/>
      <c r="E5" s="412"/>
      <c r="F5" s="20"/>
    </row>
    <row r="6" spans="1:8" ht="15" customHeight="1" thickBot="1" x14ac:dyDescent="0.3">
      <c r="A6" s="405"/>
      <c r="B6" s="406"/>
      <c r="C6" s="407"/>
      <c r="D6" s="408" t="s">
        <v>455</v>
      </c>
      <c r="E6" s="565">
        <v>1</v>
      </c>
      <c r="F6" s="20"/>
      <c r="G6" s="140" t="s">
        <v>456</v>
      </c>
    </row>
    <row r="7" spans="1:8" ht="15" customHeight="1" thickBot="1" x14ac:dyDescent="0.3">
      <c r="A7" s="127"/>
      <c r="B7" s="128"/>
      <c r="C7" s="129"/>
      <c r="D7" s="130" t="s">
        <v>457</v>
      </c>
      <c r="E7" s="14" t="str">
        <f>IF(_dvc_type=2, "_package_data\Model_CVD2a_rev11.dat", "_package_data\Model_CVD1a_rev11.dat")</f>
        <v>_package_data\Model_CVD1a_rev11.dat</v>
      </c>
      <c r="F7" s="20"/>
      <c r="G7" s="435" t="str" cm="1">
        <f t="array" ref="G7">IF(UPPER($G$42)="NOMINAL", "A curva de rigidez não é necessária para Umbilicais ou tramos não conectados ao MCV!", IF(ISBLANK((INDEX(D:D,SUM(105, H33),1))), "A curva de Lançamento NÃO foi inserida!", "A curva de Lançamento foi inserida!"))</f>
        <v>A curva de Lançamento foi inserida!</v>
      </c>
    </row>
    <row r="8" spans="1:8" ht="15" customHeight="1" x14ac:dyDescent="0.25">
      <c r="A8" s="75"/>
      <c r="B8" s="76" t="s">
        <v>458</v>
      </c>
      <c r="C8" s="128" t="s">
        <v>459</v>
      </c>
      <c r="D8" s="130" t="s">
        <v>460</v>
      </c>
      <c r="E8" s="413">
        <f>Values!C14</f>
        <v>0.16557482061521617</v>
      </c>
      <c r="F8" s="20"/>
      <c r="G8" s="98"/>
    </row>
    <row r="9" spans="1:8" ht="15" customHeight="1" thickBot="1" x14ac:dyDescent="0.3">
      <c r="A9" s="75"/>
      <c r="B9" s="76" t="s">
        <v>458</v>
      </c>
      <c r="C9" s="128" t="s">
        <v>459</v>
      </c>
      <c r="D9" s="130" t="s">
        <v>461</v>
      </c>
      <c r="E9" s="413">
        <f>Values!C15</f>
        <v>0.10748171831406228</v>
      </c>
      <c r="F9" s="20"/>
      <c r="G9" s="140" t="s">
        <v>462</v>
      </c>
    </row>
    <row r="10" spans="1:8" ht="15" customHeight="1" thickBot="1" x14ac:dyDescent="0.3">
      <c r="A10" s="75"/>
      <c r="B10" s="76" t="s">
        <v>458</v>
      </c>
      <c r="C10" s="128" t="s">
        <v>459</v>
      </c>
      <c r="D10" s="77" t="s">
        <v>463</v>
      </c>
      <c r="E10" s="413">
        <f>Values!C10/1000</f>
        <v>4.5969999999999997E-2</v>
      </c>
      <c r="F10" s="20"/>
      <c r="G10" s="435" t="str" cm="1">
        <f t="array" ref="G10">IF(UPPER($G$42)="NOMINAL", "A curva de rigidez não é necessária para Umbilicais ou tramos não conectados ao MCV!", IF(ISBLANK((INDEX(D:D,SUM(105, H33, H35),1))), "A curva de Teste NÃO foi inserida!", "A curva de Teste foi inserida!"))</f>
        <v>A curva de Teste foi inserida!</v>
      </c>
    </row>
    <row r="11" spans="1:8" ht="15" customHeight="1" x14ac:dyDescent="0.25">
      <c r="A11" s="75"/>
      <c r="B11" s="76" t="s">
        <v>458</v>
      </c>
      <c r="C11" s="128" t="s">
        <v>459</v>
      </c>
      <c r="D11" s="78" t="s">
        <v>464</v>
      </c>
      <c r="E11" s="413">
        <f>Values!C23</f>
        <v>331736.2</v>
      </c>
      <c r="F11" s="20"/>
      <c r="G11" s="98"/>
    </row>
    <row r="12" spans="1:8" ht="15" customHeight="1" thickBot="1" x14ac:dyDescent="0.3">
      <c r="A12" s="75"/>
      <c r="B12" s="76" t="s">
        <v>458</v>
      </c>
      <c r="C12" s="128" t="s">
        <v>459</v>
      </c>
      <c r="D12" s="78" t="s">
        <v>465</v>
      </c>
      <c r="E12" s="414">
        <f>Values!C19</f>
        <v>2.4300000000000002</v>
      </c>
      <c r="F12" s="20"/>
      <c r="G12" s="140" t="s">
        <v>466</v>
      </c>
    </row>
    <row r="13" spans="1:8" ht="15" customHeight="1" thickBot="1" x14ac:dyDescent="0.3">
      <c r="A13" s="75"/>
      <c r="B13" s="76" t="s">
        <v>458</v>
      </c>
      <c r="C13" s="128" t="s">
        <v>459</v>
      </c>
      <c r="D13" s="78" t="s">
        <v>467</v>
      </c>
      <c r="E13" s="413">
        <f>Values!C16/1000</f>
        <v>0.16563999999999998</v>
      </c>
      <c r="F13" s="20"/>
      <c r="G13" s="435" t="str" cm="1">
        <f t="array" ref="G13">IF(UPPER($G$42)="NOMINAL", "A curva de rigidez não é necessária para Umbilicais ou tramos não conectados ao MCV!", IF(ISBLANK((INDEX(D:D,SUM(105, H33, H35, H37),1))), "A curva de Operação NÃO foi inserida!", "A curva de Operação foi inserida!"))</f>
        <v>A curva de Operação foi inserida!</v>
      </c>
    </row>
    <row r="14" spans="1:8" ht="15" customHeight="1" x14ac:dyDescent="0.25">
      <c r="A14" s="75"/>
      <c r="B14" s="76" t="s">
        <v>458</v>
      </c>
      <c r="C14" s="128" t="s">
        <v>459</v>
      </c>
      <c r="D14" s="78" t="s">
        <v>468</v>
      </c>
      <c r="E14" s="413">
        <f>Values!C16/1000</f>
        <v>0.16563999999999998</v>
      </c>
      <c r="F14" s="20"/>
      <c r="G14" s="98"/>
    </row>
    <row r="15" spans="1:8" ht="15" customHeight="1" thickBot="1" x14ac:dyDescent="0.3">
      <c r="A15" s="75"/>
      <c r="B15" s="76" t="s">
        <v>458</v>
      </c>
      <c r="C15" s="128" t="s">
        <v>459</v>
      </c>
      <c r="D15" s="78" t="s">
        <v>469</v>
      </c>
      <c r="E15" s="413">
        <f>Values!C16/1000</f>
        <v>0.16563999999999998</v>
      </c>
      <c r="F15" s="20"/>
      <c r="G15" s="120" t="s">
        <v>470</v>
      </c>
    </row>
    <row r="16" spans="1:8" ht="15" customHeight="1" thickTop="1" x14ac:dyDescent="0.25">
      <c r="A16" s="75"/>
      <c r="B16" s="76" t="s">
        <v>458</v>
      </c>
      <c r="C16" s="128" t="s">
        <v>459</v>
      </c>
      <c r="D16" s="78" t="s">
        <v>471</v>
      </c>
      <c r="E16" s="413">
        <f>Values!C21</f>
        <v>396.48679423052965</v>
      </c>
      <c r="F16" s="20"/>
      <c r="G16" s="119" t="str">
        <f xml:space="preserve"> TEXT(9 - IF(Values!$A$73 = "", 1, 0) - IF(Values!$A$60 = "", 1, 0),0)</f>
        <v>9</v>
      </c>
    </row>
    <row r="17" spans="1:13" s="98" customFormat="1" ht="15" customHeight="1" x14ac:dyDescent="0.25">
      <c r="A17" s="75"/>
      <c r="B17" s="76" t="s">
        <v>458</v>
      </c>
      <c r="C17" s="128" t="s">
        <v>472</v>
      </c>
      <c r="D17" s="130" t="s">
        <v>460</v>
      </c>
      <c r="E17" s="413">
        <f>Values!C30</f>
        <v>0.39919274564478563</v>
      </c>
      <c r="F17" s="20"/>
      <c r="H17" s="140"/>
      <c r="I17" s="19"/>
      <c r="J17" s="19"/>
      <c r="K17" s="19"/>
      <c r="L17" s="19"/>
      <c r="M17" s="19"/>
    </row>
    <row r="18" spans="1:13" s="98" customFormat="1" ht="15" customHeight="1" thickBot="1" x14ac:dyDescent="0.3">
      <c r="A18" s="75"/>
      <c r="B18" s="76" t="s">
        <v>458</v>
      </c>
      <c r="C18" s="128" t="s">
        <v>472</v>
      </c>
      <c r="D18" s="130" t="s">
        <v>461</v>
      </c>
      <c r="E18" s="415">
        <f>Values!C32/1000</f>
        <v>0.192</v>
      </c>
      <c r="F18" s="20"/>
      <c r="G18" s="678" t="s">
        <v>473</v>
      </c>
      <c r="H18" s="679"/>
    </row>
    <row r="19" spans="1:13" s="98" customFormat="1" ht="15" customHeight="1" thickTop="1" x14ac:dyDescent="0.25">
      <c r="A19" s="75"/>
      <c r="B19" s="76" t="s">
        <v>458</v>
      </c>
      <c r="C19" s="128" t="s">
        <v>472</v>
      </c>
      <c r="D19" s="77" t="s">
        <v>463</v>
      </c>
      <c r="E19" s="413">
        <f>Values!C28</f>
        <v>0.11578558137315713</v>
      </c>
      <c r="F19" s="20"/>
      <c r="G19" s="552" t="s">
        <v>474</v>
      </c>
      <c r="H19" s="553" t="str">
        <f>IF(TRIM('MCV e Guindaste'!B6)="","MCV",SUBSTITUTE(TRIM('MCV e Guindaste'!B6)," ","_"))</f>
        <v>2184362-14_/_SK-130685-17</v>
      </c>
    </row>
    <row r="20" spans="1:13" s="98" customFormat="1" ht="15" customHeight="1" x14ac:dyDescent="0.25">
      <c r="A20" s="75"/>
      <c r="B20" s="76" t="s">
        <v>458</v>
      </c>
      <c r="C20" s="128" t="s">
        <v>472</v>
      </c>
      <c r="D20" s="78" t="s">
        <v>464</v>
      </c>
      <c r="E20" s="416">
        <f>Values!C39</f>
        <v>10</v>
      </c>
      <c r="F20" s="20"/>
      <c r="G20" s="554" t="s">
        <v>475</v>
      </c>
      <c r="H20" s="554" t="str">
        <f>IF(TRIM(Values!A60)="","", CONCATENATE("FA_", SUBSTITUTE(TRIM(Values!A60)," ","_")))</f>
        <v>FA_DE-F-05-J-0158</v>
      </c>
    </row>
    <row r="21" spans="1:13" s="98" customFormat="1" ht="15" customHeight="1" x14ac:dyDescent="0.25">
      <c r="A21" s="75"/>
      <c r="B21" s="76" t="s">
        <v>458</v>
      </c>
      <c r="C21" s="128" t="s">
        <v>472</v>
      </c>
      <c r="D21" s="78" t="s">
        <v>465</v>
      </c>
      <c r="E21" s="414">
        <f>Values!C34</f>
        <v>2.69</v>
      </c>
      <c r="F21" s="20"/>
      <c r="G21" s="554" t="s">
        <v>476</v>
      </c>
      <c r="H21" s="554" t="str">
        <f>IF(TRIM(Values!A47)="","", CONCATENATE("EF_", SUBSTITUTE(TRIM(Values!A47)," ","_")))</f>
        <v>EF_15762-DWG-EF-102</v>
      </c>
    </row>
    <row r="22" spans="1:13" s="98" customFormat="1" ht="15" customHeight="1" x14ac:dyDescent="0.25">
      <c r="A22" s="75"/>
      <c r="B22" s="76" t="s">
        <v>458</v>
      </c>
      <c r="C22" s="128" t="s">
        <v>472</v>
      </c>
      <c r="D22" s="78" t="s">
        <v>467</v>
      </c>
      <c r="E22" s="414">
        <f>Values!C33/1000</f>
        <v>0.49</v>
      </c>
      <c r="F22" s="20"/>
      <c r="G22" s="554" t="s">
        <v>477</v>
      </c>
      <c r="H22" s="554" t="str">
        <f>IF(UPPER(Values!A30)="PU", CONCATENATE("ZR_", Values!A26), "")</f>
        <v>ZR_15762-DWG-BR-102</v>
      </c>
    </row>
    <row r="23" spans="1:13" s="98" customFormat="1" ht="15" customHeight="1" x14ac:dyDescent="0.25">
      <c r="A23" s="75"/>
      <c r="B23" s="76" t="s">
        <v>458</v>
      </c>
      <c r="C23" s="128" t="s">
        <v>472</v>
      </c>
      <c r="D23" s="78" t="s">
        <v>468</v>
      </c>
      <c r="E23" s="414">
        <f>Values!C33/1000</f>
        <v>0.49</v>
      </c>
      <c r="F23" s="20"/>
      <c r="G23" s="554" t="s">
        <v>478</v>
      </c>
      <c r="H23" s="554" t="str">
        <f>IF(OR(TRIM(Values!A26)="", UPPER(Values!A34)="NÃO"),"", CONCATENATE("BR_", SUBSTITUTE(TRIM(Values!A26)," ","_")))</f>
        <v>BR_15762-DWG-BR-102</v>
      </c>
    </row>
    <row r="24" spans="1:13" s="98" customFormat="1" ht="15" customHeight="1" x14ac:dyDescent="0.25">
      <c r="A24" s="75"/>
      <c r="B24" s="76" t="s">
        <v>458</v>
      </c>
      <c r="C24" s="128" t="s">
        <v>472</v>
      </c>
      <c r="D24" s="78" t="s">
        <v>469</v>
      </c>
      <c r="E24" s="414">
        <f>Values!C33/1000</f>
        <v>0.49</v>
      </c>
      <c r="F24" s="20"/>
      <c r="G24" s="554" t="s">
        <v>479</v>
      </c>
      <c r="H24" s="554" t="str">
        <f>IF(TRIM(Values!A12)="","Linha",SUBSTITUTE(TRIM(Values!A12)," ","_"))</f>
        <v>NOV-101-9101</v>
      </c>
    </row>
    <row r="25" spans="1:13" s="98" customFormat="1" ht="15" customHeight="1" x14ac:dyDescent="0.25">
      <c r="A25" s="75"/>
      <c r="B25" s="76" t="s">
        <v>458</v>
      </c>
      <c r="C25" s="128" t="s">
        <v>472</v>
      </c>
      <c r="D25" s="78" t="s">
        <v>471</v>
      </c>
      <c r="E25" s="414">
        <f>Values!C40</f>
        <v>10</v>
      </c>
      <c r="F25" s="20"/>
      <c r="G25" s="554" t="s">
        <v>480</v>
      </c>
      <c r="H25" s="555" t="s">
        <v>481</v>
      </c>
    </row>
    <row r="26" spans="1:13" s="98" customFormat="1" ht="15" customHeight="1" x14ac:dyDescent="0.25">
      <c r="A26" s="75"/>
      <c r="B26" s="76" t="s">
        <v>458</v>
      </c>
      <c r="C26" s="128" t="s">
        <v>482</v>
      </c>
      <c r="D26" s="130" t="s">
        <v>460</v>
      </c>
      <c r="E26" s="413">
        <f>Values!C50</f>
        <v>0.37767228084807847</v>
      </c>
      <c r="F26" s="20"/>
      <c r="G26" s="554" t="s">
        <v>483</v>
      </c>
      <c r="H26" s="554" t="s">
        <v>484</v>
      </c>
    </row>
    <row r="27" spans="1:13" s="98" customFormat="1" ht="15" customHeight="1" x14ac:dyDescent="0.25">
      <c r="A27" s="75"/>
      <c r="B27" s="76" t="s">
        <v>458</v>
      </c>
      <c r="C27" s="128" t="s">
        <v>482</v>
      </c>
      <c r="D27" s="130" t="s">
        <v>461</v>
      </c>
      <c r="E27" s="413">
        <f>Values!C52/1000</f>
        <v>0.13300000000000001</v>
      </c>
      <c r="F27" s="20"/>
      <c r="G27" s="554" t="s">
        <v>485</v>
      </c>
      <c r="H27" s="554" t="s">
        <v>486</v>
      </c>
    </row>
    <row r="28" spans="1:13" s="98" customFormat="1" ht="15" customHeight="1" x14ac:dyDescent="0.25">
      <c r="A28" s="75"/>
      <c r="B28" s="76" t="s">
        <v>458</v>
      </c>
      <c r="C28" s="128" t="s">
        <v>482</v>
      </c>
      <c r="D28" s="77" t="s">
        <v>463</v>
      </c>
      <c r="E28" s="413">
        <f>Values!C48</f>
        <v>0.77116512992455988</v>
      </c>
      <c r="F28" s="20"/>
      <c r="G28" s="554" t="s">
        <v>487</v>
      </c>
      <c r="H28" s="554" t="s">
        <v>488</v>
      </c>
    </row>
    <row r="29" spans="1:13" s="98" customFormat="1" ht="15" customHeight="1" x14ac:dyDescent="0.25">
      <c r="A29" s="75"/>
      <c r="B29" s="76" t="s">
        <v>458</v>
      </c>
      <c r="C29" s="128" t="s">
        <v>482</v>
      </c>
      <c r="D29" s="78" t="s">
        <v>489</v>
      </c>
      <c r="E29" s="416">
        <f>Values!C55</f>
        <v>413488.73310918862</v>
      </c>
      <c r="F29" s="20"/>
      <c r="G29" s="554" t="s">
        <v>490</v>
      </c>
      <c r="H29" s="554" t="s">
        <v>491</v>
      </c>
    </row>
    <row r="30" spans="1:13" s="98" customFormat="1" ht="15" customHeight="1" x14ac:dyDescent="0.25">
      <c r="A30" s="75"/>
      <c r="B30" s="76" t="s">
        <v>458</v>
      </c>
      <c r="C30" s="128" t="s">
        <v>482</v>
      </c>
      <c r="D30" s="78" t="s">
        <v>464</v>
      </c>
      <c r="E30" s="413">
        <f>Values!C56</f>
        <v>30046095.534958683</v>
      </c>
      <c r="F30" s="20"/>
      <c r="G30" s="554" t="s">
        <v>492</v>
      </c>
      <c r="H30" s="554" t="s">
        <v>493</v>
      </c>
    </row>
    <row r="31" spans="1:13" s="98" customFormat="1" ht="15" customHeight="1" x14ac:dyDescent="0.25">
      <c r="A31" s="75"/>
      <c r="B31" s="76" t="s">
        <v>458</v>
      </c>
      <c r="C31" s="128" t="s">
        <v>482</v>
      </c>
      <c r="D31" s="78" t="s">
        <v>467</v>
      </c>
      <c r="E31" s="414">
        <f>Values!C53/1000</f>
        <v>0.45</v>
      </c>
      <c r="F31" s="20"/>
      <c r="G31" s="140"/>
    </row>
    <row r="32" spans="1:13" s="98" customFormat="1" ht="15" customHeight="1" thickBot="1" x14ac:dyDescent="0.3">
      <c r="A32" s="75"/>
      <c r="B32" s="76" t="s">
        <v>458</v>
      </c>
      <c r="C32" s="128" t="s">
        <v>482</v>
      </c>
      <c r="D32" s="78" t="s">
        <v>468</v>
      </c>
      <c r="E32" s="414">
        <f>Values!C53/1000</f>
        <v>0.45</v>
      </c>
      <c r="F32" s="20"/>
      <c r="G32" s="120" t="s">
        <v>494</v>
      </c>
      <c r="H32" s="120" t="s">
        <v>2</v>
      </c>
    </row>
    <row r="33" spans="1:8" s="98" customFormat="1" ht="15" customHeight="1" thickTop="1" x14ac:dyDescent="0.25">
      <c r="A33" s="75"/>
      <c r="B33" s="76" t="s">
        <v>458</v>
      </c>
      <c r="C33" s="128" t="s">
        <v>482</v>
      </c>
      <c r="D33" s="78" t="s">
        <v>469</v>
      </c>
      <c r="E33" s="414">
        <f>Values!C53/1000</f>
        <v>0.45</v>
      </c>
      <c r="F33" s="20"/>
      <c r="G33" s="139" t="s">
        <v>495</v>
      </c>
      <c r="H33" s="121">
        <f>COUNTA(tbl_new_bs_curve_lan[IndependentValue])</f>
        <v>40</v>
      </c>
    </row>
    <row r="34" spans="1:8" s="98" customFormat="1" ht="15" customHeight="1" x14ac:dyDescent="0.25">
      <c r="A34" s="75"/>
      <c r="B34" s="76" t="s">
        <v>458</v>
      </c>
      <c r="C34" s="128" t="s">
        <v>482</v>
      </c>
      <c r="D34" s="78" t="s">
        <v>471</v>
      </c>
      <c r="E34" s="413">
        <f>Values!C57</f>
        <v>318068.25623783743</v>
      </c>
      <c r="F34" s="20"/>
      <c r="G34" s="138" t="s">
        <v>496</v>
      </c>
      <c r="H34" s="118">
        <f>MATCH("NumberOfRows =", D:D, 0) + 1</f>
        <v>94</v>
      </c>
    </row>
    <row r="35" spans="1:8" s="98" customFormat="1" ht="15" customHeight="1" x14ac:dyDescent="0.25">
      <c r="A35" s="75"/>
      <c r="B35" s="76" t="str">
        <f>IF(Values!$A$73="","","Select Line")</f>
        <v>Select Line</v>
      </c>
      <c r="C35" s="128" t="str">
        <f>IF(Values!$A$73="","Select Line","Select ZR_Vértebra")</f>
        <v>Select ZR_Vértebra</v>
      </c>
      <c r="D35" s="130" t="str">
        <f>IF(Values!$A$73="","NumberOfSections =","OD =")</f>
        <v>OD =</v>
      </c>
      <c r="E35" s="414">
        <f>IF(Values!$A$73="",G$16,Values!C76)</f>
        <v>0.32668141737343037</v>
      </c>
      <c r="F35" s="20"/>
      <c r="G35" s="138" t="s">
        <v>497</v>
      </c>
      <c r="H35" s="118">
        <f>COUNTA(tbl_new_bs_curve_hid[IndependentValue])</f>
        <v>40</v>
      </c>
    </row>
    <row r="36" spans="1:8" s="98" customFormat="1" ht="15" customHeight="1" x14ac:dyDescent="0.25">
      <c r="A36" s="75"/>
      <c r="B36" s="76" t="str">
        <f>IF(Values!$A$73="","","Select Line")</f>
        <v>Select Line</v>
      </c>
      <c r="C36" s="128" t="str">
        <f>IF(Values!$A$73="","Select Line","Select ZR_Vértebra")</f>
        <v>Select ZR_Vértebra</v>
      </c>
      <c r="D36" s="130" t="str">
        <f>IF(Values!$A$73="","NumberOfSections =","ID =")</f>
        <v>ID =</v>
      </c>
      <c r="E36" s="414">
        <f>IF(Values!$A$73="",G$16,Values!C78/1000)</f>
        <v>0.27200000000000002</v>
      </c>
      <c r="F36" s="20"/>
      <c r="G36" s="138" t="s">
        <v>498</v>
      </c>
      <c r="H36" s="118">
        <f>script_table_lan_first_row + 2*H33 - 1</f>
        <v>173</v>
      </c>
    </row>
    <row r="37" spans="1:8" s="98" customFormat="1" ht="15" customHeight="1" x14ac:dyDescent="0.25">
      <c r="A37" s="75"/>
      <c r="B37" s="76" t="str">
        <f>IF(Values!$A$73="","","Select Line")</f>
        <v>Select Line</v>
      </c>
      <c r="C37" s="128" t="str">
        <f>IF(Values!$A$73="","Select Line","Select ZR_Vértebra")</f>
        <v>Select ZR_Vértebra</v>
      </c>
      <c r="D37" s="77" t="str">
        <f>IF(Values!$A$73="","NumberOfSections =","MassPerUnitLength =")</f>
        <v>MassPerUnitLength =</v>
      </c>
      <c r="E37" s="414">
        <f>IF(Values!$A$73="",G$16,Values!C74)</f>
        <v>0.20135416666666667</v>
      </c>
      <c r="F37" s="20"/>
      <c r="G37" s="138" t="s">
        <v>499</v>
      </c>
      <c r="H37" s="118">
        <f>COUNTA(tbl_new_bs_curve_ope[IndependentValue])</f>
        <v>40</v>
      </c>
    </row>
    <row r="38" spans="1:8" s="98" customFormat="1" ht="15" customHeight="1" x14ac:dyDescent="0.25">
      <c r="A38" s="75"/>
      <c r="B38" s="76" t="str">
        <f>IF(Values!$A$73="","","Select Line")</f>
        <v>Select Line</v>
      </c>
      <c r="C38" s="128" t="str">
        <f>IF(Values!$A$73="","Select Line","Select ZR_Vértebra")</f>
        <v>Select ZR_Vértebra</v>
      </c>
      <c r="D38" s="78" t="str">
        <f>IF(Values!$A$73="","NumberOfSections =","EIx =")</f>
        <v>EIx =</v>
      </c>
      <c r="E38" s="414">
        <f>IF(Values!$A$73="",G$16,Values!C81)</f>
        <v>28903.596536231304</v>
      </c>
      <c r="F38" s="20"/>
      <c r="G38" s="138" t="s">
        <v>500</v>
      </c>
      <c r="H38" s="118">
        <f>script_table_hid_first_row + 2*H35 - 1</f>
        <v>252</v>
      </c>
    </row>
    <row r="39" spans="1:8" s="98" customFormat="1" ht="15" customHeight="1" x14ac:dyDescent="0.25">
      <c r="A39" s="75"/>
      <c r="B39" s="76" t="str">
        <f>IF(Values!$A$73="","","Select Line")</f>
        <v>Select Line</v>
      </c>
      <c r="C39" s="128" t="str">
        <f>IF(Values!$A$73="","Select Line","Select ZR_Vértebra")</f>
        <v>Select ZR_Vértebra</v>
      </c>
      <c r="D39" s="78" t="str">
        <f>IF(Values!$A$73="","NumberOfSections =","EA =")</f>
        <v>EA =</v>
      </c>
      <c r="E39" s="414">
        <f>IF(Values!$A$73="",G$16,Values!C82)</f>
        <v>2799583.1693567378</v>
      </c>
      <c r="F39" s="20"/>
      <c r="G39" s="138" t="s">
        <v>501</v>
      </c>
      <c r="H39" s="118">
        <f>COUNTA(tbl_bs_bend_restrictor[IndependentValue])</f>
        <v>3</v>
      </c>
    </row>
    <row r="40" spans="1:8" s="98" customFormat="1" ht="15" customHeight="1" x14ac:dyDescent="0.25">
      <c r="A40" s="75"/>
      <c r="B40" s="76" t="str">
        <f>IF(Values!$A$73="","","Select Line")</f>
        <v>Select Line</v>
      </c>
      <c r="C40" s="128" t="str">
        <f>IF(Values!$A$73="","Select Line","Select ZR_Vértebra")</f>
        <v>Select ZR_Vértebra</v>
      </c>
      <c r="D40" s="78" t="str">
        <f>IF(Values!$A$73="","NumberOfSections =","NormalDragLiftDiameter =")</f>
        <v>NormalDragLiftDiameter =</v>
      </c>
      <c r="E40" s="414">
        <f>IF(Values!$A$73="",G$16,Values!C79/1000)</f>
        <v>0.39600000000000002</v>
      </c>
      <c r="F40" s="20"/>
    </row>
    <row r="41" spans="1:8" s="98" customFormat="1" ht="15" customHeight="1" x14ac:dyDescent="0.25">
      <c r="A41" s="75"/>
      <c r="B41" s="76" t="str">
        <f>IF(Values!$A$73="","","Select Line")</f>
        <v>Select Line</v>
      </c>
      <c r="C41" s="128" t="str">
        <f>IF(Values!$A$73="","Select Line","Select ZR_Vértebra")</f>
        <v>Select ZR_Vértebra</v>
      </c>
      <c r="D41" s="78" t="str">
        <f>IF(Values!$A$73="","NumberOfSections =","AxialDragLiftDiameter =")</f>
        <v>AxialDragLiftDiameter =</v>
      </c>
      <c r="E41" s="414">
        <f>IF(Values!$A$73="",G$16,Values!C79/1000)</f>
        <v>0.39600000000000002</v>
      </c>
      <c r="F41" s="20"/>
      <c r="G41" s="567" t="s">
        <v>502</v>
      </c>
    </row>
    <row r="42" spans="1:8" s="98" customFormat="1" ht="15" customHeight="1" x14ac:dyDescent="0.25">
      <c r="A42" s="75"/>
      <c r="B42" s="76" t="str">
        <f>IF(Values!$A$73="","","Select Line")</f>
        <v>Select Line</v>
      </c>
      <c r="C42" s="128" t="str">
        <f>IF(Values!$A$73="","Select Line","Select ZR_Vértebra")</f>
        <v>Select ZR_Vértebra</v>
      </c>
      <c r="D42" s="78" t="str">
        <f>IF(Values!$A$73="","NumberOfSections =","ContactDiameter =")</f>
        <v>ContactDiameter =</v>
      </c>
      <c r="E42" s="414">
        <f>IF(Values!$A$73="",G$16,Values!C79/1000)</f>
        <v>0.39600000000000002</v>
      </c>
      <c r="F42" s="20"/>
      <c r="G42" s="118" t="str">
        <f>IF(OR(report_line_type="UEH", report_line_type="2ª Estrutura - Rigidez nominal"), "Nominal", "Curva")</f>
        <v>Curva</v>
      </c>
    </row>
    <row r="43" spans="1:8" s="98" customFormat="1" ht="15" customHeight="1" x14ac:dyDescent="0.25">
      <c r="A43" s="75"/>
      <c r="B43" s="76" t="str">
        <f>IF(Values!$A$73="","","Select Line")</f>
        <v>Select Line</v>
      </c>
      <c r="C43" s="128" t="str">
        <f>IF(Values!$A$73="","Select Line","Select ZR_Vértebra")</f>
        <v>Select ZR_Vértebra</v>
      </c>
      <c r="D43" s="78" t="str">
        <f>IF(Values!$A$73="","NumberOfSections =","GJ =")</f>
        <v>GJ =</v>
      </c>
      <c r="E43" s="414">
        <f>IF(Values!$A$73="",G$16,Values!C83)</f>
        <v>22233.535797101002</v>
      </c>
      <c r="F43" s="20"/>
    </row>
    <row r="44" spans="1:8" s="98" customFormat="1" ht="15" customHeight="1" x14ac:dyDescent="0.25">
      <c r="A44" s="75"/>
      <c r="B44" s="76" t="str">
        <f>IF(Values!$A$60="","","Select Line")</f>
        <v>Select Line</v>
      </c>
      <c r="C44" s="128" t="str">
        <f>IF(Values!$A$60="","Select Line","Select Adaptador")</f>
        <v>Select Adaptador</v>
      </c>
      <c r="D44" s="130" t="str">
        <f>IF(Values!$A$60="","NumberOfSections =","OD =")</f>
        <v>OD =</v>
      </c>
      <c r="E44" s="414">
        <f>IF(Values!$A$60="",G$16,Values!C63)</f>
        <v>0.21487362966065052</v>
      </c>
      <c r="F44" s="20"/>
    </row>
    <row r="45" spans="1:8" s="98" customFormat="1" ht="15" customHeight="1" x14ac:dyDescent="0.25">
      <c r="A45" s="75"/>
      <c r="B45" s="76" t="str">
        <f>IF(Values!$A$60="","","Select Line")</f>
        <v>Select Line</v>
      </c>
      <c r="C45" s="128" t="str">
        <f>IF(Values!$A$60="","Select Line","Select Adaptador")</f>
        <v>Select Adaptador</v>
      </c>
      <c r="D45" s="130" t="str">
        <f>IF(Values!$A$60="","NumberOfSections =","ID =")</f>
        <v>ID =</v>
      </c>
      <c r="E45" s="414">
        <f>IF(Values!$A$60="",G$16,Values!C65/1000)</f>
        <v>0.1016</v>
      </c>
      <c r="F45" s="20"/>
    </row>
    <row r="46" spans="1:8" s="98" customFormat="1" ht="15" customHeight="1" x14ac:dyDescent="0.25">
      <c r="A46" s="75"/>
      <c r="B46" s="76" t="str">
        <f>IF(Values!$A$60="","","Select Line")</f>
        <v>Select Line</v>
      </c>
      <c r="C46" s="128" t="str">
        <f>IF(Values!$A$60="","Select Line","Select Adaptador")</f>
        <v>Select Adaptador</v>
      </c>
      <c r="D46" s="77" t="str">
        <f>IF(Values!$A$60="","NumberOfSections =","MassPerUnitLength =")</f>
        <v>MassPerUnitLength =</v>
      </c>
      <c r="E46" s="414">
        <f>IF(Values!$A$60="",G$16,Values!C61)</f>
        <v>0.22199170124481329</v>
      </c>
      <c r="F46" s="20"/>
    </row>
    <row r="47" spans="1:8" s="98" customFormat="1" ht="15" customHeight="1" x14ac:dyDescent="0.25">
      <c r="A47" s="75"/>
      <c r="B47" s="76" t="str">
        <f>IF(Values!$A$60="","","Select Line")</f>
        <v>Select Line</v>
      </c>
      <c r="C47" s="128" t="str">
        <f>IF(Values!$A$60="","Select Line","Select Adaptador")</f>
        <v>Select Adaptador</v>
      </c>
      <c r="D47" s="78" t="str">
        <f>IF(Values!$A$60="","NumberOfSections =","EIx =")</f>
        <v>EIx =</v>
      </c>
      <c r="E47" s="414">
        <f>IF(Values!$A$60="",G$16,Values!C68)</f>
        <v>1909.7225313215254</v>
      </c>
      <c r="F47" s="20"/>
    </row>
    <row r="48" spans="1:8" s="98" customFormat="1" ht="15" customHeight="1" x14ac:dyDescent="0.25">
      <c r="A48" s="75"/>
      <c r="B48" s="76" t="str">
        <f>IF(Values!$A$60="","","Select Line")</f>
        <v>Select Line</v>
      </c>
      <c r="C48" s="128" t="str">
        <f>IF(Values!$A$60="","Select Line","Select Adaptador")</f>
        <v>Select Adaptador</v>
      </c>
      <c r="D48" s="78" t="str">
        <f>IF(Values!$A$60="","NumberOfSections =","EA =")</f>
        <v>EA =</v>
      </c>
      <c r="E48" s="414">
        <f>IF(Values!$A$60="",G$16,Values!C69)</f>
        <v>1111775.930816255</v>
      </c>
      <c r="F48" s="20"/>
    </row>
    <row r="49" spans="1:6" s="98" customFormat="1" ht="15" customHeight="1" x14ac:dyDescent="0.25">
      <c r="A49" s="75"/>
      <c r="B49" s="76" t="str">
        <f>IF(Values!$A$60="","","Select Line")</f>
        <v>Select Line</v>
      </c>
      <c r="C49" s="128" t="str">
        <f>IF(Values!$A$60="","Select Line","Select Adaptador")</f>
        <v>Select Adaptador</v>
      </c>
      <c r="D49" s="78" t="str">
        <f>IF(Values!$A$60="","NumberOfSections =","NormalDragLiftDiameter =")</f>
        <v>NormalDragLiftDiameter =</v>
      </c>
      <c r="E49" s="414">
        <f>IF(Values!$A$60="",G$16,Values!C66/1000)</f>
        <v>0.39500000000000002</v>
      </c>
      <c r="F49" s="20"/>
    </row>
    <row r="50" spans="1:6" s="98" customFormat="1" ht="15" customHeight="1" x14ac:dyDescent="0.25">
      <c r="A50" s="75"/>
      <c r="B50" s="76" t="str">
        <f>IF(Values!$A$60="","","Select Line")</f>
        <v>Select Line</v>
      </c>
      <c r="C50" s="128" t="str">
        <f>IF(Values!$A$60="","Select Line","Select Adaptador")</f>
        <v>Select Adaptador</v>
      </c>
      <c r="D50" s="78" t="str">
        <f>IF(Values!$A$60="","NumberOfSections =","AxialDragLiftDiameter =")</f>
        <v>AxialDragLiftDiameter =</v>
      </c>
      <c r="E50" s="414">
        <f>IF(Values!$A$60="",G$16,Values!C66/1000)</f>
        <v>0.39500000000000002</v>
      </c>
      <c r="F50" s="20"/>
    </row>
    <row r="51" spans="1:6" s="98" customFormat="1" ht="15" customHeight="1" x14ac:dyDescent="0.25">
      <c r="A51" s="75"/>
      <c r="B51" s="76" t="str">
        <f>IF(Values!$A$60="","","Select Line")</f>
        <v>Select Line</v>
      </c>
      <c r="C51" s="128" t="str">
        <f>IF(Values!$A$60="","Select Line","Select Adaptador")</f>
        <v>Select Adaptador</v>
      </c>
      <c r="D51" s="78" t="str">
        <f>IF(Values!$A$60="","NumberOfSections =","ContactDiameter =")</f>
        <v>ContactDiameter =</v>
      </c>
      <c r="E51" s="414">
        <f>IF(Values!$A$60="",G$16,Values!C66/1000)</f>
        <v>0.39500000000000002</v>
      </c>
      <c r="F51" s="20"/>
    </row>
    <row r="52" spans="1:6" s="98" customFormat="1" ht="15" customHeight="1" x14ac:dyDescent="0.25">
      <c r="A52" s="75"/>
      <c r="B52" s="76" t="str">
        <f>IF(Values!$A$60="","","Select Line")</f>
        <v>Select Line</v>
      </c>
      <c r="C52" s="128" t="str">
        <f>IF(Values!$A$60="","Select Line","Select Adaptador")</f>
        <v>Select Adaptador</v>
      </c>
      <c r="D52" s="78" t="str">
        <f>IF(Values!$A$60="","NumberOfSections =","GJ =")</f>
        <v>GJ =</v>
      </c>
      <c r="E52" s="414">
        <f>IF(Values!$A$60="",G$16,Values!C70)</f>
        <v>1469.0173317857887</v>
      </c>
      <c r="F52" s="20"/>
    </row>
    <row r="53" spans="1:6" s="98" customFormat="1" ht="15" customHeight="1" x14ac:dyDescent="0.25">
      <c r="A53" s="75"/>
      <c r="B53" s="79"/>
      <c r="C53" s="79" t="s">
        <v>503</v>
      </c>
      <c r="D53" s="78" t="s">
        <v>504</v>
      </c>
      <c r="E53" s="417">
        <f>'MCV e Guindaste'!C18/1000</f>
        <v>3.59</v>
      </c>
      <c r="F53" s="20"/>
    </row>
    <row r="54" spans="1:6" s="98" customFormat="1" ht="15" customHeight="1" x14ac:dyDescent="0.25">
      <c r="A54" s="75"/>
      <c r="B54" s="79"/>
      <c r="C54" s="79" t="s">
        <v>503</v>
      </c>
      <c r="D54" s="78" t="s">
        <v>505</v>
      </c>
      <c r="E54" s="417">
        <f>('MCV e Guindaste'!B13/1000)+('MCV e Guindaste'!B9/1000)</f>
        <v>1.984</v>
      </c>
      <c r="F54" s="20"/>
    </row>
    <row r="55" spans="1:6" s="98" customFormat="1" ht="15" customHeight="1" x14ac:dyDescent="0.25">
      <c r="A55" s="75"/>
      <c r="B55" s="79"/>
      <c r="C55" s="79" t="s">
        <v>503</v>
      </c>
      <c r="D55" s="78" t="s">
        <v>506</v>
      </c>
      <c r="E55" s="417">
        <f>('MCV e Guindaste'!C28*(-1))</f>
        <v>-731.524</v>
      </c>
      <c r="F55" s="20"/>
    </row>
    <row r="56" spans="1:6" s="98" customFormat="1" ht="15" customHeight="1" x14ac:dyDescent="0.25">
      <c r="A56" s="75"/>
      <c r="B56" s="79"/>
      <c r="C56" s="79" t="s">
        <v>503</v>
      </c>
      <c r="D56" s="78" t="s">
        <v>507</v>
      </c>
      <c r="E56" s="131">
        <f>'MCV e Guindaste'!C23</f>
        <v>0.25800000000000001</v>
      </c>
      <c r="F56" s="20"/>
    </row>
    <row r="57" spans="1:6" s="98" customFormat="1" ht="15" customHeight="1" x14ac:dyDescent="0.25">
      <c r="A57" s="75"/>
      <c r="B57" s="79"/>
      <c r="C57" s="79" t="s">
        <v>503</v>
      </c>
      <c r="D57" s="78" t="s">
        <v>508</v>
      </c>
      <c r="E57" s="131">
        <f>'MCV e Guindaste'!C22</f>
        <v>0</v>
      </c>
      <c r="F57" s="20"/>
    </row>
    <row r="58" spans="1:6" s="98" customFormat="1" ht="15" customHeight="1" x14ac:dyDescent="0.25">
      <c r="A58" s="75"/>
      <c r="B58" s="79"/>
      <c r="C58" s="79" t="s">
        <v>503</v>
      </c>
      <c r="D58" s="78" t="s">
        <v>509</v>
      </c>
      <c r="E58" s="131">
        <f>'MCV e Guindaste'!C21</f>
        <v>0.91100000000000014</v>
      </c>
      <c r="F58" s="20"/>
    </row>
    <row r="59" spans="1:6" s="98" customFormat="1" ht="15" customHeight="1" x14ac:dyDescent="0.25">
      <c r="A59" s="75"/>
      <c r="B59" s="79"/>
      <c r="C59" s="79" t="s">
        <v>503</v>
      </c>
      <c r="D59" s="78" t="s">
        <v>510</v>
      </c>
      <c r="E59" s="131">
        <f>'MCV e Guindaste'!C23</f>
        <v>0.25800000000000001</v>
      </c>
      <c r="F59" s="20"/>
    </row>
    <row r="60" spans="1:6" s="98" customFormat="1" ht="15" customHeight="1" x14ac:dyDescent="0.25">
      <c r="A60" s="75"/>
      <c r="B60" s="79"/>
      <c r="C60" s="79" t="s">
        <v>503</v>
      </c>
      <c r="D60" s="78" t="s">
        <v>511</v>
      </c>
      <c r="E60" s="131">
        <f>'MCV e Guindaste'!C22</f>
        <v>0</v>
      </c>
      <c r="F60" s="20"/>
    </row>
    <row r="61" spans="1:6" s="98" customFormat="1" ht="15" customHeight="1" x14ac:dyDescent="0.25">
      <c r="A61" s="75"/>
      <c r="B61" s="79"/>
      <c r="C61" s="79" t="s">
        <v>503</v>
      </c>
      <c r="D61" s="78" t="s">
        <v>512</v>
      </c>
      <c r="E61" s="131">
        <f>'MCV e Guindaste'!C21</f>
        <v>0.91100000000000014</v>
      </c>
      <c r="F61" s="20"/>
    </row>
    <row r="62" spans="1:6" s="98" customFormat="1" ht="15" customHeight="1" x14ac:dyDescent="0.25">
      <c r="A62" s="75"/>
      <c r="B62" s="79"/>
      <c r="C62" s="79" t="s">
        <v>513</v>
      </c>
      <c r="D62" s="78" t="s">
        <v>514</v>
      </c>
      <c r="E62" s="131">
        <f>Values!C24/1000</f>
        <v>4.1917999999999997</v>
      </c>
      <c r="F62" s="20"/>
    </row>
    <row r="63" spans="1:6" s="98" customFormat="1" ht="15" customHeight="1" x14ac:dyDescent="0.25">
      <c r="A63" s="75"/>
      <c r="B63" s="79"/>
      <c r="C63" s="79" t="s">
        <v>458</v>
      </c>
      <c r="D63" s="79" t="str">
        <f>IF(_dvc_type=2, "Length[6] =", "Length[1] =")</f>
        <v>Length[1] =</v>
      </c>
      <c r="E63" s="132">
        <f>IF(_dvc_type=2, Values!C24/1000,('MCV e Guindaste'!K18)-160-100-40-10-(Values!C24/1000)-(Values!C58/1000)-(Values!C45/1000))</f>
        <v>419.13319999999999</v>
      </c>
      <c r="F63" s="20"/>
    </row>
    <row r="64" spans="1:6" s="98" customFormat="1" ht="15" customHeight="1" x14ac:dyDescent="0.25">
      <c r="A64" s="75"/>
      <c r="B64" s="76"/>
      <c r="C64" s="76" t="s">
        <v>458</v>
      </c>
      <c r="D64" s="77" t="s">
        <v>515</v>
      </c>
      <c r="E64" s="418">
        <f>Values!C24/1000</f>
        <v>4.1917999999999997</v>
      </c>
      <c r="F64" s="20"/>
    </row>
    <row r="65" spans="1:6" s="98" customFormat="1" ht="15" customHeight="1" x14ac:dyDescent="0.25">
      <c r="A65" s="75"/>
      <c r="B65" s="76"/>
      <c r="C65" s="76" t="s">
        <v>458</v>
      </c>
      <c r="D65" s="78" t="str">
        <f>IF(Values!$A$73="", "LineType[7] =", "Attachmentz[1] =")</f>
        <v>Attachmentz[1] =</v>
      </c>
      <c r="E65" s="414">
        <f>IF(Values!$A$73="", "Conector", 0)</f>
        <v>0</v>
      </c>
      <c r="F65" s="20"/>
    </row>
    <row r="66" spans="1:6" s="98" customFormat="1" ht="15" customHeight="1" x14ac:dyDescent="0.25">
      <c r="A66" s="75"/>
      <c r="B66" s="76"/>
      <c r="C66" s="76" t="s">
        <v>458</v>
      </c>
      <c r="D66" s="78" t="str">
        <f>IF(AND(Values!$A$73="",NOT(Values!$A$60="")), "LineType[8] =", "Attachmentz[1] =")</f>
        <v>Attachmentz[1] =</v>
      </c>
      <c r="E66" s="414">
        <f>IF(AND(Values!$A$73="",NOT(Values!$A$60="")), "Adaptador", 0)</f>
        <v>0</v>
      </c>
      <c r="F66" s="20"/>
    </row>
    <row r="67" spans="1:6" s="98" customFormat="1" ht="15" customHeight="1" x14ac:dyDescent="0.25">
      <c r="A67" s="75"/>
      <c r="B67" s="76"/>
      <c r="C67" s="76" t="s">
        <v>458</v>
      </c>
      <c r="D67" s="78" t="str">
        <f>IF(Values!$A$73="","Attachmentz[1] =","Length[7] =")</f>
        <v>Length[7] =</v>
      </c>
      <c r="E67" s="414">
        <f>IF(Values!$A$73="",0, Values!C71/1000)</f>
        <v>0.48</v>
      </c>
      <c r="F67" s="20"/>
    </row>
    <row r="68" spans="1:6" s="98" customFormat="1" ht="15" customHeight="1" x14ac:dyDescent="0.25">
      <c r="A68" s="75"/>
      <c r="B68" s="76"/>
      <c r="C68" s="76" t="s">
        <v>458</v>
      </c>
      <c r="D68" s="78" t="str">
        <f>IF(Values!$A$73="", "Length[7] =", "Length[8] =")</f>
        <v>Length[8] =</v>
      </c>
      <c r="E68" s="414">
        <f xml:space="preserve"> Values!C45/1000</f>
        <v>1.1930000000000001</v>
      </c>
      <c r="F68" s="20"/>
    </row>
    <row r="69" spans="1:6" s="98" customFormat="1" ht="15" customHeight="1" x14ac:dyDescent="0.25">
      <c r="A69" s="75"/>
      <c r="B69" s="76"/>
      <c r="C69" s="76" t="s">
        <v>458</v>
      </c>
      <c r="D69" s="78" t="str" cm="1">
        <f t="array" ref="D69">_xlfn.IFS(AND(Values!$A$73="",NOT(Values!$A$60="")), "Length[8] =", AND(NOT(Values!$A$73=""),NOT(Values!$A$60="")),"Length[9] =",TRUE, "Attachmentz[1] =")</f>
        <v>Length[9] =</v>
      </c>
      <c r="E69" s="414" cm="1">
        <f t="array" ref="E69">_xlfn.IFS(AND(Values!$A$73="",NOT(Values!$A$60="")), Values!C58/1000, AND(NOT(Values!$A$73=""),NOT(Values!$A$60="")),Values!C58/1000,TRUE,0)</f>
        <v>0.48199999999999998</v>
      </c>
      <c r="F69" s="20"/>
    </row>
    <row r="70" spans="1:6" s="98" customFormat="1" ht="15" customHeight="1" x14ac:dyDescent="0.25">
      <c r="A70" s="75"/>
      <c r="B70" s="79"/>
      <c r="C70" s="76" t="s">
        <v>458</v>
      </c>
      <c r="D70" s="77" t="s">
        <v>516</v>
      </c>
      <c r="E70" s="414">
        <f>E67+E68+E69</f>
        <v>2.1550000000000002</v>
      </c>
      <c r="F70" s="20"/>
    </row>
    <row r="71" spans="1:6" s="98" customFormat="1" ht="15" customHeight="1" x14ac:dyDescent="0.25">
      <c r="A71" s="75"/>
      <c r="B71" s="79"/>
      <c r="C71" s="79" t="s">
        <v>458</v>
      </c>
      <c r="D71" s="78" t="s">
        <v>517</v>
      </c>
      <c r="E71" s="131">
        <f>'MCV e Guindaste'!C27</f>
        <v>1.8140000000000001</v>
      </c>
      <c r="F71" s="20"/>
    </row>
    <row r="72" spans="1:6" s="98" customFormat="1" ht="15" customHeight="1" x14ac:dyDescent="0.25">
      <c r="A72" s="75"/>
      <c r="B72" s="79"/>
      <c r="C72" s="79" t="s">
        <v>458</v>
      </c>
      <c r="D72" s="78" t="s">
        <v>518</v>
      </c>
      <c r="E72" s="131">
        <f>'MCV e Guindaste'!C26</f>
        <v>1.1220000000000001</v>
      </c>
      <c r="F72" s="20"/>
    </row>
    <row r="73" spans="1:6" s="98" customFormat="1" ht="15" customHeight="1" x14ac:dyDescent="0.25">
      <c r="A73" s="75"/>
      <c r="B73" s="79"/>
      <c r="C73" s="79" t="s">
        <v>458</v>
      </c>
      <c r="D73" s="78" t="s">
        <v>519</v>
      </c>
      <c r="E73" s="131">
        <f>'MCV e Guindaste'!C29</f>
        <v>60</v>
      </c>
      <c r="F73" s="20"/>
    </row>
    <row r="74" spans="1:6" s="98" customFormat="1" ht="15" customHeight="1" x14ac:dyDescent="0.25">
      <c r="A74" s="75"/>
      <c r="B74" s="79"/>
      <c r="C74" s="79" t="s">
        <v>520</v>
      </c>
      <c r="D74" s="78" t="s">
        <v>521</v>
      </c>
      <c r="E74" s="131">
        <f>'MCV e Guindaste'!C25</f>
        <v>0.30400000000000005</v>
      </c>
      <c r="F74" s="20"/>
    </row>
    <row r="75" spans="1:6" s="98" customFormat="1" ht="15" customHeight="1" x14ac:dyDescent="0.25">
      <c r="A75" s="75"/>
      <c r="B75" s="79"/>
      <c r="C75" s="79" t="s">
        <v>520</v>
      </c>
      <c r="D75" s="78" t="s">
        <v>522</v>
      </c>
      <c r="E75" s="131">
        <f>'MCV e Guindaste'!C24</f>
        <v>1.984</v>
      </c>
      <c r="F75" s="20"/>
    </row>
    <row r="76" spans="1:6" s="98" customFormat="1" ht="15" customHeight="1" x14ac:dyDescent="0.25">
      <c r="A76" s="75"/>
      <c r="B76" s="79"/>
      <c r="C76" s="79" t="s">
        <v>520</v>
      </c>
      <c r="D76" s="78" t="s">
        <v>523</v>
      </c>
      <c r="E76" s="132">
        <f>'MCV e Guindaste'!K19</f>
        <v>729.54000000000008</v>
      </c>
      <c r="F76" s="20"/>
    </row>
    <row r="77" spans="1:6" s="98" customFormat="1" ht="15" customHeight="1" x14ac:dyDescent="0.25">
      <c r="A77" s="75"/>
      <c r="B77" s="79"/>
      <c r="C77" s="79" t="s">
        <v>503</v>
      </c>
      <c r="D77" s="78" t="s">
        <v>524</v>
      </c>
      <c r="E77" s="132" t="str">
        <f>$H$19</f>
        <v>2184362-14_/_SK-130685-17</v>
      </c>
      <c r="F77" s="20"/>
    </row>
    <row r="78" spans="1:6" s="98" customFormat="1" ht="15" customHeight="1" x14ac:dyDescent="0.25">
      <c r="A78" s="75"/>
      <c r="B78" s="76"/>
      <c r="C78" s="128" t="str">
        <f>IF(Values!$A$60="","Select Line","Select Adaptador")</f>
        <v>Select Adaptador</v>
      </c>
      <c r="D78" s="78" t="str">
        <f>IF(Values!$A$60="","NumberOfSections =","Name =")</f>
        <v>Name =</v>
      </c>
      <c r="E78" s="414" t="str">
        <f>$H$20</f>
        <v>FA_DE-F-05-J-0158</v>
      </c>
      <c r="F78" s="20"/>
    </row>
    <row r="79" spans="1:6" s="98" customFormat="1" ht="15" customHeight="1" x14ac:dyDescent="0.25">
      <c r="A79" s="75"/>
      <c r="B79" s="79"/>
      <c r="C79" s="79" t="s">
        <v>482</v>
      </c>
      <c r="D79" s="78" t="s">
        <v>524</v>
      </c>
      <c r="E79" s="132" t="str">
        <f>$H$21</f>
        <v>EF_15762-DWG-EF-102</v>
      </c>
      <c r="F79" s="20"/>
    </row>
    <row r="80" spans="1:6" s="98" customFormat="1" ht="15" customHeight="1" x14ac:dyDescent="0.25">
      <c r="A80" s="75"/>
      <c r="B80" s="76"/>
      <c r="C80" s="128" t="str">
        <f>IF(Values!$A$73="","Select Line","Select ZR_Vértebra")</f>
        <v>Select ZR_Vértebra</v>
      </c>
      <c r="D80" s="78" t="str">
        <f>IF(Values!$A$73="","NumberOfSections =","Name =")</f>
        <v>Name =</v>
      </c>
      <c r="E80" s="414" t="str">
        <f>$H$22</f>
        <v>ZR_15762-DWG-BR-102</v>
      </c>
      <c r="F80" s="20"/>
    </row>
    <row r="81" spans="1:13" s="98" customFormat="1" ht="15" customHeight="1" x14ac:dyDescent="0.25">
      <c r="A81" s="75"/>
      <c r="B81" s="79"/>
      <c r="C81" s="79" t="s">
        <v>472</v>
      </c>
      <c r="D81" s="78" t="s">
        <v>524</v>
      </c>
      <c r="E81" s="132" t="str">
        <f>$H$23</f>
        <v>BR_15762-DWG-BR-102</v>
      </c>
      <c r="F81" s="20"/>
    </row>
    <row r="82" spans="1:13" s="98" customFormat="1" ht="15" customHeight="1" x14ac:dyDescent="0.25">
      <c r="A82" s="75"/>
      <c r="B82" s="79"/>
      <c r="C82" s="79" t="s">
        <v>459</v>
      </c>
      <c r="D82" s="78" t="s">
        <v>524</v>
      </c>
      <c r="E82" s="132" t="str">
        <f>IF(TRIM(Values!$A$12)="","Linha",SUBSTITUTE(TRIM(Values!$A$12)," ","_"))</f>
        <v>NOV-101-9101</v>
      </c>
      <c r="F82" s="20"/>
    </row>
    <row r="83" spans="1:13" s="98" customFormat="1" ht="15" customHeight="1" x14ac:dyDescent="0.25">
      <c r="A83" s="75"/>
      <c r="B83" s="79"/>
      <c r="C83" s="79" t="s">
        <v>525</v>
      </c>
      <c r="D83" s="78" t="s">
        <v>526</v>
      </c>
      <c r="E83" s="131" t="s">
        <v>527</v>
      </c>
      <c r="F83" s="20"/>
    </row>
    <row r="84" spans="1:13" s="98" customFormat="1" ht="15" customHeight="1" x14ac:dyDescent="0.25">
      <c r="A84" s="75"/>
      <c r="B84" s="79"/>
      <c r="C84" s="79" t="s">
        <v>525</v>
      </c>
      <c r="D84" s="78" t="s">
        <v>528</v>
      </c>
      <c r="E84" s="419">
        <v>4</v>
      </c>
      <c r="F84" s="20"/>
    </row>
    <row r="85" spans="1:13" s="20" customFormat="1" ht="15" customHeight="1" x14ac:dyDescent="0.25">
      <c r="A85" s="75"/>
      <c r="B85" s="79"/>
      <c r="C85" s="79" t="s">
        <v>525</v>
      </c>
      <c r="D85" s="78" t="s">
        <v>529</v>
      </c>
      <c r="E85" s="443">
        <v>0</v>
      </c>
      <c r="G85" s="98"/>
      <c r="H85" s="98"/>
      <c r="I85" s="98"/>
      <c r="J85" s="98"/>
      <c r="K85" s="98"/>
      <c r="L85" s="98"/>
      <c r="M85" s="98"/>
    </row>
    <row r="86" spans="1:13" s="98" customFormat="1" ht="15" customHeight="1" x14ac:dyDescent="0.25">
      <c r="A86" s="75"/>
      <c r="B86" s="79"/>
      <c r="C86" s="79" t="s">
        <v>525</v>
      </c>
      <c r="D86" s="78" t="s">
        <v>530</v>
      </c>
      <c r="E86" s="443">
        <f>'MCV e Guindaste'!K18</f>
        <v>735</v>
      </c>
      <c r="F86" s="20"/>
      <c r="G86" s="20"/>
      <c r="H86" s="20"/>
      <c r="I86" s="20"/>
      <c r="J86" s="20"/>
      <c r="K86" s="20"/>
      <c r="L86" s="20"/>
      <c r="M86" s="20"/>
    </row>
    <row r="87" spans="1:13" s="98" customFormat="1" ht="15" customHeight="1" x14ac:dyDescent="0.25">
      <c r="A87" s="75"/>
      <c r="B87" s="79"/>
      <c r="C87" s="79" t="s">
        <v>525</v>
      </c>
      <c r="D87" s="78" t="s">
        <v>531</v>
      </c>
      <c r="E87" s="443">
        <f>IF('MCV e Guindaste'!J24="", E85+5, 'MCV e Guindaste'!J24)</f>
        <v>4</v>
      </c>
      <c r="F87" s="20"/>
    </row>
    <row r="88" spans="1:13" s="98" customFormat="1" ht="15" customHeight="1" x14ac:dyDescent="0.25">
      <c r="A88" s="75"/>
      <c r="B88" s="79"/>
      <c r="C88" s="79" t="s">
        <v>525</v>
      </c>
      <c r="D88" s="78" t="s">
        <v>532</v>
      </c>
      <c r="E88" s="443">
        <f>'MCV e Guindaste'!L24</f>
        <v>735.08</v>
      </c>
      <c r="F88" s="20"/>
    </row>
    <row r="89" spans="1:13" s="98" customFormat="1" ht="15" customHeight="1" x14ac:dyDescent="0.25">
      <c r="A89" s="75"/>
      <c r="B89" s="79"/>
      <c r="C89" s="79" t="s">
        <v>525</v>
      </c>
      <c r="D89" s="78" t="s">
        <v>533</v>
      </c>
      <c r="E89" s="443">
        <f>IF('MCV e Guindaste'!J25="", E87+5, 'MCV e Guindaste'!J25)</f>
        <v>8</v>
      </c>
      <c r="F89" s="20"/>
    </row>
    <row r="90" spans="1:13" s="98" customFormat="1" ht="15" customHeight="1" x14ac:dyDescent="0.25">
      <c r="A90" s="75"/>
      <c r="B90" s="79"/>
      <c r="C90" s="79" t="s">
        <v>525</v>
      </c>
      <c r="D90" s="78" t="s">
        <v>534</v>
      </c>
      <c r="E90" s="443">
        <f>'MCV e Guindaste'!L25</f>
        <v>734.99</v>
      </c>
      <c r="F90" s="20"/>
    </row>
    <row r="91" spans="1:13" s="98" customFormat="1" ht="15" customHeight="1" x14ac:dyDescent="0.25">
      <c r="A91" s="75"/>
      <c r="B91" s="79"/>
      <c r="C91" s="79" t="s">
        <v>525</v>
      </c>
      <c r="D91" s="78" t="s">
        <v>535</v>
      </c>
      <c r="E91" s="443">
        <f>IF('MCV e Guindaste'!J26="", E89+5, 'MCV e Guindaste'!J26)</f>
        <v>12</v>
      </c>
      <c r="F91" s="20"/>
    </row>
    <row r="92" spans="1:13" s="98" customFormat="1" ht="15" customHeight="1" x14ac:dyDescent="0.25">
      <c r="A92" s="75"/>
      <c r="B92" s="79"/>
      <c r="C92" s="79" t="s">
        <v>525</v>
      </c>
      <c r="D92" s="78" t="s">
        <v>536</v>
      </c>
      <c r="E92" s="443">
        <f>'MCV e Guindaste'!L26</f>
        <v>735</v>
      </c>
      <c r="F92" s="20"/>
    </row>
    <row r="93" spans="1:13" s="98" customFormat="1" ht="15" customHeight="1" x14ac:dyDescent="0.25">
      <c r="A93" s="75"/>
      <c r="B93" s="79" t="str">
        <f>IF(UPPER($G$42)="CURVA", "","Select Line")</f>
        <v/>
      </c>
      <c r="C93" s="79" t="str">
        <f>IF(UPPER($G$42)="CURVA","Select Stiffness_Lançamento",_xlfn.CONCAT("Select ",E$82))</f>
        <v>Select Stiffness_Lançamento</v>
      </c>
      <c r="D93" s="78" t="str">
        <f>IF(UPPER($G$42)="CURVA","NumberOfRows =","EIx=")</f>
        <v>NumberOfRows =</v>
      </c>
      <c r="E93" s="419">
        <f>IF(UPPER($G$42)="CURVA", H33, Values!$C$20)</f>
        <v>40</v>
      </c>
      <c r="F93" s="20" t="s">
        <v>537</v>
      </c>
    </row>
    <row r="94" spans="1:13" s="98" customFormat="1" ht="15" customHeight="1" x14ac:dyDescent="0.25">
      <c r="A94" s="75"/>
      <c r="B94" s="79"/>
      <c r="C94" s="79" t="s">
        <v>1250</v>
      </c>
      <c r="D94" s="78" t="s">
        <v>541</v>
      </c>
      <c r="E94" s="443">
        <v>2.1676460000000002E-2</v>
      </c>
      <c r="F94" s="20" t="s">
        <v>1251</v>
      </c>
    </row>
    <row r="95" spans="1:13" s="98" customFormat="1" ht="15" customHeight="1" x14ac:dyDescent="0.25">
      <c r="A95" s="75"/>
      <c r="B95" s="79"/>
      <c r="C95" s="79" t="s">
        <v>1250</v>
      </c>
      <c r="D95" s="78" t="s">
        <v>542</v>
      </c>
      <c r="E95" s="443">
        <v>4.3352920000000003E-2</v>
      </c>
      <c r="F95" s="20" t="s">
        <v>1251</v>
      </c>
    </row>
    <row r="96" spans="1:13" s="98" customFormat="1" ht="15" customHeight="1" x14ac:dyDescent="0.25">
      <c r="A96" s="75"/>
      <c r="B96" s="79"/>
      <c r="C96" s="79" t="s">
        <v>1250</v>
      </c>
      <c r="D96" s="78" t="s">
        <v>1252</v>
      </c>
      <c r="E96" s="443">
        <v>6.5029390000000006E-2</v>
      </c>
      <c r="F96" s="20" t="s">
        <v>1251</v>
      </c>
    </row>
    <row r="97" spans="1:6" s="98" customFormat="1" ht="15" customHeight="1" x14ac:dyDescent="0.25">
      <c r="A97" s="75"/>
      <c r="B97" s="79"/>
      <c r="C97" s="79" t="s">
        <v>1250</v>
      </c>
      <c r="D97" s="78" t="s">
        <v>1253</v>
      </c>
      <c r="E97" s="443">
        <v>8.6705850000000001E-2</v>
      </c>
      <c r="F97" s="20" t="s">
        <v>1251</v>
      </c>
    </row>
    <row r="98" spans="1:6" s="98" customFormat="1" ht="15" customHeight="1" x14ac:dyDescent="0.25">
      <c r="A98" s="75"/>
      <c r="B98" s="79"/>
      <c r="C98" s="79" t="s">
        <v>1250</v>
      </c>
      <c r="D98" s="78" t="s">
        <v>1254</v>
      </c>
      <c r="E98" s="443">
        <v>0.1083823</v>
      </c>
      <c r="F98" s="20" t="s">
        <v>1251</v>
      </c>
    </row>
    <row r="99" spans="1:6" s="98" customFormat="1" ht="15" customHeight="1" x14ac:dyDescent="0.25">
      <c r="A99" s="75"/>
      <c r="B99" s="79"/>
      <c r="C99" s="79" t="s">
        <v>1250</v>
      </c>
      <c r="D99" s="78" t="s">
        <v>1255</v>
      </c>
      <c r="E99" s="443">
        <v>0.1300588</v>
      </c>
      <c r="F99" s="20" t="s">
        <v>1251</v>
      </c>
    </row>
    <row r="100" spans="1:6" s="98" customFormat="1" ht="15" customHeight="1" x14ac:dyDescent="0.25">
      <c r="A100" s="75"/>
      <c r="B100" s="79"/>
      <c r="C100" s="79" t="s">
        <v>1250</v>
      </c>
      <c r="D100" s="78" t="s">
        <v>1256</v>
      </c>
      <c r="E100" s="443">
        <v>0.15173519999999999</v>
      </c>
      <c r="F100" s="20" t="s">
        <v>1251</v>
      </c>
    </row>
    <row r="101" spans="1:6" s="98" customFormat="1" ht="15" customHeight="1" x14ac:dyDescent="0.25">
      <c r="A101" s="75"/>
      <c r="B101" s="79"/>
      <c r="C101" s="79" t="s">
        <v>1250</v>
      </c>
      <c r="D101" s="78" t="s">
        <v>1257</v>
      </c>
      <c r="E101" s="443">
        <v>0.1734117</v>
      </c>
      <c r="F101" s="20" t="s">
        <v>1251</v>
      </c>
    </row>
    <row r="102" spans="1:6" s="98" customFormat="1" ht="15" customHeight="1" x14ac:dyDescent="0.25">
      <c r="A102" s="75"/>
      <c r="B102" s="79"/>
      <c r="C102" s="79" t="s">
        <v>1250</v>
      </c>
      <c r="D102" s="78" t="s">
        <v>1258</v>
      </c>
      <c r="E102" s="443">
        <v>0.19508819999999999</v>
      </c>
      <c r="F102" s="20" t="s">
        <v>1251</v>
      </c>
    </row>
    <row r="103" spans="1:6" s="98" customFormat="1" ht="15" customHeight="1" x14ac:dyDescent="0.25">
      <c r="A103" s="75"/>
      <c r="B103" s="79"/>
      <c r="C103" s="79" t="s">
        <v>1250</v>
      </c>
      <c r="D103" s="78" t="s">
        <v>1259</v>
      </c>
      <c r="E103" s="443">
        <v>0.2167646</v>
      </c>
      <c r="F103" s="20" t="s">
        <v>1251</v>
      </c>
    </row>
    <row r="104" spans="1:6" s="98" customFormat="1" ht="15" customHeight="1" x14ac:dyDescent="0.25">
      <c r="A104" s="75"/>
      <c r="B104" s="79"/>
      <c r="C104" s="79" t="s">
        <v>1250</v>
      </c>
      <c r="D104" s="78" t="s">
        <v>1260</v>
      </c>
      <c r="E104" s="443">
        <v>0.23844109999999999</v>
      </c>
      <c r="F104" s="20" t="s">
        <v>1251</v>
      </c>
    </row>
    <row r="105" spans="1:6" s="98" customFormat="1" ht="15" customHeight="1" x14ac:dyDescent="0.25">
      <c r="A105" s="75"/>
      <c r="B105" s="79"/>
      <c r="C105" s="79" t="s">
        <v>1250</v>
      </c>
      <c r="D105" s="78" t="s">
        <v>1261</v>
      </c>
      <c r="E105" s="443">
        <v>0.2601175</v>
      </c>
      <c r="F105" s="20" t="s">
        <v>1251</v>
      </c>
    </row>
    <row r="106" spans="1:6" s="98" customFormat="1" ht="15" customHeight="1" x14ac:dyDescent="0.25">
      <c r="A106" s="75"/>
      <c r="B106" s="79"/>
      <c r="C106" s="79" t="s">
        <v>1250</v>
      </c>
      <c r="D106" s="78" t="s">
        <v>1262</v>
      </c>
      <c r="E106" s="443">
        <v>0.28179399999999999</v>
      </c>
      <c r="F106" s="20" t="s">
        <v>1251</v>
      </c>
    </row>
    <row r="107" spans="1:6" s="98" customFormat="1" ht="15" customHeight="1" x14ac:dyDescent="0.25">
      <c r="A107" s="75"/>
      <c r="B107" s="79"/>
      <c r="C107" s="79" t="s">
        <v>1250</v>
      </c>
      <c r="D107" s="78" t="s">
        <v>1263</v>
      </c>
      <c r="E107" s="443">
        <v>0.30347049999999998</v>
      </c>
      <c r="F107" s="20" t="s">
        <v>1251</v>
      </c>
    </row>
    <row r="108" spans="1:6" s="98" customFormat="1" ht="15" customHeight="1" x14ac:dyDescent="0.25">
      <c r="A108" s="75"/>
      <c r="B108" s="79"/>
      <c r="C108" s="79" t="s">
        <v>1250</v>
      </c>
      <c r="D108" s="78" t="s">
        <v>1264</v>
      </c>
      <c r="E108" s="443">
        <v>0.32514690000000002</v>
      </c>
      <c r="F108" s="20" t="s">
        <v>1251</v>
      </c>
    </row>
    <row r="109" spans="1:6" s="98" customFormat="1" ht="15" customHeight="1" x14ac:dyDescent="0.25">
      <c r="A109" s="75"/>
      <c r="B109" s="79"/>
      <c r="C109" s="79" t="s">
        <v>1250</v>
      </c>
      <c r="D109" s="78" t="s">
        <v>1265</v>
      </c>
      <c r="E109" s="443">
        <v>0.3468234</v>
      </c>
      <c r="F109" s="20" t="s">
        <v>1251</v>
      </c>
    </row>
    <row r="110" spans="1:6" s="98" customFormat="1" ht="15" customHeight="1" x14ac:dyDescent="0.25">
      <c r="A110" s="75"/>
      <c r="B110" s="79"/>
      <c r="C110" s="79" t="s">
        <v>1250</v>
      </c>
      <c r="D110" s="78" t="s">
        <v>1266</v>
      </c>
      <c r="E110" s="443">
        <v>0.36849989999999999</v>
      </c>
      <c r="F110" s="20" t="s">
        <v>1251</v>
      </c>
    </row>
    <row r="111" spans="1:6" s="98" customFormat="1" ht="15" customHeight="1" x14ac:dyDescent="0.25">
      <c r="A111" s="75"/>
      <c r="B111" s="79"/>
      <c r="C111" s="79" t="s">
        <v>1250</v>
      </c>
      <c r="D111" s="78" t="s">
        <v>1267</v>
      </c>
      <c r="E111" s="443">
        <v>0.39017629999999998</v>
      </c>
      <c r="F111" s="20" t="s">
        <v>1251</v>
      </c>
    </row>
    <row r="112" spans="1:6" s="98" customFormat="1" ht="15" customHeight="1" x14ac:dyDescent="0.25">
      <c r="A112" s="75"/>
      <c r="B112" s="79"/>
      <c r="C112" s="79" t="s">
        <v>1250</v>
      </c>
      <c r="D112" s="78" t="s">
        <v>1268</v>
      </c>
      <c r="E112" s="443">
        <v>0.41185280000000002</v>
      </c>
      <c r="F112" s="20" t="s">
        <v>1251</v>
      </c>
    </row>
    <row r="113" spans="1:6" s="98" customFormat="1" ht="15" customHeight="1" x14ac:dyDescent="0.25">
      <c r="A113" s="75"/>
      <c r="B113" s="79"/>
      <c r="C113" s="79" t="s">
        <v>1250</v>
      </c>
      <c r="D113" s="78" t="s">
        <v>1269</v>
      </c>
      <c r="E113" s="443">
        <v>0.4335292</v>
      </c>
      <c r="F113" s="20" t="s">
        <v>1251</v>
      </c>
    </row>
    <row r="114" spans="1:6" s="98" customFormat="1" ht="15" customHeight="1" x14ac:dyDescent="0.25">
      <c r="A114" s="75"/>
      <c r="B114" s="79"/>
      <c r="C114" s="79" t="s">
        <v>1250</v>
      </c>
      <c r="D114" s="78" t="s">
        <v>1270</v>
      </c>
      <c r="E114" s="443">
        <v>0.45520569999999999</v>
      </c>
      <c r="F114" s="20" t="s">
        <v>1251</v>
      </c>
    </row>
    <row r="115" spans="1:6" s="98" customFormat="1" ht="15" customHeight="1" x14ac:dyDescent="0.25">
      <c r="A115" s="75"/>
      <c r="B115" s="79"/>
      <c r="C115" s="79" t="s">
        <v>1250</v>
      </c>
      <c r="D115" s="78" t="s">
        <v>1271</v>
      </c>
      <c r="E115" s="443">
        <v>0.47688219999999998</v>
      </c>
      <c r="F115" s="20" t="s">
        <v>1251</v>
      </c>
    </row>
    <row r="116" spans="1:6" s="98" customFormat="1" ht="15" customHeight="1" x14ac:dyDescent="0.25">
      <c r="A116" s="75"/>
      <c r="B116" s="79"/>
      <c r="C116" s="79" t="s">
        <v>1250</v>
      </c>
      <c r="D116" s="78" t="s">
        <v>1272</v>
      </c>
      <c r="E116" s="443">
        <v>0.49855860000000002</v>
      </c>
      <c r="F116" s="20" t="s">
        <v>1251</v>
      </c>
    </row>
    <row r="117" spans="1:6" s="98" customFormat="1" ht="15" customHeight="1" x14ac:dyDescent="0.25">
      <c r="A117" s="75"/>
      <c r="B117" s="79"/>
      <c r="C117" s="79" t="s">
        <v>1250</v>
      </c>
      <c r="D117" s="78" t="s">
        <v>1273</v>
      </c>
      <c r="E117" s="443">
        <v>0.52023509999999995</v>
      </c>
      <c r="F117" s="20" t="s">
        <v>1251</v>
      </c>
    </row>
    <row r="118" spans="1:6" s="98" customFormat="1" ht="15" customHeight="1" x14ac:dyDescent="0.25">
      <c r="A118" s="75"/>
      <c r="B118" s="79"/>
      <c r="C118" s="79" t="s">
        <v>1250</v>
      </c>
      <c r="D118" s="78" t="s">
        <v>1274</v>
      </c>
      <c r="E118" s="443">
        <v>0.54191160000000005</v>
      </c>
      <c r="F118" s="20" t="s">
        <v>1251</v>
      </c>
    </row>
    <row r="119" spans="1:6" s="98" customFormat="1" ht="15" customHeight="1" x14ac:dyDescent="0.25">
      <c r="A119" s="75"/>
      <c r="B119" s="79"/>
      <c r="C119" s="79" t="s">
        <v>1250</v>
      </c>
      <c r="D119" s="78" t="s">
        <v>1275</v>
      </c>
      <c r="E119" s="443">
        <v>0.56358799999999998</v>
      </c>
      <c r="F119" s="20" t="s">
        <v>1251</v>
      </c>
    </row>
    <row r="120" spans="1:6" s="98" customFormat="1" ht="15" customHeight="1" x14ac:dyDescent="0.25">
      <c r="A120" s="75"/>
      <c r="B120" s="79"/>
      <c r="C120" s="79" t="s">
        <v>1250</v>
      </c>
      <c r="D120" s="78" t="s">
        <v>1276</v>
      </c>
      <c r="E120" s="443">
        <v>0.58526449999999997</v>
      </c>
      <c r="F120" s="20" t="s">
        <v>1251</v>
      </c>
    </row>
    <row r="121" spans="1:6" s="98" customFormat="1" ht="15" customHeight="1" x14ac:dyDescent="0.25">
      <c r="A121" s="75"/>
      <c r="B121" s="79"/>
      <c r="C121" s="79" t="s">
        <v>1250</v>
      </c>
      <c r="D121" s="78" t="s">
        <v>1277</v>
      </c>
      <c r="E121" s="443">
        <v>0.60694090000000001</v>
      </c>
      <c r="F121" s="20" t="s">
        <v>1251</v>
      </c>
    </row>
    <row r="122" spans="1:6" s="98" customFormat="1" ht="15" customHeight="1" x14ac:dyDescent="0.25">
      <c r="A122" s="75"/>
      <c r="B122" s="79"/>
      <c r="C122" s="79" t="s">
        <v>1250</v>
      </c>
      <c r="D122" s="78" t="s">
        <v>1278</v>
      </c>
      <c r="E122" s="443">
        <v>0.62861739999999999</v>
      </c>
      <c r="F122" s="20" t="s">
        <v>1251</v>
      </c>
    </row>
    <row r="123" spans="1:6" s="98" customFormat="1" ht="15" customHeight="1" x14ac:dyDescent="0.25">
      <c r="A123" s="75"/>
      <c r="B123" s="79"/>
      <c r="C123" s="79" t="s">
        <v>1250</v>
      </c>
      <c r="D123" s="78" t="s">
        <v>1279</v>
      </c>
      <c r="E123" s="443">
        <v>0.65029389999999998</v>
      </c>
      <c r="F123" s="20" t="s">
        <v>1251</v>
      </c>
    </row>
    <row r="124" spans="1:6" s="98" customFormat="1" ht="15" customHeight="1" x14ac:dyDescent="0.25">
      <c r="A124" s="75"/>
      <c r="B124" s="79"/>
      <c r="C124" s="79" t="s">
        <v>1250</v>
      </c>
      <c r="D124" s="78" t="s">
        <v>1280</v>
      </c>
      <c r="E124" s="443">
        <v>0.67197030000000002</v>
      </c>
      <c r="F124" s="20" t="s">
        <v>1251</v>
      </c>
    </row>
    <row r="125" spans="1:6" s="98" customFormat="1" ht="15" customHeight="1" x14ac:dyDescent="0.25">
      <c r="A125" s="75"/>
      <c r="B125" s="79"/>
      <c r="C125" s="79" t="s">
        <v>1250</v>
      </c>
      <c r="D125" s="78" t="s">
        <v>1281</v>
      </c>
      <c r="E125" s="443">
        <v>0.69364680000000001</v>
      </c>
      <c r="F125" s="20" t="s">
        <v>1251</v>
      </c>
    </row>
    <row r="126" spans="1:6" s="98" customFormat="1" ht="15" customHeight="1" x14ac:dyDescent="0.25">
      <c r="A126" s="75"/>
      <c r="B126" s="79"/>
      <c r="C126" s="79" t="s">
        <v>1250</v>
      </c>
      <c r="D126" s="78" t="s">
        <v>1282</v>
      </c>
      <c r="E126" s="443">
        <v>0.7153233</v>
      </c>
      <c r="F126" s="20" t="s">
        <v>1251</v>
      </c>
    </row>
    <row r="127" spans="1:6" s="98" customFormat="1" ht="15" customHeight="1" x14ac:dyDescent="0.25">
      <c r="A127" s="75"/>
      <c r="B127" s="79"/>
      <c r="C127" s="79" t="s">
        <v>1250</v>
      </c>
      <c r="D127" s="78" t="s">
        <v>1283</v>
      </c>
      <c r="E127" s="443">
        <v>0.73699970000000004</v>
      </c>
      <c r="F127" s="20" t="s">
        <v>1251</v>
      </c>
    </row>
    <row r="128" spans="1:6" s="98" customFormat="1" ht="15" customHeight="1" x14ac:dyDescent="0.25">
      <c r="A128" s="75"/>
      <c r="B128" s="79"/>
      <c r="C128" s="79" t="s">
        <v>1250</v>
      </c>
      <c r="D128" s="78" t="s">
        <v>1284</v>
      </c>
      <c r="E128" s="443">
        <v>0.75867620000000002</v>
      </c>
      <c r="F128" s="20" t="s">
        <v>1251</v>
      </c>
    </row>
    <row r="129" spans="1:6" s="98" customFormat="1" ht="15" customHeight="1" x14ac:dyDescent="0.25">
      <c r="A129" s="75"/>
      <c r="B129" s="79"/>
      <c r="C129" s="79" t="s">
        <v>1250</v>
      </c>
      <c r="D129" s="78" t="s">
        <v>1285</v>
      </c>
      <c r="E129" s="443">
        <v>0.78035259999999995</v>
      </c>
      <c r="F129" s="20" t="s">
        <v>1251</v>
      </c>
    </row>
    <row r="130" spans="1:6" s="98" customFormat="1" ht="15" customHeight="1" x14ac:dyDescent="0.25">
      <c r="A130" s="75"/>
      <c r="B130" s="79"/>
      <c r="C130" s="79" t="s">
        <v>1250</v>
      </c>
      <c r="D130" s="78" t="s">
        <v>1286</v>
      </c>
      <c r="E130" s="443">
        <v>0.80202910000000005</v>
      </c>
      <c r="F130" s="20" t="s">
        <v>1251</v>
      </c>
    </row>
    <row r="131" spans="1:6" s="98" customFormat="1" ht="15" customHeight="1" x14ac:dyDescent="0.25">
      <c r="A131" s="75"/>
      <c r="B131" s="79"/>
      <c r="C131" s="79" t="s">
        <v>1250</v>
      </c>
      <c r="D131" s="78" t="s">
        <v>1287</v>
      </c>
      <c r="E131" s="443">
        <v>0.82370560000000004</v>
      </c>
      <c r="F131" s="20" t="s">
        <v>1251</v>
      </c>
    </row>
    <row r="132" spans="1:6" s="98" customFormat="1" ht="15" customHeight="1" x14ac:dyDescent="0.25">
      <c r="A132" s="75"/>
      <c r="B132" s="79"/>
      <c r="C132" s="79" t="s">
        <v>1250</v>
      </c>
      <c r="D132" s="78" t="s">
        <v>1288</v>
      </c>
      <c r="E132" s="443">
        <v>0.84538199999999997</v>
      </c>
      <c r="F132" s="20" t="s">
        <v>1251</v>
      </c>
    </row>
    <row r="133" spans="1:6" s="98" customFormat="1" ht="15" customHeight="1" x14ac:dyDescent="0.25">
      <c r="A133" s="75"/>
      <c r="B133" s="79"/>
      <c r="C133" s="79" t="s">
        <v>1250</v>
      </c>
      <c r="D133" s="78" t="s">
        <v>543</v>
      </c>
      <c r="E133" s="443">
        <v>5.3392589999999996E-4</v>
      </c>
      <c r="F133" s="20" t="s">
        <v>1251</v>
      </c>
    </row>
    <row r="134" spans="1:6" s="98" customFormat="1" ht="15" customHeight="1" x14ac:dyDescent="0.25">
      <c r="A134" s="75"/>
      <c r="B134" s="79"/>
      <c r="C134" s="79" t="s">
        <v>1250</v>
      </c>
      <c r="D134" s="78" t="s">
        <v>544</v>
      </c>
      <c r="E134" s="443">
        <v>1.067852E-3</v>
      </c>
      <c r="F134" s="20" t="s">
        <v>1251</v>
      </c>
    </row>
    <row r="135" spans="1:6" s="98" customFormat="1" ht="15" customHeight="1" x14ac:dyDescent="0.25">
      <c r="A135" s="75"/>
      <c r="B135" s="79"/>
      <c r="C135" s="79" t="s">
        <v>1250</v>
      </c>
      <c r="D135" s="78" t="s">
        <v>1289</v>
      </c>
      <c r="E135" s="443">
        <v>1.6017779999999999E-3</v>
      </c>
      <c r="F135" s="20" t="s">
        <v>1251</v>
      </c>
    </row>
    <row r="136" spans="1:6" s="98" customFormat="1" ht="15" customHeight="1" x14ac:dyDescent="0.25">
      <c r="A136" s="75"/>
      <c r="B136" s="79"/>
      <c r="C136" s="79" t="s">
        <v>1250</v>
      </c>
      <c r="D136" s="78" t="s">
        <v>1290</v>
      </c>
      <c r="E136" s="443">
        <v>2.1357030000000001E-3</v>
      </c>
      <c r="F136" s="20" t="s">
        <v>1251</v>
      </c>
    </row>
    <row r="137" spans="1:6" s="98" customFormat="1" ht="15" customHeight="1" x14ac:dyDescent="0.25">
      <c r="A137" s="75"/>
      <c r="B137" s="79"/>
      <c r="C137" s="79" t="s">
        <v>1250</v>
      </c>
      <c r="D137" s="78" t="s">
        <v>1291</v>
      </c>
      <c r="E137" s="443">
        <v>2.6696290000000002E-3</v>
      </c>
      <c r="F137" s="20" t="s">
        <v>1251</v>
      </c>
    </row>
    <row r="138" spans="1:6" s="98" customFormat="1" ht="15" customHeight="1" x14ac:dyDescent="0.25">
      <c r="A138" s="75"/>
      <c r="B138" s="79"/>
      <c r="C138" s="79" t="s">
        <v>1250</v>
      </c>
      <c r="D138" s="78" t="s">
        <v>1292</v>
      </c>
      <c r="E138" s="443">
        <v>3.2035550000000003E-3</v>
      </c>
      <c r="F138" s="20" t="s">
        <v>1251</v>
      </c>
    </row>
    <row r="139" spans="1:6" s="98" customFormat="1" ht="15" customHeight="1" x14ac:dyDescent="0.25">
      <c r="A139" s="75"/>
      <c r="B139" s="79"/>
      <c r="C139" s="79" t="s">
        <v>1250</v>
      </c>
      <c r="D139" s="78" t="s">
        <v>1293</v>
      </c>
      <c r="E139" s="443">
        <v>3.737481E-3</v>
      </c>
      <c r="F139" s="20" t="s">
        <v>1251</v>
      </c>
    </row>
    <row r="140" spans="1:6" s="98" customFormat="1" ht="15" customHeight="1" x14ac:dyDescent="0.25">
      <c r="A140" s="75"/>
      <c r="B140" s="79"/>
      <c r="C140" s="79" t="s">
        <v>1250</v>
      </c>
      <c r="D140" s="78" t="s">
        <v>1294</v>
      </c>
      <c r="E140" s="443">
        <v>4.2714069999999996E-3</v>
      </c>
      <c r="F140" s="20" t="s">
        <v>1251</v>
      </c>
    </row>
    <row r="141" spans="1:6" s="98" customFormat="1" ht="15" customHeight="1" x14ac:dyDescent="0.25">
      <c r="A141" s="75"/>
      <c r="B141" s="79"/>
      <c r="C141" s="79" t="s">
        <v>1250</v>
      </c>
      <c r="D141" s="78" t="s">
        <v>1295</v>
      </c>
      <c r="E141" s="443">
        <v>4.8053330000000002E-3</v>
      </c>
      <c r="F141" s="20" t="s">
        <v>1251</v>
      </c>
    </row>
    <row r="142" spans="1:6" s="98" customFormat="1" ht="15" customHeight="1" x14ac:dyDescent="0.25">
      <c r="A142" s="75"/>
      <c r="B142" s="79"/>
      <c r="C142" s="79" t="s">
        <v>1250</v>
      </c>
      <c r="D142" s="78" t="s">
        <v>1296</v>
      </c>
      <c r="E142" s="443">
        <v>5.3392589999999998E-3</v>
      </c>
      <c r="F142" s="20" t="s">
        <v>1251</v>
      </c>
    </row>
    <row r="143" spans="1:6" s="98" customFormat="1" ht="15" customHeight="1" x14ac:dyDescent="0.25">
      <c r="A143" s="75"/>
      <c r="B143" s="79"/>
      <c r="C143" s="79" t="s">
        <v>1250</v>
      </c>
      <c r="D143" s="78" t="s">
        <v>1297</v>
      </c>
      <c r="E143" s="443">
        <v>5.873184E-3</v>
      </c>
      <c r="F143" s="20" t="s">
        <v>1251</v>
      </c>
    </row>
    <row r="144" spans="1:6" s="98" customFormat="1" ht="15" customHeight="1" x14ac:dyDescent="0.25">
      <c r="A144" s="75"/>
      <c r="B144" s="79"/>
      <c r="C144" s="79" t="s">
        <v>1250</v>
      </c>
      <c r="D144" s="78" t="s">
        <v>1298</v>
      </c>
      <c r="E144" s="443">
        <v>6.4071100000000006E-3</v>
      </c>
      <c r="F144" s="20" t="s">
        <v>1251</v>
      </c>
    </row>
    <row r="145" spans="1:6" s="98" customFormat="1" ht="15" customHeight="1" x14ac:dyDescent="0.25">
      <c r="A145" s="75"/>
      <c r="B145" s="79"/>
      <c r="C145" s="79" t="s">
        <v>1250</v>
      </c>
      <c r="D145" s="78" t="s">
        <v>1299</v>
      </c>
      <c r="E145" s="443">
        <v>6.9410360000000003E-3</v>
      </c>
      <c r="F145" s="20" t="s">
        <v>1251</v>
      </c>
    </row>
    <row r="146" spans="1:6" s="98" customFormat="1" ht="15" customHeight="1" x14ac:dyDescent="0.25">
      <c r="A146" s="75"/>
      <c r="B146" s="79"/>
      <c r="C146" s="79" t="s">
        <v>1250</v>
      </c>
      <c r="D146" s="78" t="s">
        <v>1300</v>
      </c>
      <c r="E146" s="443">
        <v>7.4749619999999999E-3</v>
      </c>
      <c r="F146" s="20" t="s">
        <v>1251</v>
      </c>
    </row>
    <row r="147" spans="1:6" s="98" customFormat="1" ht="15" customHeight="1" x14ac:dyDescent="0.25">
      <c r="A147" s="75"/>
      <c r="B147" s="79"/>
      <c r="C147" s="79" t="s">
        <v>1250</v>
      </c>
      <c r="D147" s="78" t="s">
        <v>1301</v>
      </c>
      <c r="E147" s="443">
        <v>8.0088880000000005E-3</v>
      </c>
      <c r="F147" s="20" t="s">
        <v>1251</v>
      </c>
    </row>
    <row r="148" spans="1:6" s="98" customFormat="1" ht="15" customHeight="1" x14ac:dyDescent="0.25">
      <c r="A148" s="75"/>
      <c r="B148" s="79"/>
      <c r="C148" s="79" t="s">
        <v>1250</v>
      </c>
      <c r="D148" s="78" t="s">
        <v>1302</v>
      </c>
      <c r="E148" s="443">
        <v>8.5428139999999993E-3</v>
      </c>
      <c r="F148" s="20" t="s">
        <v>1251</v>
      </c>
    </row>
    <row r="149" spans="1:6" s="98" customFormat="1" ht="15" customHeight="1" x14ac:dyDescent="0.25">
      <c r="A149" s="75"/>
      <c r="B149" s="79"/>
      <c r="C149" s="79" t="s">
        <v>1250</v>
      </c>
      <c r="D149" s="78" t="s">
        <v>1303</v>
      </c>
      <c r="E149" s="443">
        <v>9.0767399999999998E-3</v>
      </c>
      <c r="F149" s="20" t="s">
        <v>1251</v>
      </c>
    </row>
    <row r="150" spans="1:6" s="98" customFormat="1" ht="15" customHeight="1" x14ac:dyDescent="0.25">
      <c r="A150" s="75"/>
      <c r="B150" s="79"/>
      <c r="C150" s="79" t="s">
        <v>1250</v>
      </c>
      <c r="D150" s="78" t="s">
        <v>1304</v>
      </c>
      <c r="E150" s="443">
        <v>9.6106649999999991E-3</v>
      </c>
      <c r="F150" s="20" t="s">
        <v>1251</v>
      </c>
    </row>
    <row r="151" spans="1:6" s="98" customFormat="1" ht="15" customHeight="1" x14ac:dyDescent="0.25">
      <c r="A151" s="75"/>
      <c r="B151" s="79"/>
      <c r="C151" s="79" t="s">
        <v>1250</v>
      </c>
      <c r="D151" s="78" t="s">
        <v>1305</v>
      </c>
      <c r="E151" s="443">
        <v>1.014459E-2</v>
      </c>
      <c r="F151" s="20" t="s">
        <v>1251</v>
      </c>
    </row>
    <row r="152" spans="1:6" s="98" customFormat="1" ht="15" customHeight="1" x14ac:dyDescent="0.25">
      <c r="A152" s="75"/>
      <c r="B152" s="79"/>
      <c r="C152" s="79" t="s">
        <v>1250</v>
      </c>
      <c r="D152" s="78" t="s">
        <v>1306</v>
      </c>
      <c r="E152" s="443">
        <v>1.067852E-2</v>
      </c>
      <c r="F152" s="20" t="s">
        <v>1251</v>
      </c>
    </row>
    <row r="153" spans="1:6" s="98" customFormat="1" ht="15" customHeight="1" x14ac:dyDescent="0.25">
      <c r="A153" s="75"/>
      <c r="B153" s="79"/>
      <c r="C153" s="79" t="s">
        <v>1250</v>
      </c>
      <c r="D153" s="78" t="s">
        <v>1307</v>
      </c>
      <c r="E153" s="443">
        <v>1.1212440000000001E-2</v>
      </c>
      <c r="F153" s="20" t="s">
        <v>1251</v>
      </c>
    </row>
    <row r="154" spans="1:6" s="98" customFormat="1" ht="15" customHeight="1" x14ac:dyDescent="0.25">
      <c r="A154" s="75"/>
      <c r="B154" s="79"/>
      <c r="C154" s="79" t="s">
        <v>1250</v>
      </c>
      <c r="D154" s="78" t="s">
        <v>1308</v>
      </c>
      <c r="E154" s="443">
        <v>1.1746370000000001E-2</v>
      </c>
      <c r="F154" s="20" t="s">
        <v>1251</v>
      </c>
    </row>
    <row r="155" spans="1:6" s="98" customFormat="1" ht="15" customHeight="1" x14ac:dyDescent="0.25">
      <c r="A155" s="75"/>
      <c r="B155" s="79"/>
      <c r="C155" s="79" t="s">
        <v>1250</v>
      </c>
      <c r="D155" s="78" t="s">
        <v>1309</v>
      </c>
      <c r="E155" s="443">
        <v>1.2280290000000001E-2</v>
      </c>
      <c r="F155" s="20" t="s">
        <v>1251</v>
      </c>
    </row>
    <row r="156" spans="1:6" s="98" customFormat="1" ht="15" customHeight="1" x14ac:dyDescent="0.25">
      <c r="A156" s="75"/>
      <c r="B156" s="79"/>
      <c r="C156" s="79" t="s">
        <v>1250</v>
      </c>
      <c r="D156" s="78" t="s">
        <v>1310</v>
      </c>
      <c r="E156" s="443">
        <v>1.2814220000000001E-2</v>
      </c>
      <c r="F156" s="20" t="s">
        <v>1251</v>
      </c>
    </row>
    <row r="157" spans="1:6" s="98" customFormat="1" ht="15" customHeight="1" x14ac:dyDescent="0.25">
      <c r="A157" s="75"/>
      <c r="B157" s="79"/>
      <c r="C157" s="79" t="s">
        <v>1250</v>
      </c>
      <c r="D157" s="78" t="s">
        <v>1311</v>
      </c>
      <c r="E157" s="443">
        <v>1.334815E-2</v>
      </c>
      <c r="F157" s="20" t="s">
        <v>1251</v>
      </c>
    </row>
    <row r="158" spans="1:6" s="98" customFormat="1" ht="15" customHeight="1" x14ac:dyDescent="0.25">
      <c r="A158" s="75"/>
      <c r="B158" s="79"/>
      <c r="C158" s="79" t="s">
        <v>1250</v>
      </c>
      <c r="D158" s="78" t="s">
        <v>1312</v>
      </c>
      <c r="E158" s="443">
        <v>1.388207E-2</v>
      </c>
      <c r="F158" s="20" t="s">
        <v>1251</v>
      </c>
    </row>
    <row r="159" spans="1:6" s="98" customFormat="1" ht="15" customHeight="1" x14ac:dyDescent="0.25">
      <c r="A159" s="75"/>
      <c r="B159" s="79"/>
      <c r="C159" s="79" t="s">
        <v>1250</v>
      </c>
      <c r="D159" s="78" t="s">
        <v>1313</v>
      </c>
      <c r="E159" s="443">
        <v>1.4416E-2</v>
      </c>
      <c r="F159" s="20" t="s">
        <v>1251</v>
      </c>
    </row>
    <row r="160" spans="1:6" s="98" customFormat="1" ht="15" customHeight="1" x14ac:dyDescent="0.25">
      <c r="A160" s="75"/>
      <c r="B160" s="79"/>
      <c r="C160" s="79" t="s">
        <v>1250</v>
      </c>
      <c r="D160" s="78" t="s">
        <v>1314</v>
      </c>
      <c r="E160" s="443">
        <v>1.494992E-2</v>
      </c>
      <c r="F160" s="20" t="s">
        <v>1251</v>
      </c>
    </row>
    <row r="161" spans="1:6" s="98" customFormat="1" ht="15" customHeight="1" x14ac:dyDescent="0.25">
      <c r="A161" s="75"/>
      <c r="B161" s="79"/>
      <c r="C161" s="79" t="s">
        <v>1250</v>
      </c>
      <c r="D161" s="78" t="s">
        <v>1315</v>
      </c>
      <c r="E161" s="443">
        <v>1.548385E-2</v>
      </c>
      <c r="F161" s="20" t="s">
        <v>1251</v>
      </c>
    </row>
    <row r="162" spans="1:6" s="98" customFormat="1" ht="15" customHeight="1" x14ac:dyDescent="0.25">
      <c r="A162" s="75"/>
      <c r="B162" s="79"/>
      <c r="C162" s="79" t="s">
        <v>1250</v>
      </c>
      <c r="D162" s="78" t="s">
        <v>1316</v>
      </c>
      <c r="E162" s="443">
        <v>1.6017779999999999E-2</v>
      </c>
      <c r="F162" s="20" t="s">
        <v>1251</v>
      </c>
    </row>
    <row r="163" spans="1:6" s="98" customFormat="1" ht="15" customHeight="1" x14ac:dyDescent="0.25">
      <c r="A163" s="75"/>
      <c r="B163" s="79"/>
      <c r="C163" s="79" t="s">
        <v>1250</v>
      </c>
      <c r="D163" s="78" t="s">
        <v>1317</v>
      </c>
      <c r="E163" s="443">
        <v>1.6551699999999999E-2</v>
      </c>
      <c r="F163" s="20" t="s">
        <v>1251</v>
      </c>
    </row>
    <row r="164" spans="1:6" s="98" customFormat="1" ht="15" customHeight="1" x14ac:dyDescent="0.25">
      <c r="A164" s="75"/>
      <c r="B164" s="79"/>
      <c r="C164" s="79" t="s">
        <v>1250</v>
      </c>
      <c r="D164" s="78" t="s">
        <v>1318</v>
      </c>
      <c r="E164" s="443">
        <v>1.7085629999999997E-2</v>
      </c>
      <c r="F164" s="20" t="s">
        <v>1251</v>
      </c>
    </row>
    <row r="165" spans="1:6" s="98" customFormat="1" ht="15" customHeight="1" x14ac:dyDescent="0.25">
      <c r="A165" s="75"/>
      <c r="B165" s="79"/>
      <c r="C165" s="79" t="s">
        <v>1250</v>
      </c>
      <c r="D165" s="78" t="s">
        <v>1319</v>
      </c>
      <c r="E165" s="443">
        <v>1.7619550000000001E-2</v>
      </c>
      <c r="F165" s="20" t="s">
        <v>1251</v>
      </c>
    </row>
    <row r="166" spans="1:6" s="98" customFormat="1" ht="15" customHeight="1" x14ac:dyDescent="0.25">
      <c r="A166" s="75"/>
      <c r="B166" s="79"/>
      <c r="C166" s="79" t="s">
        <v>1250</v>
      </c>
      <c r="D166" s="78" t="s">
        <v>1320</v>
      </c>
      <c r="E166" s="443">
        <v>1.815348E-2</v>
      </c>
      <c r="F166" s="20" t="s">
        <v>1251</v>
      </c>
    </row>
    <row r="167" spans="1:6" s="98" customFormat="1" ht="15" customHeight="1" x14ac:dyDescent="0.25">
      <c r="A167" s="75"/>
      <c r="B167" s="79"/>
      <c r="C167" s="79" t="s">
        <v>1250</v>
      </c>
      <c r="D167" s="78" t="s">
        <v>1321</v>
      </c>
      <c r="E167" s="443">
        <v>1.8687410000000002E-2</v>
      </c>
      <c r="F167" s="20" t="s">
        <v>1251</v>
      </c>
    </row>
    <row r="168" spans="1:6" s="98" customFormat="1" ht="15" customHeight="1" x14ac:dyDescent="0.25">
      <c r="A168" s="75"/>
      <c r="B168" s="79"/>
      <c r="C168" s="79" t="s">
        <v>1250</v>
      </c>
      <c r="D168" s="78" t="s">
        <v>1322</v>
      </c>
      <c r="E168" s="443">
        <v>1.9221329999999998E-2</v>
      </c>
      <c r="F168" s="20" t="s">
        <v>1251</v>
      </c>
    </row>
    <row r="169" spans="1:6" s="98" customFormat="1" ht="15" customHeight="1" x14ac:dyDescent="0.25">
      <c r="A169" s="75"/>
      <c r="B169" s="79"/>
      <c r="C169" s="79" t="s">
        <v>1250</v>
      </c>
      <c r="D169" s="78" t="s">
        <v>1323</v>
      </c>
      <c r="E169" s="443">
        <v>1.975526E-2</v>
      </c>
      <c r="F169" s="20" t="s">
        <v>1251</v>
      </c>
    </row>
    <row r="170" spans="1:6" s="98" customFormat="1" ht="15" customHeight="1" x14ac:dyDescent="0.25">
      <c r="A170" s="75"/>
      <c r="B170" s="79"/>
      <c r="C170" s="79" t="s">
        <v>1250</v>
      </c>
      <c r="D170" s="78" t="s">
        <v>1324</v>
      </c>
      <c r="E170" s="443">
        <v>2.028918E-2</v>
      </c>
      <c r="F170" s="20" t="s">
        <v>1251</v>
      </c>
    </row>
    <row r="171" spans="1:6" s="98" customFormat="1" ht="15" customHeight="1" x14ac:dyDescent="0.25">
      <c r="A171" s="75"/>
      <c r="B171" s="79"/>
      <c r="C171" s="79" t="s">
        <v>1250</v>
      </c>
      <c r="D171" s="78" t="s">
        <v>1325</v>
      </c>
      <c r="E171" s="443">
        <v>2.0823109999999999E-2</v>
      </c>
      <c r="F171" s="20" t="s">
        <v>1251</v>
      </c>
    </row>
    <row r="172" spans="1:6" s="98" customFormat="1" ht="15" customHeight="1" x14ac:dyDescent="0.25">
      <c r="A172" s="75"/>
      <c r="B172" s="79" t="str">
        <f>IF(UPPER($G$42)="CURVA", "","Select Line")</f>
        <v/>
      </c>
      <c r="C172" s="79" t="str">
        <f>IF(UPPER($G$42)="CURVA","Select Stiffness_Teste",_xlfn.CONCAT("Select ",E$82))</f>
        <v>Select Stiffness_Teste</v>
      </c>
      <c r="D172" s="78" t="str">
        <f>IF(UPPER($G$42)="CURVA","NumberOfRows =","EIx=")</f>
        <v>NumberOfRows =</v>
      </c>
      <c r="E172" s="419">
        <f>IF(UPPER($G$42)="CURVA", H35, Values!$C$20)</f>
        <v>40</v>
      </c>
      <c r="F172" s="20"/>
    </row>
    <row r="173" spans="1:6" s="98" customFormat="1" ht="15" customHeight="1" x14ac:dyDescent="0.25">
      <c r="A173" s="75"/>
      <c r="B173" s="79"/>
      <c r="C173" s="79" t="s">
        <v>1326</v>
      </c>
      <c r="D173" s="78" t="s">
        <v>541</v>
      </c>
      <c r="E173" s="443">
        <v>2.9382280000000001E-4</v>
      </c>
      <c r="F173" s="20" t="s">
        <v>1251</v>
      </c>
    </row>
    <row r="174" spans="1:6" s="98" customFormat="1" ht="15" customHeight="1" x14ac:dyDescent="0.25">
      <c r="A174" s="75"/>
      <c r="B174" s="79"/>
      <c r="C174" s="79" t="s">
        <v>1326</v>
      </c>
      <c r="D174" s="78" t="s">
        <v>542</v>
      </c>
      <c r="E174" s="443">
        <v>5.8764549999999998E-4</v>
      </c>
      <c r="F174" s="20" t="s">
        <v>1251</v>
      </c>
    </row>
    <row r="175" spans="1:6" s="98" customFormat="1" ht="15" customHeight="1" x14ac:dyDescent="0.25">
      <c r="A175" s="75"/>
      <c r="B175" s="79"/>
      <c r="C175" s="79" t="s">
        <v>1326</v>
      </c>
      <c r="D175" s="78" t="s">
        <v>1252</v>
      </c>
      <c r="E175" s="443">
        <v>8.8146830000000005E-4</v>
      </c>
      <c r="F175" s="20" t="s">
        <v>1251</v>
      </c>
    </row>
    <row r="176" spans="1:6" s="98" customFormat="1" ht="15" customHeight="1" x14ac:dyDescent="0.25">
      <c r="A176" s="75"/>
      <c r="B176" s="79"/>
      <c r="C176" s="79" t="s">
        <v>1326</v>
      </c>
      <c r="D176" s="78" t="s">
        <v>1253</v>
      </c>
      <c r="E176" s="443">
        <v>1.175291E-3</v>
      </c>
      <c r="F176" s="20" t="s">
        <v>1251</v>
      </c>
    </row>
    <row r="177" spans="1:6" s="98" customFormat="1" ht="15" customHeight="1" x14ac:dyDescent="0.25">
      <c r="A177" s="75"/>
      <c r="B177" s="79"/>
      <c r="C177" s="79" t="s">
        <v>1326</v>
      </c>
      <c r="D177" s="78" t="s">
        <v>1254</v>
      </c>
      <c r="E177" s="443">
        <v>1.4691140000000001E-3</v>
      </c>
      <c r="F177" s="20" t="s">
        <v>1251</v>
      </c>
    </row>
    <row r="178" spans="1:6" s="98" customFormat="1" ht="15" customHeight="1" x14ac:dyDescent="0.25">
      <c r="A178" s="75"/>
      <c r="B178" s="79"/>
      <c r="C178" s="79" t="s">
        <v>1326</v>
      </c>
      <c r="D178" s="78" t="s">
        <v>1255</v>
      </c>
      <c r="E178" s="443">
        <v>1.762937E-3</v>
      </c>
      <c r="F178" s="20" t="s">
        <v>1251</v>
      </c>
    </row>
    <row r="179" spans="1:6" s="98" customFormat="1" ht="15" customHeight="1" x14ac:dyDescent="0.25">
      <c r="A179" s="75"/>
      <c r="B179" s="79"/>
      <c r="C179" s="79" t="s">
        <v>1326</v>
      </c>
      <c r="D179" s="78" t="s">
        <v>1256</v>
      </c>
      <c r="E179" s="443">
        <v>2.056759E-3</v>
      </c>
      <c r="F179" s="20" t="s">
        <v>1251</v>
      </c>
    </row>
    <row r="180" spans="1:6" s="98" customFormat="1" ht="15" customHeight="1" x14ac:dyDescent="0.25">
      <c r="A180" s="75"/>
      <c r="B180" s="79"/>
      <c r="C180" s="79" t="s">
        <v>1326</v>
      </c>
      <c r="D180" s="78" t="s">
        <v>1257</v>
      </c>
      <c r="E180" s="443">
        <v>2.3505819999999999E-3</v>
      </c>
      <c r="F180" s="20" t="s">
        <v>1251</v>
      </c>
    </row>
    <row r="181" spans="1:6" s="98" customFormat="1" ht="15" customHeight="1" x14ac:dyDescent="0.25">
      <c r="A181" s="75"/>
      <c r="B181" s="79"/>
      <c r="C181" s="79" t="s">
        <v>1326</v>
      </c>
      <c r="D181" s="78" t="s">
        <v>1258</v>
      </c>
      <c r="E181" s="443">
        <v>2.6444049999999998E-3</v>
      </c>
      <c r="F181" s="20" t="s">
        <v>1251</v>
      </c>
    </row>
    <row r="182" spans="1:6" s="98" customFormat="1" ht="15" customHeight="1" x14ac:dyDescent="0.25">
      <c r="A182" s="75"/>
      <c r="B182" s="79"/>
      <c r="C182" s="79" t="s">
        <v>1326</v>
      </c>
      <c r="D182" s="78" t="s">
        <v>1259</v>
      </c>
      <c r="E182" s="443">
        <v>2.9382280000000002E-3</v>
      </c>
      <c r="F182" s="20" t="s">
        <v>1251</v>
      </c>
    </row>
    <row r="183" spans="1:6" s="98" customFormat="1" ht="15" customHeight="1" x14ac:dyDescent="0.25">
      <c r="A183" s="75"/>
      <c r="B183" s="79"/>
      <c r="C183" s="79" t="s">
        <v>1326</v>
      </c>
      <c r="D183" s="78" t="s">
        <v>1260</v>
      </c>
      <c r="E183" s="443">
        <v>3.2320500000000002E-3</v>
      </c>
      <c r="F183" s="20" t="s">
        <v>1251</v>
      </c>
    </row>
    <row r="184" spans="1:6" s="98" customFormat="1" ht="15" customHeight="1" x14ac:dyDescent="0.25">
      <c r="A184" s="75"/>
      <c r="B184" s="79"/>
      <c r="C184" s="79" t="s">
        <v>1326</v>
      </c>
      <c r="D184" s="78" t="s">
        <v>1261</v>
      </c>
      <c r="E184" s="443">
        <v>3.5258730000000001E-3</v>
      </c>
      <c r="F184" s="20" t="s">
        <v>1251</v>
      </c>
    </row>
    <row r="185" spans="1:6" s="98" customFormat="1" ht="15" customHeight="1" x14ac:dyDescent="0.25">
      <c r="A185" s="75"/>
      <c r="B185" s="79"/>
      <c r="C185" s="79" t="s">
        <v>1326</v>
      </c>
      <c r="D185" s="78" t="s">
        <v>1262</v>
      </c>
      <c r="E185" s="443">
        <v>3.819696E-3</v>
      </c>
      <c r="F185" s="20" t="s">
        <v>1251</v>
      </c>
    </row>
    <row r="186" spans="1:6" s="98" customFormat="1" ht="15" customHeight="1" x14ac:dyDescent="0.25">
      <c r="A186" s="75"/>
      <c r="B186" s="79"/>
      <c r="C186" s="79" t="s">
        <v>1326</v>
      </c>
      <c r="D186" s="78" t="s">
        <v>1263</v>
      </c>
      <c r="E186" s="443">
        <v>4.1135190000000004E-3</v>
      </c>
      <c r="F186" s="20" t="s">
        <v>1251</v>
      </c>
    </row>
    <row r="187" spans="1:6" s="98" customFormat="1" ht="15" customHeight="1" x14ac:dyDescent="0.25">
      <c r="A187" s="75"/>
      <c r="B187" s="79"/>
      <c r="C187" s="79" t="s">
        <v>1326</v>
      </c>
      <c r="D187" s="78" t="s">
        <v>1264</v>
      </c>
      <c r="E187" s="443">
        <v>4.4073410000000004E-3</v>
      </c>
      <c r="F187" s="20" t="s">
        <v>1251</v>
      </c>
    </row>
    <row r="188" spans="1:6" s="98" customFormat="1" ht="15" customHeight="1" x14ac:dyDescent="0.25">
      <c r="A188" s="75"/>
      <c r="B188" s="79"/>
      <c r="C188" s="79" t="s">
        <v>1326</v>
      </c>
      <c r="D188" s="78" t="s">
        <v>1265</v>
      </c>
      <c r="E188" s="443">
        <v>4.7011639999999999E-3</v>
      </c>
      <c r="F188" s="20" t="s">
        <v>1251</v>
      </c>
    </row>
    <row r="189" spans="1:6" s="98" customFormat="1" ht="15" customHeight="1" x14ac:dyDescent="0.25">
      <c r="A189" s="75"/>
      <c r="B189" s="79"/>
      <c r="C189" s="79" t="s">
        <v>1326</v>
      </c>
      <c r="D189" s="78" t="s">
        <v>1266</v>
      </c>
      <c r="E189" s="443">
        <v>4.9949870000000002E-3</v>
      </c>
      <c r="F189" s="20" t="s">
        <v>1251</v>
      </c>
    </row>
    <row r="190" spans="1:6" s="98" customFormat="1" ht="15" customHeight="1" x14ac:dyDescent="0.25">
      <c r="A190" s="75"/>
      <c r="B190" s="79"/>
      <c r="C190" s="79" t="s">
        <v>1326</v>
      </c>
      <c r="D190" s="78" t="s">
        <v>1267</v>
      </c>
      <c r="E190" s="443">
        <v>5.2888099999999997E-3</v>
      </c>
      <c r="F190" s="20" t="s">
        <v>1251</v>
      </c>
    </row>
    <row r="191" spans="1:6" s="98" customFormat="1" ht="15" customHeight="1" x14ac:dyDescent="0.25">
      <c r="A191" s="75"/>
      <c r="B191" s="79"/>
      <c r="C191" s="79" t="s">
        <v>1326</v>
      </c>
      <c r="D191" s="78" t="s">
        <v>1268</v>
      </c>
      <c r="E191" s="443">
        <v>5.5826319999999997E-3</v>
      </c>
      <c r="F191" s="20" t="s">
        <v>1251</v>
      </c>
    </row>
    <row r="192" spans="1:6" s="98" customFormat="1" ht="15" customHeight="1" x14ac:dyDescent="0.25">
      <c r="A192" s="75"/>
      <c r="B192" s="79"/>
      <c r="C192" s="79" t="s">
        <v>1326</v>
      </c>
      <c r="D192" s="78" t="s">
        <v>1269</v>
      </c>
      <c r="E192" s="443">
        <v>5.876455E-3</v>
      </c>
      <c r="F192" s="20" t="s">
        <v>1251</v>
      </c>
    </row>
    <row r="193" spans="1:6" s="98" customFormat="1" ht="15" customHeight="1" x14ac:dyDescent="0.25">
      <c r="A193" s="75"/>
      <c r="B193" s="79"/>
      <c r="C193" s="79" t="s">
        <v>1326</v>
      </c>
      <c r="D193" s="78" t="s">
        <v>1270</v>
      </c>
      <c r="E193" s="443">
        <v>6.1702780000000004E-3</v>
      </c>
      <c r="F193" s="20" t="s">
        <v>1251</v>
      </c>
    </row>
    <row r="194" spans="1:6" s="98" customFormat="1" ht="15" customHeight="1" x14ac:dyDescent="0.25">
      <c r="A194" s="75"/>
      <c r="B194" s="79"/>
      <c r="C194" s="79" t="s">
        <v>1326</v>
      </c>
      <c r="D194" s="78" t="s">
        <v>1271</v>
      </c>
      <c r="E194" s="443">
        <v>6.4641009999999999E-3</v>
      </c>
      <c r="F194" s="20" t="s">
        <v>1251</v>
      </c>
    </row>
    <row r="195" spans="1:6" s="98" customFormat="1" ht="15" customHeight="1" x14ac:dyDescent="0.25">
      <c r="A195" s="75"/>
      <c r="B195" s="79"/>
      <c r="C195" s="79" t="s">
        <v>1326</v>
      </c>
      <c r="D195" s="78" t="s">
        <v>1272</v>
      </c>
      <c r="E195" s="443">
        <v>6.7579229999999999E-3</v>
      </c>
      <c r="F195" s="20" t="s">
        <v>1251</v>
      </c>
    </row>
    <row r="196" spans="1:6" s="98" customFormat="1" ht="15" customHeight="1" x14ac:dyDescent="0.25">
      <c r="A196" s="75"/>
      <c r="B196" s="79"/>
      <c r="C196" s="79" t="s">
        <v>1326</v>
      </c>
      <c r="D196" s="78" t="s">
        <v>1273</v>
      </c>
      <c r="E196" s="443">
        <v>7.0517460000000002E-3</v>
      </c>
      <c r="F196" s="20" t="s">
        <v>1251</v>
      </c>
    </row>
    <row r="197" spans="1:6" s="98" customFormat="1" ht="15" customHeight="1" x14ac:dyDescent="0.25">
      <c r="A197" s="75"/>
      <c r="B197" s="79"/>
      <c r="C197" s="79" t="s">
        <v>1326</v>
      </c>
      <c r="D197" s="78" t="s">
        <v>1274</v>
      </c>
      <c r="E197" s="443">
        <v>7.3455689999999997E-3</v>
      </c>
      <c r="F197" s="20" t="s">
        <v>1251</v>
      </c>
    </row>
    <row r="198" spans="1:6" s="98" customFormat="1" ht="15" customHeight="1" x14ac:dyDescent="0.25">
      <c r="A198" s="75"/>
      <c r="B198" s="79"/>
      <c r="C198" s="79" t="s">
        <v>1326</v>
      </c>
      <c r="D198" s="78" t="s">
        <v>1275</v>
      </c>
      <c r="E198" s="443">
        <v>7.6393920000000001E-3</v>
      </c>
      <c r="F198" s="20" t="s">
        <v>1251</v>
      </c>
    </row>
    <row r="199" spans="1:6" s="98" customFormat="1" ht="15" customHeight="1" x14ac:dyDescent="0.25">
      <c r="A199" s="75"/>
      <c r="B199" s="79"/>
      <c r="C199" s="79" t="s">
        <v>1326</v>
      </c>
      <c r="D199" s="78" t="s">
        <v>1276</v>
      </c>
      <c r="E199" s="443">
        <v>7.9332139999999992E-3</v>
      </c>
      <c r="F199" s="20" t="s">
        <v>1251</v>
      </c>
    </row>
    <row r="200" spans="1:6" s="98" customFormat="1" ht="15" customHeight="1" x14ac:dyDescent="0.25">
      <c r="A200" s="75"/>
      <c r="B200" s="79"/>
      <c r="C200" s="79" t="s">
        <v>1326</v>
      </c>
      <c r="D200" s="78" t="s">
        <v>1277</v>
      </c>
      <c r="E200" s="443">
        <v>8.2270369999999995E-3</v>
      </c>
      <c r="F200" s="20" t="s">
        <v>1251</v>
      </c>
    </row>
    <row r="201" spans="1:6" s="98" customFormat="1" ht="15" customHeight="1" x14ac:dyDescent="0.25">
      <c r="A201" s="75"/>
      <c r="B201" s="79"/>
      <c r="C201" s="79" t="s">
        <v>1326</v>
      </c>
      <c r="D201" s="78" t="s">
        <v>1278</v>
      </c>
      <c r="E201" s="443">
        <v>8.5208599999999999E-3</v>
      </c>
      <c r="F201" s="20" t="s">
        <v>1251</v>
      </c>
    </row>
    <row r="202" spans="1:6" s="98" customFormat="1" ht="15" customHeight="1" x14ac:dyDescent="0.25">
      <c r="A202" s="75"/>
      <c r="B202" s="79"/>
      <c r="C202" s="79" t="s">
        <v>1326</v>
      </c>
      <c r="D202" s="78" t="s">
        <v>1279</v>
      </c>
      <c r="E202" s="443">
        <v>1.224766E-2</v>
      </c>
      <c r="F202" s="20" t="s">
        <v>1251</v>
      </c>
    </row>
    <row r="203" spans="1:6" s="98" customFormat="1" ht="15" customHeight="1" x14ac:dyDescent="0.25">
      <c r="A203" s="75"/>
      <c r="B203" s="79"/>
      <c r="C203" s="79" t="s">
        <v>1326</v>
      </c>
      <c r="D203" s="78" t="s">
        <v>1280</v>
      </c>
      <c r="E203" s="443">
        <v>9.8072039999999999E-2</v>
      </c>
      <c r="F203" s="20" t="s">
        <v>1251</v>
      </c>
    </row>
    <row r="204" spans="1:6" s="98" customFormat="1" ht="15" customHeight="1" x14ac:dyDescent="0.25">
      <c r="A204" s="75"/>
      <c r="B204" s="79"/>
      <c r="C204" s="79" t="s">
        <v>1326</v>
      </c>
      <c r="D204" s="78" t="s">
        <v>1281</v>
      </c>
      <c r="E204" s="443">
        <v>0.18389639999999999</v>
      </c>
      <c r="F204" s="20" t="s">
        <v>1251</v>
      </c>
    </row>
    <row r="205" spans="1:6" s="98" customFormat="1" ht="15" customHeight="1" x14ac:dyDescent="0.25">
      <c r="A205" s="75"/>
      <c r="B205" s="79"/>
      <c r="C205" s="79" t="s">
        <v>1326</v>
      </c>
      <c r="D205" s="78" t="s">
        <v>1282</v>
      </c>
      <c r="E205" s="443">
        <v>0.26972079999999998</v>
      </c>
      <c r="F205" s="20" t="s">
        <v>1251</v>
      </c>
    </row>
    <row r="206" spans="1:6" s="98" customFormat="1" ht="15" customHeight="1" x14ac:dyDescent="0.25">
      <c r="A206" s="75"/>
      <c r="B206" s="79"/>
      <c r="C206" s="79" t="s">
        <v>1326</v>
      </c>
      <c r="D206" s="78" t="s">
        <v>1283</v>
      </c>
      <c r="E206" s="443">
        <v>0.35554520000000001</v>
      </c>
      <c r="F206" s="20" t="s">
        <v>1251</v>
      </c>
    </row>
    <row r="207" spans="1:6" s="98" customFormat="1" ht="15" customHeight="1" x14ac:dyDescent="0.25">
      <c r="A207" s="75"/>
      <c r="B207" s="79"/>
      <c r="C207" s="79" t="s">
        <v>1326</v>
      </c>
      <c r="D207" s="78" t="s">
        <v>1284</v>
      </c>
      <c r="E207" s="443">
        <v>0.44136959999999997</v>
      </c>
      <c r="F207" s="20" t="s">
        <v>1251</v>
      </c>
    </row>
    <row r="208" spans="1:6" s="98" customFormat="1" ht="15" customHeight="1" x14ac:dyDescent="0.25">
      <c r="A208" s="75"/>
      <c r="B208" s="79"/>
      <c r="C208" s="79" t="s">
        <v>1326</v>
      </c>
      <c r="D208" s="78" t="s">
        <v>1285</v>
      </c>
      <c r="E208" s="443">
        <v>0.52719389999999999</v>
      </c>
      <c r="F208" s="20" t="s">
        <v>1251</v>
      </c>
    </row>
    <row r="209" spans="1:6" s="98" customFormat="1" ht="15" customHeight="1" x14ac:dyDescent="0.25">
      <c r="A209" s="75"/>
      <c r="B209" s="79"/>
      <c r="C209" s="79" t="s">
        <v>1326</v>
      </c>
      <c r="D209" s="78" t="s">
        <v>1286</v>
      </c>
      <c r="E209" s="443">
        <v>0.61301830000000002</v>
      </c>
      <c r="F209" s="20" t="s">
        <v>1251</v>
      </c>
    </row>
    <row r="210" spans="1:6" s="98" customFormat="1" ht="15" customHeight="1" x14ac:dyDescent="0.25">
      <c r="A210" s="75"/>
      <c r="B210" s="79"/>
      <c r="C210" s="79" t="s">
        <v>1326</v>
      </c>
      <c r="D210" s="78" t="s">
        <v>1287</v>
      </c>
      <c r="E210" s="443">
        <v>0.69884270000000004</v>
      </c>
      <c r="F210" s="20" t="s">
        <v>1251</v>
      </c>
    </row>
    <row r="211" spans="1:6" s="98" customFormat="1" ht="15" customHeight="1" x14ac:dyDescent="0.25">
      <c r="A211" s="75"/>
      <c r="B211" s="79"/>
      <c r="C211" s="79" t="s">
        <v>1326</v>
      </c>
      <c r="D211" s="78" t="s">
        <v>1288</v>
      </c>
      <c r="E211" s="443">
        <v>0.78466709999999995</v>
      </c>
      <c r="F211" s="20" t="s">
        <v>1251</v>
      </c>
    </row>
    <row r="212" spans="1:6" s="98" customFormat="1" ht="15" customHeight="1" x14ac:dyDescent="0.25">
      <c r="A212" s="75"/>
      <c r="B212" s="79"/>
      <c r="C212" s="79" t="s">
        <v>1326</v>
      </c>
      <c r="D212" s="78" t="s">
        <v>543</v>
      </c>
      <c r="E212" s="443">
        <v>4.6397019999999998E-4</v>
      </c>
      <c r="F212" s="20" t="s">
        <v>1251</v>
      </c>
    </row>
    <row r="213" spans="1:6" s="98" customFormat="1" ht="15" customHeight="1" x14ac:dyDescent="0.25">
      <c r="A213" s="75"/>
      <c r="B213" s="79"/>
      <c r="C213" s="79" t="s">
        <v>1326</v>
      </c>
      <c r="D213" s="78" t="s">
        <v>544</v>
      </c>
      <c r="E213" s="443">
        <v>7.3087199999999992E-4</v>
      </c>
      <c r="F213" s="20" t="s">
        <v>1251</v>
      </c>
    </row>
    <row r="214" spans="1:6" s="98" customFormat="1" ht="15" customHeight="1" x14ac:dyDescent="0.25">
      <c r="A214" s="75"/>
      <c r="B214" s="79"/>
      <c r="C214" s="79" t="s">
        <v>1326</v>
      </c>
      <c r="D214" s="78" t="s">
        <v>1289</v>
      </c>
      <c r="E214" s="443">
        <v>9.9777390000000007E-4</v>
      </c>
      <c r="F214" s="20" t="s">
        <v>1251</v>
      </c>
    </row>
    <row r="215" spans="1:6" s="98" customFormat="1" ht="15" customHeight="1" x14ac:dyDescent="0.25">
      <c r="A215" s="75"/>
      <c r="B215" s="79"/>
      <c r="C215" s="79" t="s">
        <v>1326</v>
      </c>
      <c r="D215" s="78" t="s">
        <v>1290</v>
      </c>
      <c r="E215" s="443">
        <v>1.2374249999999999E-3</v>
      </c>
      <c r="F215" s="20" t="s">
        <v>1251</v>
      </c>
    </row>
    <row r="216" spans="1:6" s="98" customFormat="1" ht="15" customHeight="1" x14ac:dyDescent="0.25">
      <c r="A216" s="75"/>
      <c r="B216" s="79"/>
      <c r="C216" s="79" t="s">
        <v>1326</v>
      </c>
      <c r="D216" s="78" t="s">
        <v>1291</v>
      </c>
      <c r="E216" s="443">
        <v>1.4033709999999998E-3</v>
      </c>
      <c r="F216" s="20" t="s">
        <v>1251</v>
      </c>
    </row>
    <row r="217" spans="1:6" s="98" customFormat="1" ht="15" customHeight="1" x14ac:dyDescent="0.25">
      <c r="A217" s="75"/>
      <c r="B217" s="79"/>
      <c r="C217" s="79" t="s">
        <v>1326</v>
      </c>
      <c r="D217" s="78" t="s">
        <v>1292</v>
      </c>
      <c r="E217" s="443">
        <v>1.5496520000000001E-3</v>
      </c>
      <c r="F217" s="20" t="s">
        <v>1251</v>
      </c>
    </row>
    <row r="218" spans="1:6" s="98" customFormat="1" ht="15" customHeight="1" x14ac:dyDescent="0.25">
      <c r="A218" s="75"/>
      <c r="B218" s="79"/>
      <c r="C218" s="79" t="s">
        <v>1326</v>
      </c>
      <c r="D218" s="78" t="s">
        <v>1293</v>
      </c>
      <c r="E218" s="443">
        <v>1.688101E-3</v>
      </c>
      <c r="F218" s="20" t="s">
        <v>1251</v>
      </c>
    </row>
    <row r="219" spans="1:6" s="98" customFormat="1" ht="15" customHeight="1" x14ac:dyDescent="0.25">
      <c r="A219" s="75"/>
      <c r="B219" s="79"/>
      <c r="C219" s="79" t="s">
        <v>1326</v>
      </c>
      <c r="D219" s="78" t="s">
        <v>1294</v>
      </c>
      <c r="E219" s="443">
        <v>1.8226749999999999E-3</v>
      </c>
      <c r="F219" s="20" t="s">
        <v>1251</v>
      </c>
    </row>
    <row r="220" spans="1:6" s="98" customFormat="1" ht="15" customHeight="1" x14ac:dyDescent="0.25">
      <c r="A220" s="75"/>
      <c r="B220" s="79"/>
      <c r="C220" s="79" t="s">
        <v>1326</v>
      </c>
      <c r="D220" s="78" t="s">
        <v>1295</v>
      </c>
      <c r="E220" s="443">
        <v>1.9550879999999998E-3</v>
      </c>
      <c r="F220" s="20" t="s">
        <v>1251</v>
      </c>
    </row>
    <row r="221" spans="1:6" s="98" customFormat="1" ht="15" customHeight="1" x14ac:dyDescent="0.25">
      <c r="A221" s="75"/>
      <c r="B221" s="79"/>
      <c r="C221" s="79" t="s">
        <v>1326</v>
      </c>
      <c r="D221" s="78" t="s">
        <v>1296</v>
      </c>
      <c r="E221" s="443">
        <v>2.086194E-3</v>
      </c>
      <c r="F221" s="20" t="s">
        <v>1251</v>
      </c>
    </row>
    <row r="222" spans="1:6" s="98" customFormat="1" ht="15" customHeight="1" x14ac:dyDescent="0.25">
      <c r="A222" s="75"/>
      <c r="B222" s="79"/>
      <c r="C222" s="79" t="s">
        <v>1326</v>
      </c>
      <c r="D222" s="78" t="s">
        <v>1297</v>
      </c>
      <c r="E222" s="443">
        <v>2.1733680000000002E-3</v>
      </c>
      <c r="F222" s="20" t="s">
        <v>1251</v>
      </c>
    </row>
    <row r="223" spans="1:6" s="98" customFormat="1" ht="15" customHeight="1" x14ac:dyDescent="0.25">
      <c r="A223" s="75"/>
      <c r="B223" s="79"/>
      <c r="C223" s="79" t="s">
        <v>1326</v>
      </c>
      <c r="D223" s="78" t="s">
        <v>1298</v>
      </c>
      <c r="E223" s="443">
        <v>2.2308460000000003E-3</v>
      </c>
      <c r="F223" s="20" t="s">
        <v>1251</v>
      </c>
    </row>
    <row r="224" spans="1:6" s="98" customFormat="1" ht="15" customHeight="1" x14ac:dyDescent="0.25">
      <c r="A224" s="75"/>
      <c r="B224" s="79"/>
      <c r="C224" s="79" t="s">
        <v>1326</v>
      </c>
      <c r="D224" s="78" t="s">
        <v>1299</v>
      </c>
      <c r="E224" s="443">
        <v>2.2740160000000002E-3</v>
      </c>
      <c r="F224" s="20" t="s">
        <v>1251</v>
      </c>
    </row>
    <row r="225" spans="1:6" s="98" customFormat="1" ht="15" customHeight="1" x14ac:dyDescent="0.25">
      <c r="A225" s="75"/>
      <c r="B225" s="79"/>
      <c r="C225" s="79" t="s">
        <v>1326</v>
      </c>
      <c r="D225" s="78" t="s">
        <v>1300</v>
      </c>
      <c r="E225" s="443">
        <v>2.3082989999999998E-3</v>
      </c>
      <c r="F225" s="20" t="s">
        <v>1251</v>
      </c>
    </row>
    <row r="226" spans="1:6" s="98" customFormat="1" ht="15" customHeight="1" x14ac:dyDescent="0.25">
      <c r="A226" s="75"/>
      <c r="B226" s="79"/>
      <c r="C226" s="79" t="s">
        <v>1326</v>
      </c>
      <c r="D226" s="78" t="s">
        <v>1301</v>
      </c>
      <c r="E226" s="443">
        <v>2.3365700000000001E-3</v>
      </c>
      <c r="F226" s="20" t="s">
        <v>1251</v>
      </c>
    </row>
    <row r="227" spans="1:6" s="98" customFormat="1" ht="15" customHeight="1" x14ac:dyDescent="0.25">
      <c r="A227" s="75"/>
      <c r="B227" s="79"/>
      <c r="C227" s="79" t="s">
        <v>1326</v>
      </c>
      <c r="D227" s="78" t="s">
        <v>1302</v>
      </c>
      <c r="E227" s="443">
        <v>2.3605619999999996E-3</v>
      </c>
      <c r="F227" s="20" t="s">
        <v>1251</v>
      </c>
    </row>
    <row r="228" spans="1:6" s="98" customFormat="1" ht="15" customHeight="1" x14ac:dyDescent="0.25">
      <c r="A228" s="75"/>
      <c r="B228" s="79"/>
      <c r="C228" s="79" t="s">
        <v>1326</v>
      </c>
      <c r="D228" s="78" t="s">
        <v>1303</v>
      </c>
      <c r="E228" s="443">
        <v>2.381401E-3</v>
      </c>
      <c r="F228" s="20" t="s">
        <v>1251</v>
      </c>
    </row>
    <row r="229" spans="1:6" s="98" customFormat="1" ht="15" customHeight="1" x14ac:dyDescent="0.25">
      <c r="A229" s="75"/>
      <c r="B229" s="79"/>
      <c r="C229" s="79" t="s">
        <v>1326</v>
      </c>
      <c r="D229" s="78" t="s">
        <v>1304</v>
      </c>
      <c r="E229" s="443">
        <v>2.3998520000000001E-3</v>
      </c>
      <c r="F229" s="20" t="s">
        <v>1251</v>
      </c>
    </row>
    <row r="230" spans="1:6" s="98" customFormat="1" ht="15" customHeight="1" x14ac:dyDescent="0.25">
      <c r="A230" s="75"/>
      <c r="B230" s="79"/>
      <c r="C230" s="79" t="s">
        <v>1326</v>
      </c>
      <c r="D230" s="78" t="s">
        <v>1305</v>
      </c>
      <c r="E230" s="443">
        <v>2.4164550000000001E-3</v>
      </c>
      <c r="F230" s="20" t="s">
        <v>1251</v>
      </c>
    </row>
    <row r="231" spans="1:6" s="98" customFormat="1" ht="15" customHeight="1" x14ac:dyDescent="0.25">
      <c r="A231" s="75"/>
      <c r="B231" s="79"/>
      <c r="C231" s="79" t="s">
        <v>1326</v>
      </c>
      <c r="D231" s="78" t="s">
        <v>1306</v>
      </c>
      <c r="E231" s="443">
        <v>2.4316019999999997E-3</v>
      </c>
      <c r="F231" s="20" t="s">
        <v>1251</v>
      </c>
    </row>
    <row r="232" spans="1:6" s="98" customFormat="1" ht="15" customHeight="1" x14ac:dyDescent="0.25">
      <c r="A232" s="75"/>
      <c r="B232" s="79"/>
      <c r="C232" s="79" t="s">
        <v>1326</v>
      </c>
      <c r="D232" s="78" t="s">
        <v>1307</v>
      </c>
      <c r="E232" s="443">
        <v>2.4455849999999997E-3</v>
      </c>
      <c r="F232" s="20" t="s">
        <v>1251</v>
      </c>
    </row>
    <row r="233" spans="1:6" s="98" customFormat="1" ht="15" customHeight="1" x14ac:dyDescent="0.25">
      <c r="A233" s="75"/>
      <c r="B233" s="79"/>
      <c r="C233" s="79" t="s">
        <v>1326</v>
      </c>
      <c r="D233" s="78" t="s">
        <v>1308</v>
      </c>
      <c r="E233" s="443">
        <v>2.4586260000000002E-3</v>
      </c>
      <c r="F233" s="20" t="s">
        <v>1251</v>
      </c>
    </row>
    <row r="234" spans="1:6" s="98" customFormat="1" ht="15" customHeight="1" x14ac:dyDescent="0.25">
      <c r="A234" s="75"/>
      <c r="B234" s="79"/>
      <c r="C234" s="79" t="s">
        <v>1326</v>
      </c>
      <c r="D234" s="78" t="s">
        <v>1309</v>
      </c>
      <c r="E234" s="443">
        <v>2.4708929999999996E-3</v>
      </c>
      <c r="F234" s="20" t="s">
        <v>1251</v>
      </c>
    </row>
    <row r="235" spans="1:6" s="98" customFormat="1" ht="15" customHeight="1" x14ac:dyDescent="0.25">
      <c r="A235" s="75"/>
      <c r="B235" s="79"/>
      <c r="C235" s="79" t="s">
        <v>1326</v>
      </c>
      <c r="D235" s="78" t="s">
        <v>1310</v>
      </c>
      <c r="E235" s="443">
        <v>2.4825200000000002E-3</v>
      </c>
      <c r="F235" s="20" t="s">
        <v>1251</v>
      </c>
    </row>
    <row r="236" spans="1:6" s="98" customFormat="1" ht="15" customHeight="1" x14ac:dyDescent="0.25">
      <c r="A236" s="75"/>
      <c r="B236" s="79"/>
      <c r="C236" s="79" t="s">
        <v>1326</v>
      </c>
      <c r="D236" s="78" t="s">
        <v>1311</v>
      </c>
      <c r="E236" s="443">
        <v>2.4936120000000001E-3</v>
      </c>
      <c r="F236" s="20" t="s">
        <v>1251</v>
      </c>
    </row>
    <row r="237" spans="1:6" s="98" customFormat="1" ht="15" customHeight="1" x14ac:dyDescent="0.25">
      <c r="A237" s="75"/>
      <c r="B237" s="79"/>
      <c r="C237" s="79" t="s">
        <v>1326</v>
      </c>
      <c r="D237" s="78" t="s">
        <v>1312</v>
      </c>
      <c r="E237" s="443">
        <v>2.5042529999999997E-3</v>
      </c>
      <c r="F237" s="20" t="s">
        <v>1251</v>
      </c>
    </row>
    <row r="238" spans="1:6" s="98" customFormat="1" ht="15" customHeight="1" x14ac:dyDescent="0.25">
      <c r="A238" s="75"/>
      <c r="B238" s="79"/>
      <c r="C238" s="79" t="s">
        <v>1326</v>
      </c>
      <c r="D238" s="78" t="s">
        <v>1313</v>
      </c>
      <c r="E238" s="443">
        <v>2.5145129999999999E-3</v>
      </c>
      <c r="F238" s="20" t="s">
        <v>1251</v>
      </c>
    </row>
    <row r="239" spans="1:6" s="98" customFormat="1" ht="15" customHeight="1" x14ac:dyDescent="0.25">
      <c r="A239" s="75"/>
      <c r="B239" s="79"/>
      <c r="C239" s="79" t="s">
        <v>1326</v>
      </c>
      <c r="D239" s="78" t="s">
        <v>1314</v>
      </c>
      <c r="E239" s="443">
        <v>2.5244450000000002E-3</v>
      </c>
      <c r="F239" s="20" t="s">
        <v>1251</v>
      </c>
    </row>
    <row r="240" spans="1:6" s="98" customFormat="1" ht="15" customHeight="1" x14ac:dyDescent="0.25">
      <c r="A240" s="75"/>
      <c r="B240" s="79"/>
      <c r="C240" s="79" t="s">
        <v>1326</v>
      </c>
      <c r="D240" s="78" t="s">
        <v>1315</v>
      </c>
      <c r="E240" s="443">
        <v>2.534096E-3</v>
      </c>
      <c r="F240" s="20" t="s">
        <v>1251</v>
      </c>
    </row>
    <row r="241" spans="1:6" s="98" customFormat="1" ht="15" customHeight="1" x14ac:dyDescent="0.25">
      <c r="A241" s="75"/>
      <c r="B241" s="79"/>
      <c r="C241" s="79" t="s">
        <v>1326</v>
      </c>
      <c r="D241" s="78" t="s">
        <v>1316</v>
      </c>
      <c r="E241" s="443">
        <v>2.6428390000000001E-3</v>
      </c>
      <c r="F241" s="20" t="s">
        <v>1251</v>
      </c>
    </row>
    <row r="242" spans="1:6" s="98" customFormat="1" ht="15" customHeight="1" x14ac:dyDescent="0.25">
      <c r="A242" s="75"/>
      <c r="B242" s="79"/>
      <c r="C242" s="79" t="s">
        <v>1326</v>
      </c>
      <c r="D242" s="78" t="s">
        <v>1317</v>
      </c>
      <c r="E242" s="443">
        <v>4.772203E-3</v>
      </c>
      <c r="F242" s="20" t="s">
        <v>1251</v>
      </c>
    </row>
    <row r="243" spans="1:6" s="98" customFormat="1" ht="15" customHeight="1" x14ac:dyDescent="0.25">
      <c r="A243" s="75"/>
      <c r="B243" s="79"/>
      <c r="C243" s="79" t="s">
        <v>1326</v>
      </c>
      <c r="D243" s="78" t="s">
        <v>1318</v>
      </c>
      <c r="E243" s="443">
        <v>6.8863680000000004E-3</v>
      </c>
      <c r="F243" s="20" t="s">
        <v>1251</v>
      </c>
    </row>
    <row r="244" spans="1:6" s="98" customFormat="1" ht="15" customHeight="1" x14ac:dyDescent="0.25">
      <c r="A244" s="75"/>
      <c r="B244" s="79"/>
      <c r="C244" s="79" t="s">
        <v>1326</v>
      </c>
      <c r="D244" s="78" t="s">
        <v>1319</v>
      </c>
      <c r="E244" s="443">
        <v>9.0003960000000008E-3</v>
      </c>
      <c r="F244" s="20" t="s">
        <v>1251</v>
      </c>
    </row>
    <row r="245" spans="1:6" s="98" customFormat="1" ht="15" customHeight="1" x14ac:dyDescent="0.25">
      <c r="A245" s="75"/>
      <c r="B245" s="79"/>
      <c r="C245" s="79" t="s">
        <v>1326</v>
      </c>
      <c r="D245" s="78" t="s">
        <v>1320</v>
      </c>
      <c r="E245" s="443">
        <v>1.11144E-2</v>
      </c>
      <c r="F245" s="20" t="s">
        <v>1251</v>
      </c>
    </row>
    <row r="246" spans="1:6" s="98" customFormat="1" ht="15" customHeight="1" x14ac:dyDescent="0.25">
      <c r="A246" s="75"/>
      <c r="B246" s="79"/>
      <c r="C246" s="79" t="s">
        <v>1326</v>
      </c>
      <c r="D246" s="78" t="s">
        <v>1321</v>
      </c>
      <c r="E246" s="443">
        <v>1.3228400000000001E-2</v>
      </c>
      <c r="F246" s="20" t="s">
        <v>1251</v>
      </c>
    </row>
    <row r="247" spans="1:6" s="98" customFormat="1" ht="15" customHeight="1" x14ac:dyDescent="0.25">
      <c r="A247" s="75"/>
      <c r="B247" s="79"/>
      <c r="C247" s="79" t="s">
        <v>1326</v>
      </c>
      <c r="D247" s="78" t="s">
        <v>1322</v>
      </c>
      <c r="E247" s="443">
        <v>1.5342389999999999E-2</v>
      </c>
      <c r="F247" s="20" t="s">
        <v>1251</v>
      </c>
    </row>
    <row r="248" spans="1:6" s="98" customFormat="1" ht="15" customHeight="1" x14ac:dyDescent="0.25">
      <c r="A248" s="75"/>
      <c r="B248" s="79"/>
      <c r="C248" s="79" t="s">
        <v>1326</v>
      </c>
      <c r="D248" s="78" t="s">
        <v>1323</v>
      </c>
      <c r="E248" s="443">
        <v>1.7456389999999999E-2</v>
      </c>
      <c r="F248" s="20" t="s">
        <v>1251</v>
      </c>
    </row>
    <row r="249" spans="1:6" s="98" customFormat="1" ht="15" customHeight="1" x14ac:dyDescent="0.25">
      <c r="A249" s="75"/>
      <c r="B249" s="79"/>
      <c r="C249" s="79" t="s">
        <v>1326</v>
      </c>
      <c r="D249" s="78" t="s">
        <v>1324</v>
      </c>
      <c r="E249" s="443">
        <v>1.9570380000000002E-2</v>
      </c>
      <c r="F249" s="20" t="s">
        <v>1251</v>
      </c>
    </row>
    <row r="250" spans="1:6" s="98" customFormat="1" ht="15" customHeight="1" x14ac:dyDescent="0.25">
      <c r="A250" s="75"/>
      <c r="B250" s="79"/>
      <c r="C250" s="79" t="s">
        <v>1326</v>
      </c>
      <c r="D250" s="78" t="s">
        <v>1325</v>
      </c>
      <c r="E250" s="443">
        <v>2.1684370000000001E-2</v>
      </c>
      <c r="F250" s="20" t="s">
        <v>1251</v>
      </c>
    </row>
    <row r="251" spans="1:6" s="98" customFormat="1" ht="15" customHeight="1" x14ac:dyDescent="0.25">
      <c r="A251" s="75"/>
      <c r="B251" s="79" t="str">
        <f>IF(UPPER($G$42)="CURVA", "","Select Line")</f>
        <v/>
      </c>
      <c r="C251" s="79" t="str">
        <f>IF(UPPER($G$42)="CURVA","Select Stiffness_Operação",_xlfn.CONCAT("Select ",E$82))</f>
        <v>Select Stiffness_Operação</v>
      </c>
      <c r="D251" s="78" t="str">
        <f>IF(UPPER($G$42)="CURVA","NumberOfRows =","EIx=")</f>
        <v>NumberOfRows =</v>
      </c>
      <c r="E251" s="419">
        <f>IF(UPPER($G$42)="CURVA", H37, Values!$C$20)</f>
        <v>40</v>
      </c>
      <c r="F251" s="20"/>
    </row>
    <row r="252" spans="1:6" s="98" customFormat="1" ht="15" customHeight="1" x14ac:dyDescent="0.25">
      <c r="A252" s="75"/>
      <c r="B252" s="79"/>
      <c r="C252" s="79" t="s">
        <v>1327</v>
      </c>
      <c r="D252" s="78" t="s">
        <v>541</v>
      </c>
      <c r="E252" s="443">
        <v>3.2320500000000002E-4</v>
      </c>
      <c r="F252" s="20" t="s">
        <v>1251</v>
      </c>
    </row>
    <row r="253" spans="1:6" s="98" customFormat="1" ht="15" customHeight="1" x14ac:dyDescent="0.25">
      <c r="A253" s="75"/>
      <c r="B253" s="79"/>
      <c r="C253" s="79" t="s">
        <v>1327</v>
      </c>
      <c r="D253" s="78" t="s">
        <v>542</v>
      </c>
      <c r="E253" s="443">
        <v>6.4641009999999997E-4</v>
      </c>
      <c r="F253" s="20" t="s">
        <v>1251</v>
      </c>
    </row>
    <row r="254" spans="1:6" s="98" customFormat="1" ht="15" customHeight="1" x14ac:dyDescent="0.25">
      <c r="A254" s="75"/>
      <c r="B254" s="79"/>
      <c r="C254" s="79" t="s">
        <v>1327</v>
      </c>
      <c r="D254" s="78" t="s">
        <v>1252</v>
      </c>
      <c r="E254" s="443">
        <v>9.6961509999999999E-4</v>
      </c>
      <c r="F254" s="20" t="s">
        <v>1251</v>
      </c>
    </row>
    <row r="255" spans="1:6" s="98" customFormat="1" ht="15" customHeight="1" x14ac:dyDescent="0.25">
      <c r="A255" s="75"/>
      <c r="B255" s="79"/>
      <c r="C255" s="79" t="s">
        <v>1327</v>
      </c>
      <c r="D255" s="78" t="s">
        <v>1253</v>
      </c>
      <c r="E255" s="443">
        <v>1.2928200000000001E-3</v>
      </c>
      <c r="F255" s="20" t="s">
        <v>1251</v>
      </c>
    </row>
    <row r="256" spans="1:6" s="98" customFormat="1" ht="15" customHeight="1" x14ac:dyDescent="0.25">
      <c r="A256" s="75"/>
      <c r="B256" s="79"/>
      <c r="C256" s="79" t="s">
        <v>1327</v>
      </c>
      <c r="D256" s="78" t="s">
        <v>1254</v>
      </c>
      <c r="E256" s="443">
        <v>1.6160250000000001E-3</v>
      </c>
      <c r="F256" s="20" t="s">
        <v>1251</v>
      </c>
    </row>
    <row r="257" spans="1:6" s="98" customFormat="1" ht="15" customHeight="1" x14ac:dyDescent="0.25">
      <c r="A257" s="75"/>
      <c r="B257" s="79"/>
      <c r="C257" s="79" t="s">
        <v>1327</v>
      </c>
      <c r="D257" s="78" t="s">
        <v>1255</v>
      </c>
      <c r="E257" s="443">
        <v>1.9392299999999999E-3</v>
      </c>
      <c r="F257" s="20" t="s">
        <v>1251</v>
      </c>
    </row>
    <row r="258" spans="1:6" s="98" customFormat="1" ht="15" customHeight="1" x14ac:dyDescent="0.25">
      <c r="A258" s="75"/>
      <c r="B258" s="79"/>
      <c r="C258" s="79" t="s">
        <v>1327</v>
      </c>
      <c r="D258" s="78" t="s">
        <v>1256</v>
      </c>
      <c r="E258" s="443">
        <v>2.2624350000000001E-3</v>
      </c>
      <c r="F258" s="20" t="s">
        <v>1251</v>
      </c>
    </row>
    <row r="259" spans="1:6" s="98" customFormat="1" ht="15" customHeight="1" x14ac:dyDescent="0.25">
      <c r="A259" s="75"/>
      <c r="B259" s="79"/>
      <c r="C259" s="79" t="s">
        <v>1327</v>
      </c>
      <c r="D259" s="78" t="s">
        <v>1257</v>
      </c>
      <c r="E259" s="443">
        <v>2.5856400000000002E-3</v>
      </c>
      <c r="F259" s="20" t="s">
        <v>1251</v>
      </c>
    </row>
    <row r="260" spans="1:6" s="98" customFormat="1" ht="15" customHeight="1" x14ac:dyDescent="0.25">
      <c r="A260" s="75"/>
      <c r="B260" s="79"/>
      <c r="C260" s="79" t="s">
        <v>1327</v>
      </c>
      <c r="D260" s="78" t="s">
        <v>1258</v>
      </c>
      <c r="E260" s="443">
        <v>2.9088450000000002E-3</v>
      </c>
      <c r="F260" s="20" t="s">
        <v>1251</v>
      </c>
    </row>
    <row r="261" spans="1:6" s="98" customFormat="1" ht="15" customHeight="1" x14ac:dyDescent="0.25">
      <c r="A261" s="75"/>
      <c r="B261" s="79"/>
      <c r="C261" s="79" t="s">
        <v>1327</v>
      </c>
      <c r="D261" s="78" t="s">
        <v>1259</v>
      </c>
      <c r="E261" s="443">
        <v>3.2320500000000002E-3</v>
      </c>
      <c r="F261" s="20" t="s">
        <v>1251</v>
      </c>
    </row>
    <row r="262" spans="1:6" s="98" customFormat="1" ht="15" customHeight="1" x14ac:dyDescent="0.25">
      <c r="A262" s="75"/>
      <c r="B262" s="79"/>
      <c r="C262" s="79" t="s">
        <v>1327</v>
      </c>
      <c r="D262" s="78" t="s">
        <v>1260</v>
      </c>
      <c r="E262" s="443">
        <v>3.5552549999999998E-3</v>
      </c>
      <c r="F262" s="20" t="s">
        <v>1251</v>
      </c>
    </row>
    <row r="263" spans="1:6" s="98" customFormat="1" ht="15" customHeight="1" x14ac:dyDescent="0.25">
      <c r="A263" s="75"/>
      <c r="B263" s="79"/>
      <c r="C263" s="79" t="s">
        <v>1327</v>
      </c>
      <c r="D263" s="78" t="s">
        <v>1261</v>
      </c>
      <c r="E263" s="443">
        <v>3.8784599999999998E-3</v>
      </c>
      <c r="F263" s="20" t="s">
        <v>1251</v>
      </c>
    </row>
    <row r="264" spans="1:6" s="98" customFormat="1" ht="15" customHeight="1" x14ac:dyDescent="0.25">
      <c r="A264" s="75"/>
      <c r="B264" s="79"/>
      <c r="C264" s="79" t="s">
        <v>1327</v>
      </c>
      <c r="D264" s="78" t="s">
        <v>1262</v>
      </c>
      <c r="E264" s="443">
        <v>4.2016650000000003E-3</v>
      </c>
      <c r="F264" s="20" t="s">
        <v>1251</v>
      </c>
    </row>
    <row r="265" spans="1:6" s="98" customFormat="1" ht="15" customHeight="1" x14ac:dyDescent="0.25">
      <c r="A265" s="75"/>
      <c r="B265" s="79"/>
      <c r="C265" s="79" t="s">
        <v>1327</v>
      </c>
      <c r="D265" s="78" t="s">
        <v>1263</v>
      </c>
      <c r="E265" s="443">
        <v>4.5248700000000003E-3</v>
      </c>
      <c r="F265" s="20" t="s">
        <v>1251</v>
      </c>
    </row>
    <row r="266" spans="1:6" s="98" customFormat="1" ht="15" customHeight="1" x14ac:dyDescent="0.25">
      <c r="A266" s="75"/>
      <c r="B266" s="79"/>
      <c r="C266" s="79" t="s">
        <v>1327</v>
      </c>
      <c r="D266" s="78" t="s">
        <v>1264</v>
      </c>
      <c r="E266" s="443">
        <v>4.8480750000000003E-3</v>
      </c>
      <c r="F266" s="20" t="s">
        <v>1251</v>
      </c>
    </row>
    <row r="267" spans="1:6" s="98" customFormat="1" ht="15" customHeight="1" x14ac:dyDescent="0.25">
      <c r="A267" s="75"/>
      <c r="B267" s="79"/>
      <c r="C267" s="79" t="s">
        <v>1327</v>
      </c>
      <c r="D267" s="78" t="s">
        <v>1265</v>
      </c>
      <c r="E267" s="443">
        <v>5.1712800000000003E-3</v>
      </c>
      <c r="F267" s="20" t="s">
        <v>1251</v>
      </c>
    </row>
    <row r="268" spans="1:6" s="98" customFormat="1" ht="15" customHeight="1" x14ac:dyDescent="0.25">
      <c r="A268" s="75"/>
      <c r="B268" s="79"/>
      <c r="C268" s="79" t="s">
        <v>1327</v>
      </c>
      <c r="D268" s="78" t="s">
        <v>1266</v>
      </c>
      <c r="E268" s="443">
        <v>5.4944850000000003E-3</v>
      </c>
      <c r="F268" s="20" t="s">
        <v>1251</v>
      </c>
    </row>
    <row r="269" spans="1:6" s="98" customFormat="1" ht="15" customHeight="1" x14ac:dyDescent="0.25">
      <c r="A269" s="75"/>
      <c r="B269" s="79"/>
      <c r="C269" s="79" t="s">
        <v>1327</v>
      </c>
      <c r="D269" s="78" t="s">
        <v>1267</v>
      </c>
      <c r="E269" s="443">
        <v>5.8176900000000004E-3</v>
      </c>
      <c r="F269" s="20" t="s">
        <v>1251</v>
      </c>
    </row>
    <row r="270" spans="1:6" s="98" customFormat="1" ht="15" customHeight="1" x14ac:dyDescent="0.25">
      <c r="A270" s="75"/>
      <c r="B270" s="79"/>
      <c r="C270" s="79" t="s">
        <v>1327</v>
      </c>
      <c r="D270" s="78" t="s">
        <v>1268</v>
      </c>
      <c r="E270" s="443">
        <v>6.1408959999999999E-3</v>
      </c>
      <c r="F270" s="20" t="s">
        <v>1251</v>
      </c>
    </row>
    <row r="271" spans="1:6" s="98" customFormat="1" ht="15" customHeight="1" x14ac:dyDescent="0.25">
      <c r="A271" s="75"/>
      <c r="B271" s="79"/>
      <c r="C271" s="79" t="s">
        <v>1327</v>
      </c>
      <c r="D271" s="78" t="s">
        <v>1269</v>
      </c>
      <c r="E271" s="443">
        <v>6.4641009999999999E-3</v>
      </c>
      <c r="F271" s="20" t="s">
        <v>1251</v>
      </c>
    </row>
    <row r="272" spans="1:6" s="98" customFormat="1" ht="15" customHeight="1" x14ac:dyDescent="0.25">
      <c r="A272" s="75"/>
      <c r="B272" s="79"/>
      <c r="C272" s="79" t="s">
        <v>1327</v>
      </c>
      <c r="D272" s="78" t="s">
        <v>1270</v>
      </c>
      <c r="E272" s="443">
        <v>6.7873059999999999E-3</v>
      </c>
      <c r="F272" s="20" t="s">
        <v>1251</v>
      </c>
    </row>
    <row r="273" spans="1:6" s="98" customFormat="1" ht="15" customHeight="1" x14ac:dyDescent="0.25">
      <c r="A273" s="75"/>
      <c r="B273" s="79"/>
      <c r="C273" s="79" t="s">
        <v>1327</v>
      </c>
      <c r="D273" s="78" t="s">
        <v>1271</v>
      </c>
      <c r="E273" s="443">
        <v>7.1105109999999999E-3</v>
      </c>
      <c r="F273" s="20" t="s">
        <v>1251</v>
      </c>
    </row>
    <row r="274" spans="1:6" s="98" customFormat="1" ht="15" customHeight="1" x14ac:dyDescent="0.25">
      <c r="A274" s="75"/>
      <c r="B274" s="79"/>
      <c r="C274" s="79" t="s">
        <v>1327</v>
      </c>
      <c r="D274" s="78" t="s">
        <v>1272</v>
      </c>
      <c r="E274" s="443">
        <v>7.4337159999999999E-3</v>
      </c>
      <c r="F274" s="20" t="s">
        <v>1251</v>
      </c>
    </row>
    <row r="275" spans="1:6" s="98" customFormat="1" ht="15" customHeight="1" x14ac:dyDescent="0.25">
      <c r="A275" s="75"/>
      <c r="B275" s="79"/>
      <c r="C275" s="79" t="s">
        <v>1327</v>
      </c>
      <c r="D275" s="78" t="s">
        <v>1273</v>
      </c>
      <c r="E275" s="443">
        <v>7.756921E-3</v>
      </c>
      <c r="F275" s="20" t="s">
        <v>1251</v>
      </c>
    </row>
    <row r="276" spans="1:6" s="98" customFormat="1" ht="15" customHeight="1" x14ac:dyDescent="0.25">
      <c r="A276" s="75"/>
      <c r="B276" s="79"/>
      <c r="C276" s="79" t="s">
        <v>1327</v>
      </c>
      <c r="D276" s="78" t="s">
        <v>1274</v>
      </c>
      <c r="E276" s="443">
        <v>8.080126E-3</v>
      </c>
      <c r="F276" s="20" t="s">
        <v>1251</v>
      </c>
    </row>
    <row r="277" spans="1:6" s="98" customFormat="1" ht="15" customHeight="1" x14ac:dyDescent="0.25">
      <c r="A277" s="75"/>
      <c r="B277" s="79"/>
      <c r="C277" s="79" t="s">
        <v>1327</v>
      </c>
      <c r="D277" s="78" t="s">
        <v>1275</v>
      </c>
      <c r="E277" s="443">
        <v>8.403331E-3</v>
      </c>
      <c r="F277" s="20" t="s">
        <v>1251</v>
      </c>
    </row>
    <row r="278" spans="1:6" s="98" customFormat="1" ht="15" customHeight="1" x14ac:dyDescent="0.25">
      <c r="A278" s="75"/>
      <c r="B278" s="79"/>
      <c r="C278" s="79" t="s">
        <v>1327</v>
      </c>
      <c r="D278" s="78" t="s">
        <v>1276</v>
      </c>
      <c r="E278" s="443">
        <v>8.726536E-3</v>
      </c>
      <c r="F278" s="20" t="s">
        <v>1251</v>
      </c>
    </row>
    <row r="279" spans="1:6" s="98" customFormat="1" ht="15" customHeight="1" x14ac:dyDescent="0.25">
      <c r="A279" s="75"/>
      <c r="B279" s="79"/>
      <c r="C279" s="79" t="s">
        <v>1327</v>
      </c>
      <c r="D279" s="78" t="s">
        <v>1277</v>
      </c>
      <c r="E279" s="443">
        <v>9.049741E-3</v>
      </c>
      <c r="F279" s="20" t="s">
        <v>1251</v>
      </c>
    </row>
    <row r="280" spans="1:6" s="98" customFormat="1" ht="15" customHeight="1" x14ac:dyDescent="0.25">
      <c r="A280" s="75"/>
      <c r="B280" s="79"/>
      <c r="C280" s="79" t="s">
        <v>1327</v>
      </c>
      <c r="D280" s="78" t="s">
        <v>1278</v>
      </c>
      <c r="E280" s="443">
        <v>9.3729460000000001E-3</v>
      </c>
      <c r="F280" s="20" t="s">
        <v>1251</v>
      </c>
    </row>
    <row r="281" spans="1:6" s="98" customFormat="1" ht="15" customHeight="1" x14ac:dyDescent="0.25">
      <c r="A281" s="75"/>
      <c r="B281" s="79"/>
      <c r="C281" s="79" t="s">
        <v>1327</v>
      </c>
      <c r="D281" s="78" t="s">
        <v>1279</v>
      </c>
      <c r="E281" s="443">
        <v>1.3125599999999999E-2</v>
      </c>
      <c r="F281" s="20" t="s">
        <v>1251</v>
      </c>
    </row>
    <row r="282" spans="1:6" s="98" customFormat="1" ht="15" customHeight="1" x14ac:dyDescent="0.25">
      <c r="A282" s="75"/>
      <c r="B282" s="79"/>
      <c r="C282" s="79" t="s">
        <v>1327</v>
      </c>
      <c r="D282" s="78" t="s">
        <v>1280</v>
      </c>
      <c r="E282" s="443">
        <v>9.8861829999999998E-2</v>
      </c>
      <c r="F282" s="20" t="s">
        <v>1251</v>
      </c>
    </row>
    <row r="283" spans="1:6" s="98" customFormat="1" ht="15" customHeight="1" x14ac:dyDescent="0.25">
      <c r="A283" s="75"/>
      <c r="B283" s="79"/>
      <c r="C283" s="79" t="s">
        <v>1327</v>
      </c>
      <c r="D283" s="78" t="s">
        <v>1281</v>
      </c>
      <c r="E283" s="443">
        <v>0.18459809999999999</v>
      </c>
      <c r="F283" s="20" t="s">
        <v>1251</v>
      </c>
    </row>
    <row r="284" spans="1:6" s="98" customFormat="1" ht="15" customHeight="1" x14ac:dyDescent="0.25">
      <c r="A284" s="75"/>
      <c r="B284" s="79"/>
      <c r="C284" s="79" t="s">
        <v>1327</v>
      </c>
      <c r="D284" s="78" t="s">
        <v>1282</v>
      </c>
      <c r="E284" s="443">
        <v>0.27033430000000003</v>
      </c>
      <c r="F284" s="20" t="s">
        <v>1251</v>
      </c>
    </row>
    <row r="285" spans="1:6" s="98" customFormat="1" ht="15" customHeight="1" x14ac:dyDescent="0.25">
      <c r="A285" s="75"/>
      <c r="B285" s="79"/>
      <c r="C285" s="79" t="s">
        <v>1327</v>
      </c>
      <c r="D285" s="78" t="s">
        <v>1283</v>
      </c>
      <c r="E285" s="443">
        <v>0.35607050000000001</v>
      </c>
      <c r="F285" s="20" t="s">
        <v>1251</v>
      </c>
    </row>
    <row r="286" spans="1:6" s="98" customFormat="1" ht="15" customHeight="1" x14ac:dyDescent="0.25">
      <c r="A286" s="75"/>
      <c r="B286" s="79"/>
      <c r="C286" s="79" t="s">
        <v>1327</v>
      </c>
      <c r="D286" s="78" t="s">
        <v>1284</v>
      </c>
      <c r="E286" s="443">
        <v>0.4418068</v>
      </c>
      <c r="F286" s="20" t="s">
        <v>1251</v>
      </c>
    </row>
    <row r="287" spans="1:6" s="98" customFormat="1" ht="15" customHeight="1" x14ac:dyDescent="0.25">
      <c r="A287" s="75"/>
      <c r="B287" s="79"/>
      <c r="C287" s="79" t="s">
        <v>1327</v>
      </c>
      <c r="D287" s="78" t="s">
        <v>1285</v>
      </c>
      <c r="E287" s="443">
        <v>0.52754299999999998</v>
      </c>
      <c r="F287" s="20" t="s">
        <v>1251</v>
      </c>
    </row>
    <row r="288" spans="1:6" s="98" customFormat="1" ht="15" customHeight="1" x14ac:dyDescent="0.25">
      <c r="A288" s="75"/>
      <c r="B288" s="79"/>
      <c r="C288" s="79" t="s">
        <v>1327</v>
      </c>
      <c r="D288" s="78" t="s">
        <v>1286</v>
      </c>
      <c r="E288" s="443">
        <v>0.61327920000000002</v>
      </c>
      <c r="F288" s="20" t="s">
        <v>1251</v>
      </c>
    </row>
    <row r="289" spans="1:6" s="98" customFormat="1" ht="15" customHeight="1" x14ac:dyDescent="0.25">
      <c r="A289" s="75"/>
      <c r="B289" s="79"/>
      <c r="C289" s="79" t="s">
        <v>1327</v>
      </c>
      <c r="D289" s="78" t="s">
        <v>1287</v>
      </c>
      <c r="E289" s="443">
        <v>0.69901550000000001</v>
      </c>
      <c r="F289" s="20" t="s">
        <v>1251</v>
      </c>
    </row>
    <row r="290" spans="1:6" s="98" customFormat="1" ht="15" customHeight="1" x14ac:dyDescent="0.25">
      <c r="A290" s="75"/>
      <c r="B290" s="79"/>
      <c r="C290" s="79" t="s">
        <v>1327</v>
      </c>
      <c r="D290" s="78" t="s">
        <v>1288</v>
      </c>
      <c r="E290" s="443">
        <v>0.78475170000000005</v>
      </c>
      <c r="F290" s="20" t="s">
        <v>1251</v>
      </c>
    </row>
    <row r="291" spans="1:6" s="98" customFormat="1" ht="15" customHeight="1" x14ac:dyDescent="0.25">
      <c r="A291" s="75"/>
      <c r="B291" s="79"/>
      <c r="C291" s="79" t="s">
        <v>1327</v>
      </c>
      <c r="D291" s="78" t="s">
        <v>543</v>
      </c>
      <c r="E291" s="443">
        <v>5.1036720000000003E-4</v>
      </c>
      <c r="F291" s="20" t="s">
        <v>1251</v>
      </c>
    </row>
    <row r="292" spans="1:6" s="98" customFormat="1" ht="15" customHeight="1" x14ac:dyDescent="0.25">
      <c r="A292" s="75"/>
      <c r="B292" s="79"/>
      <c r="C292" s="79" t="s">
        <v>1327</v>
      </c>
      <c r="D292" s="78" t="s">
        <v>544</v>
      </c>
      <c r="E292" s="443">
        <v>8.0395919999999999E-4</v>
      </c>
      <c r="F292" s="20" t="s">
        <v>1251</v>
      </c>
    </row>
    <row r="293" spans="1:6" s="98" customFormat="1" ht="15" customHeight="1" x14ac:dyDescent="0.25">
      <c r="A293" s="75"/>
      <c r="B293" s="79"/>
      <c r="C293" s="79" t="s">
        <v>1327</v>
      </c>
      <c r="D293" s="78" t="s">
        <v>1289</v>
      </c>
      <c r="E293" s="443">
        <v>1.097551E-3</v>
      </c>
      <c r="F293" s="20" t="s">
        <v>1251</v>
      </c>
    </row>
    <row r="294" spans="1:6" s="98" customFormat="1" ht="15" customHeight="1" x14ac:dyDescent="0.25">
      <c r="A294" s="75"/>
      <c r="B294" s="79"/>
      <c r="C294" s="79" t="s">
        <v>1327</v>
      </c>
      <c r="D294" s="78" t="s">
        <v>1290</v>
      </c>
      <c r="E294" s="443">
        <v>1.3611669999999999E-3</v>
      </c>
      <c r="F294" s="20" t="s">
        <v>1251</v>
      </c>
    </row>
    <row r="295" spans="1:6" s="98" customFormat="1" ht="15" customHeight="1" x14ac:dyDescent="0.25">
      <c r="A295" s="75"/>
      <c r="B295" s="79"/>
      <c r="C295" s="79" t="s">
        <v>1327</v>
      </c>
      <c r="D295" s="78" t="s">
        <v>1291</v>
      </c>
      <c r="E295" s="443">
        <v>1.543708E-3</v>
      </c>
      <c r="F295" s="20" t="s">
        <v>1251</v>
      </c>
    </row>
    <row r="296" spans="1:6" s="98" customFormat="1" ht="15" customHeight="1" x14ac:dyDescent="0.25">
      <c r="A296" s="75"/>
      <c r="B296" s="79"/>
      <c r="C296" s="79" t="s">
        <v>1327</v>
      </c>
      <c r="D296" s="78" t="s">
        <v>1292</v>
      </c>
      <c r="E296" s="443">
        <v>1.704618E-3</v>
      </c>
      <c r="F296" s="20" t="s">
        <v>1251</v>
      </c>
    </row>
    <row r="297" spans="1:6" s="98" customFormat="1" ht="15" customHeight="1" x14ac:dyDescent="0.25">
      <c r="A297" s="75"/>
      <c r="B297" s="79"/>
      <c r="C297" s="79" t="s">
        <v>1327</v>
      </c>
      <c r="D297" s="78" t="s">
        <v>1293</v>
      </c>
      <c r="E297" s="443">
        <v>1.8569119999999998E-3</v>
      </c>
      <c r="F297" s="20" t="s">
        <v>1251</v>
      </c>
    </row>
    <row r="298" spans="1:6" s="98" customFormat="1" ht="15" customHeight="1" x14ac:dyDescent="0.25">
      <c r="A298" s="75"/>
      <c r="B298" s="79"/>
      <c r="C298" s="79" t="s">
        <v>1327</v>
      </c>
      <c r="D298" s="78" t="s">
        <v>1294</v>
      </c>
      <c r="E298" s="443">
        <v>2.0049429999999999E-3</v>
      </c>
      <c r="F298" s="20" t="s">
        <v>1251</v>
      </c>
    </row>
    <row r="299" spans="1:6" s="98" customFormat="1" ht="15" customHeight="1" x14ac:dyDescent="0.25">
      <c r="A299" s="75"/>
      <c r="B299" s="79"/>
      <c r="C299" s="79" t="s">
        <v>1327</v>
      </c>
      <c r="D299" s="78" t="s">
        <v>1295</v>
      </c>
      <c r="E299" s="443">
        <v>2.1505969999999998E-3</v>
      </c>
      <c r="F299" s="20" t="s">
        <v>1251</v>
      </c>
    </row>
    <row r="300" spans="1:6" s="98" customFormat="1" ht="15" customHeight="1" x14ac:dyDescent="0.25">
      <c r="A300" s="75"/>
      <c r="B300" s="79"/>
      <c r="C300" s="79" t="s">
        <v>1327</v>
      </c>
      <c r="D300" s="78" t="s">
        <v>1296</v>
      </c>
      <c r="E300" s="443">
        <v>2.2948130000000001E-3</v>
      </c>
      <c r="F300" s="20" t="s">
        <v>1251</v>
      </c>
    </row>
    <row r="301" spans="1:6" s="98" customFormat="1" ht="15" customHeight="1" x14ac:dyDescent="0.25">
      <c r="A301" s="75"/>
      <c r="B301" s="79"/>
      <c r="C301" s="79" t="s">
        <v>1327</v>
      </c>
      <c r="D301" s="78" t="s">
        <v>1297</v>
      </c>
      <c r="E301" s="443">
        <v>2.3907049999999999E-3</v>
      </c>
      <c r="F301" s="20" t="s">
        <v>1251</v>
      </c>
    </row>
    <row r="302" spans="1:6" s="98" customFormat="1" ht="15" customHeight="1" x14ac:dyDescent="0.25">
      <c r="A302" s="75"/>
      <c r="B302" s="79"/>
      <c r="C302" s="79" t="s">
        <v>1327</v>
      </c>
      <c r="D302" s="78" t="s">
        <v>1298</v>
      </c>
      <c r="E302" s="443">
        <v>2.45393E-3</v>
      </c>
      <c r="F302" s="20" t="s">
        <v>1251</v>
      </c>
    </row>
    <row r="303" spans="1:6" s="98" customFormat="1" ht="15" customHeight="1" x14ac:dyDescent="0.25">
      <c r="A303" s="75"/>
      <c r="B303" s="79"/>
      <c r="C303" s="79" t="s">
        <v>1327</v>
      </c>
      <c r="D303" s="78" t="s">
        <v>1299</v>
      </c>
      <c r="E303" s="443">
        <v>2.5014170000000001E-3</v>
      </c>
      <c r="F303" s="20" t="s">
        <v>1251</v>
      </c>
    </row>
    <row r="304" spans="1:6" s="98" customFormat="1" ht="15" customHeight="1" x14ac:dyDescent="0.25">
      <c r="A304" s="75"/>
      <c r="B304" s="79"/>
      <c r="C304" s="79" t="s">
        <v>1327</v>
      </c>
      <c r="D304" s="78" t="s">
        <v>1300</v>
      </c>
      <c r="E304" s="443">
        <v>2.5391289999999998E-3</v>
      </c>
      <c r="F304" s="20" t="s">
        <v>1251</v>
      </c>
    </row>
    <row r="305" spans="1:6" s="98" customFormat="1" ht="15" customHeight="1" x14ac:dyDescent="0.25">
      <c r="A305" s="75"/>
      <c r="B305" s="79"/>
      <c r="C305" s="79" t="s">
        <v>1327</v>
      </c>
      <c r="D305" s="78" t="s">
        <v>1301</v>
      </c>
      <c r="E305" s="443">
        <v>2.570227E-3</v>
      </c>
      <c r="F305" s="20" t="s">
        <v>1251</v>
      </c>
    </row>
    <row r="306" spans="1:6" s="98" customFormat="1" ht="15" customHeight="1" x14ac:dyDescent="0.25">
      <c r="A306" s="75"/>
      <c r="B306" s="79"/>
      <c r="C306" s="79" t="s">
        <v>1327</v>
      </c>
      <c r="D306" s="78" t="s">
        <v>1302</v>
      </c>
      <c r="E306" s="443">
        <v>2.5966190000000001E-3</v>
      </c>
      <c r="F306" s="20" t="s">
        <v>1251</v>
      </c>
    </row>
    <row r="307" spans="1:6" s="98" customFormat="1" ht="15" customHeight="1" x14ac:dyDescent="0.25">
      <c r="A307" s="75"/>
      <c r="B307" s="79"/>
      <c r="C307" s="79" t="s">
        <v>1327</v>
      </c>
      <c r="D307" s="78" t="s">
        <v>1303</v>
      </c>
      <c r="E307" s="443">
        <v>2.6195419999999999E-3</v>
      </c>
      <c r="F307" s="20" t="s">
        <v>1251</v>
      </c>
    </row>
    <row r="308" spans="1:6" s="98" customFormat="1" ht="15" customHeight="1" x14ac:dyDescent="0.25">
      <c r="A308" s="75"/>
      <c r="B308" s="79"/>
      <c r="C308" s="79" t="s">
        <v>1327</v>
      </c>
      <c r="D308" s="78" t="s">
        <v>1304</v>
      </c>
      <c r="E308" s="443">
        <v>2.6398369999999999E-3</v>
      </c>
      <c r="F308" s="20" t="s">
        <v>1251</v>
      </c>
    </row>
    <row r="309" spans="1:6" s="98" customFormat="1" ht="15" customHeight="1" x14ac:dyDescent="0.25">
      <c r="A309" s="75"/>
      <c r="B309" s="79"/>
      <c r="C309" s="79" t="s">
        <v>1327</v>
      </c>
      <c r="D309" s="78" t="s">
        <v>1305</v>
      </c>
      <c r="E309" s="443">
        <v>2.6581E-3</v>
      </c>
      <c r="F309" s="20" t="s">
        <v>1251</v>
      </c>
    </row>
    <row r="310" spans="1:6" s="98" customFormat="1" ht="15" customHeight="1" x14ac:dyDescent="0.25">
      <c r="A310" s="75"/>
      <c r="B310" s="79"/>
      <c r="C310" s="79" t="s">
        <v>1327</v>
      </c>
      <c r="D310" s="78" t="s">
        <v>1306</v>
      </c>
      <c r="E310" s="443">
        <v>2.6747619999999998E-3</v>
      </c>
      <c r="F310" s="20" t="s">
        <v>1251</v>
      </c>
    </row>
    <row r="311" spans="1:6" s="98" customFormat="1" ht="15" customHeight="1" x14ac:dyDescent="0.25">
      <c r="A311" s="75"/>
      <c r="B311" s="79"/>
      <c r="C311" s="79" t="s">
        <v>1327</v>
      </c>
      <c r="D311" s="78" t="s">
        <v>1307</v>
      </c>
      <c r="E311" s="443">
        <v>2.6901440000000002E-3</v>
      </c>
      <c r="F311" s="20" t="s">
        <v>1251</v>
      </c>
    </row>
    <row r="312" spans="1:6" s="98" customFormat="1" ht="15" customHeight="1" x14ac:dyDescent="0.25">
      <c r="A312" s="75"/>
      <c r="B312" s="79"/>
      <c r="C312" s="79" t="s">
        <v>1327</v>
      </c>
      <c r="D312" s="78" t="s">
        <v>1308</v>
      </c>
      <c r="E312" s="443">
        <v>2.7044880000000001E-3</v>
      </c>
      <c r="F312" s="20" t="s">
        <v>1251</v>
      </c>
    </row>
    <row r="313" spans="1:6" s="98" customFormat="1" ht="15" customHeight="1" x14ac:dyDescent="0.25">
      <c r="A313" s="75"/>
      <c r="B313" s="79"/>
      <c r="C313" s="79" t="s">
        <v>1327</v>
      </c>
      <c r="D313" s="78" t="s">
        <v>1309</v>
      </c>
      <c r="E313" s="443">
        <v>2.7179820000000003E-3</v>
      </c>
      <c r="F313" s="20" t="s">
        <v>1251</v>
      </c>
    </row>
    <row r="314" spans="1:6" s="98" customFormat="1" ht="15" customHeight="1" x14ac:dyDescent="0.25">
      <c r="A314" s="75"/>
      <c r="B314" s="79"/>
      <c r="C314" s="79" t="s">
        <v>1327</v>
      </c>
      <c r="D314" s="78" t="s">
        <v>1310</v>
      </c>
      <c r="E314" s="443">
        <v>2.7307719999999998E-3</v>
      </c>
      <c r="F314" s="20" t="s">
        <v>1251</v>
      </c>
    </row>
    <row r="315" spans="1:6" s="98" customFormat="1" ht="15" customHeight="1" x14ac:dyDescent="0.25">
      <c r="A315" s="75"/>
      <c r="B315" s="79"/>
      <c r="C315" s="79" t="s">
        <v>1327</v>
      </c>
      <c r="D315" s="78" t="s">
        <v>1311</v>
      </c>
      <c r="E315" s="443">
        <v>2.7429730000000001E-3</v>
      </c>
      <c r="F315" s="20" t="s">
        <v>1251</v>
      </c>
    </row>
    <row r="316" spans="1:6" s="98" customFormat="1" ht="15" customHeight="1" x14ac:dyDescent="0.25">
      <c r="A316" s="75"/>
      <c r="B316" s="79"/>
      <c r="C316" s="79" t="s">
        <v>1327</v>
      </c>
      <c r="D316" s="78" t="s">
        <v>1312</v>
      </c>
      <c r="E316" s="443">
        <v>2.7546789999999999E-3</v>
      </c>
      <c r="F316" s="20" t="s">
        <v>1251</v>
      </c>
    </row>
    <row r="317" spans="1:6" s="98" customFormat="1" ht="15" customHeight="1" x14ac:dyDescent="0.25">
      <c r="A317" s="75"/>
      <c r="B317" s="79"/>
      <c r="C317" s="79" t="s">
        <v>1327</v>
      </c>
      <c r="D317" s="78" t="s">
        <v>1313</v>
      </c>
      <c r="E317" s="443">
        <v>2.7659639999999997E-3</v>
      </c>
      <c r="F317" s="20" t="s">
        <v>1251</v>
      </c>
    </row>
    <row r="318" spans="1:6" s="98" customFormat="1" ht="15" customHeight="1" x14ac:dyDescent="0.25">
      <c r="A318" s="75"/>
      <c r="B318" s="79"/>
      <c r="C318" s="79" t="s">
        <v>1327</v>
      </c>
      <c r="D318" s="78" t="s">
        <v>1314</v>
      </c>
      <c r="E318" s="443">
        <v>2.7768890000000003E-3</v>
      </c>
      <c r="F318" s="20" t="s">
        <v>1251</v>
      </c>
    </row>
    <row r="319" spans="1:6" s="98" customFormat="1" ht="15" customHeight="1" x14ac:dyDescent="0.25">
      <c r="A319" s="75"/>
      <c r="B319" s="79"/>
      <c r="C319" s="79" t="s">
        <v>1327</v>
      </c>
      <c r="D319" s="78" t="s">
        <v>1315</v>
      </c>
      <c r="E319" s="443">
        <v>2.7875059999999999E-3</v>
      </c>
      <c r="F319" s="20" t="s">
        <v>1251</v>
      </c>
    </row>
    <row r="320" spans="1:6" s="98" customFormat="1" ht="15" customHeight="1" x14ac:dyDescent="0.25">
      <c r="A320" s="75"/>
      <c r="B320" s="79"/>
      <c r="C320" s="79" t="s">
        <v>1327</v>
      </c>
      <c r="D320" s="78" t="s">
        <v>1316</v>
      </c>
      <c r="E320" s="443">
        <v>2.897653E-3</v>
      </c>
      <c r="F320" s="20" t="s">
        <v>1251</v>
      </c>
    </row>
    <row r="321" spans="1:6" s="98" customFormat="1" ht="15" customHeight="1" x14ac:dyDescent="0.25">
      <c r="A321" s="75"/>
      <c r="B321" s="79"/>
      <c r="C321" s="79" t="s">
        <v>1327</v>
      </c>
      <c r="D321" s="78" t="s">
        <v>1317</v>
      </c>
      <c r="E321" s="443">
        <v>5.0272600000000004E-3</v>
      </c>
      <c r="F321" s="20" t="s">
        <v>1251</v>
      </c>
    </row>
    <row r="322" spans="1:6" s="98" customFormat="1" ht="15" customHeight="1" x14ac:dyDescent="0.25">
      <c r="A322" s="75"/>
      <c r="B322" s="79"/>
      <c r="C322" s="79" t="s">
        <v>1327</v>
      </c>
      <c r="D322" s="78" t="s">
        <v>1318</v>
      </c>
      <c r="E322" s="443">
        <v>7.1393060000000006E-3</v>
      </c>
      <c r="F322" s="20" t="s">
        <v>1251</v>
      </c>
    </row>
    <row r="323" spans="1:6" s="98" customFormat="1" ht="15" customHeight="1" x14ac:dyDescent="0.25">
      <c r="A323" s="75"/>
      <c r="B323" s="79"/>
      <c r="C323" s="79" t="s">
        <v>1327</v>
      </c>
      <c r="D323" s="78" t="s">
        <v>1319</v>
      </c>
      <c r="E323" s="443">
        <v>9.2511740000000009E-3</v>
      </c>
      <c r="F323" s="20" t="s">
        <v>1251</v>
      </c>
    </row>
    <row r="324" spans="1:6" s="98" customFormat="1" ht="15" customHeight="1" x14ac:dyDescent="0.25">
      <c r="A324" s="75"/>
      <c r="B324" s="79"/>
      <c r="C324" s="79" t="s">
        <v>1327</v>
      </c>
      <c r="D324" s="78" t="s">
        <v>1320</v>
      </c>
      <c r="E324" s="443">
        <v>1.136301E-2</v>
      </c>
      <c r="F324" s="20" t="s">
        <v>1251</v>
      </c>
    </row>
    <row r="325" spans="1:6" s="98" customFormat="1" ht="15" customHeight="1" x14ac:dyDescent="0.25">
      <c r="A325" s="75"/>
      <c r="B325" s="79"/>
      <c r="C325" s="79" t="s">
        <v>1327</v>
      </c>
      <c r="D325" s="78" t="s">
        <v>1321</v>
      </c>
      <c r="E325" s="443">
        <v>1.347484E-2</v>
      </c>
      <c r="F325" s="20" t="s">
        <v>1251</v>
      </c>
    </row>
    <row r="326" spans="1:6" s="98" customFormat="1" ht="15" customHeight="1" x14ac:dyDescent="0.25">
      <c r="A326" s="75"/>
      <c r="B326" s="79"/>
      <c r="C326" s="79" t="s">
        <v>1327</v>
      </c>
      <c r="D326" s="78" t="s">
        <v>1322</v>
      </c>
      <c r="E326" s="443">
        <v>1.558667E-2</v>
      </c>
      <c r="F326" s="20" t="s">
        <v>1251</v>
      </c>
    </row>
    <row r="327" spans="1:6" s="98" customFormat="1" ht="15" customHeight="1" x14ac:dyDescent="0.25">
      <c r="A327" s="75"/>
      <c r="B327" s="79"/>
      <c r="C327" s="79" t="s">
        <v>1327</v>
      </c>
      <c r="D327" s="78" t="s">
        <v>1323</v>
      </c>
      <c r="E327" s="443">
        <v>1.7698490000000001E-2</v>
      </c>
      <c r="F327" s="20" t="s">
        <v>1251</v>
      </c>
    </row>
    <row r="328" spans="1:6" s="98" customFormat="1" ht="15" customHeight="1" x14ac:dyDescent="0.25">
      <c r="A328" s="75"/>
      <c r="B328" s="79"/>
      <c r="C328" s="79" t="s">
        <v>1327</v>
      </c>
      <c r="D328" s="78" t="s">
        <v>1324</v>
      </c>
      <c r="E328" s="443">
        <v>1.9810310000000001E-2</v>
      </c>
      <c r="F328" s="20" t="s">
        <v>1251</v>
      </c>
    </row>
    <row r="329" spans="1:6" s="98" customFormat="1" ht="15" customHeight="1" x14ac:dyDescent="0.25">
      <c r="A329" s="75"/>
      <c r="B329" s="79"/>
      <c r="C329" s="79" t="s">
        <v>1327</v>
      </c>
      <c r="D329" s="78" t="s">
        <v>1325</v>
      </c>
      <c r="E329" s="443">
        <v>2.1922129999999998E-2</v>
      </c>
      <c r="F329" s="20" t="s">
        <v>1251</v>
      </c>
    </row>
    <row r="330" spans="1:6" s="98" customFormat="1" ht="15" customHeight="1" x14ac:dyDescent="0.25">
      <c r="A330" s="75"/>
      <c r="B330" s="79"/>
      <c r="C330" s="79" t="s">
        <v>538</v>
      </c>
      <c r="D330" s="78" t="s">
        <v>539</v>
      </c>
      <c r="E330" s="419">
        <v>3</v>
      </c>
      <c r="F330" s="20" t="s">
        <v>540</v>
      </c>
    </row>
    <row r="331" spans="1:6" s="98" customFormat="1" ht="15" customHeight="1" x14ac:dyDescent="0.25">
      <c r="A331" s="75"/>
      <c r="B331" s="79"/>
      <c r="C331" s="79" t="s">
        <v>538</v>
      </c>
      <c r="D331" s="78" t="s">
        <v>541</v>
      </c>
      <c r="E331" s="420">
        <f>'Bending Stiffness'!W19</f>
        <v>0.37174721189591081</v>
      </c>
      <c r="F331" s="20"/>
    </row>
    <row r="332" spans="1:6" s="98" customFormat="1" ht="15" customHeight="1" x14ac:dyDescent="0.25">
      <c r="A332" s="75"/>
      <c r="B332" s="79"/>
      <c r="C332" s="79" t="s">
        <v>538</v>
      </c>
      <c r="D332" s="78" t="s">
        <v>542</v>
      </c>
      <c r="E332" s="421">
        <f>'Bending Stiffness'!W20</f>
        <v>1.3717472118959109</v>
      </c>
      <c r="F332" s="20"/>
    </row>
    <row r="333" spans="1:6" s="98" customFormat="1" ht="15" customHeight="1" x14ac:dyDescent="0.25">
      <c r="A333" s="75"/>
      <c r="B333" s="79"/>
      <c r="C333" s="79" t="s">
        <v>538</v>
      </c>
      <c r="D333" s="78" t="s">
        <v>543</v>
      </c>
      <c r="E333" s="417">
        <f>'Bending Stiffness'!X19</f>
        <v>0.01</v>
      </c>
      <c r="F333" s="20"/>
    </row>
    <row r="334" spans="1:6" s="98" customFormat="1" ht="15" customHeight="1" x14ac:dyDescent="0.25">
      <c r="A334" s="75"/>
      <c r="B334" s="79"/>
      <c r="C334" s="79" t="s">
        <v>538</v>
      </c>
      <c r="D334" s="78" t="s">
        <v>544</v>
      </c>
      <c r="E334" s="131">
        <f>'Bending Stiffness'!X20</f>
        <v>683.22934674196893</v>
      </c>
      <c r="F334" s="20"/>
    </row>
    <row r="335" spans="1:6" s="98" customFormat="1" ht="15" customHeight="1" x14ac:dyDescent="0.25">
      <c r="A335" s="525"/>
      <c r="B335" s="79"/>
      <c r="C335" s="79" t="str">
        <f>IF(_dvc_type=2, "Select A/R", "Select Line")</f>
        <v>Select Line</v>
      </c>
      <c r="D335" s="79" t="str">
        <f>IF(_dvc_type=2, "StageValue[1] =", "NumberOfSections =")</f>
        <v>NumberOfSections =</v>
      </c>
      <c r="E335" s="131" t="str">
        <f>IF(_dvc_type=2,'MCV e Guindaste'!K18, G$16)</f>
        <v>9</v>
      </c>
      <c r="F335" s="20"/>
    </row>
    <row r="336" spans="1:6" s="98" customFormat="1" ht="15" customHeight="1" x14ac:dyDescent="0.25">
      <c r="A336" s="525"/>
      <c r="B336" s="79"/>
      <c r="C336" s="79" t="str">
        <f>IF(_dvc_type=2, "Select Junção", "Select Line")</f>
        <v>Select Line</v>
      </c>
      <c r="D336" s="79" t="str">
        <f>IF(_dvc_type=2, "InitialZ =", "NumberOfSections =")</f>
        <v>NumberOfSections =</v>
      </c>
      <c r="E336" s="131" t="str">
        <f>IF(_dvc_type=2,('MCV e Guindaste'!K18-5)*(-1), G$16)</f>
        <v>9</v>
      </c>
      <c r="F336" s="20"/>
    </row>
    <row r="337" spans="1:13" s="98" customFormat="1" ht="15" customHeight="1" thickBot="1" x14ac:dyDescent="0.3">
      <c r="A337" s="422"/>
      <c r="B337" s="133"/>
      <c r="C337" s="134"/>
      <c r="D337" s="135" t="s">
        <v>545</v>
      </c>
      <c r="E337" s="136" t="str">
        <f>CONCATENATE(filename_static, ".dat")</f>
        <v>Estatico.dat</v>
      </c>
      <c r="F337" s="20"/>
    </row>
    <row r="338" spans="1:13" ht="15" customHeight="1" x14ac:dyDescent="0.25">
      <c r="G338" s="98"/>
      <c r="H338" s="98"/>
      <c r="I338" s="98"/>
      <c r="J338" s="98"/>
      <c r="K338" s="98"/>
      <c r="L338" s="98"/>
      <c r="M338" s="98"/>
    </row>
  </sheetData>
  <mergeCells count="1">
    <mergeCell ref="G18:H18"/>
  </mergeCells>
  <conditionalFormatting sqref="G10">
    <cfRule type="containsText" dxfId="38" priority="3" operator="containsText" text="Teste NÃO foi">
      <formula>NOT(ISERROR(SEARCH("Teste NÃO foi",G10)))</formula>
    </cfRule>
    <cfRule type="containsText" dxfId="37" priority="5" operator="containsText" text="Teste foi">
      <formula>NOT(ISERROR(SEARCH("Teste foi",G10)))</formula>
    </cfRule>
  </conditionalFormatting>
  <conditionalFormatting sqref="G7">
    <cfRule type="containsText" dxfId="36" priority="6" operator="containsText" text="Lançamento foi">
      <formula>NOT(ISERROR(SEARCH("Lançamento foi",G7)))</formula>
    </cfRule>
    <cfRule type="containsText" dxfId="35" priority="8" operator="containsText" text="Lançamento NÃO foi">
      <formula>NOT(ISERROR(SEARCH("Lançamento NÃO foi",G7)))</formula>
    </cfRule>
  </conditionalFormatting>
  <conditionalFormatting sqref="G13">
    <cfRule type="containsText" dxfId="34" priority="1" operator="containsText" text="Operação foi">
      <formula>NOT(ISERROR(SEARCH("Operação foi",G13)))</formula>
    </cfRule>
    <cfRule type="containsText" dxfId="33" priority="2" operator="containsText" text="Operação NÃO foi">
      <formula>NOT(ISERROR(SEARCH("Operação NÃO foi",G13)))</formula>
    </cfRule>
  </conditionalFormatting>
  <dataValidations count="2">
    <dataValidation allowBlank="1" showErrorMessage="1" prompt="O conteúdo desta célula não deve ser alterado." sqref="H25:H30 D86 E77:E81 B85:C85 B83:B84 C83:C86 E83:E86 D83 H19 C331:C336 D335:E336 E93:E329 C93:D330 B86:B330" xr:uid="{17BCD074-2C92-4D83-A3F8-82273D4A1D1F}"/>
    <dataValidation allowBlank="1" showErrorMessage="1" prompt="O conteúdo desta célula pode estar oculto, porém não deve ser alterado." sqref="D330:E330 C84:E84 D85 C87:E329" xr:uid="{AA162AF8-E13B-4D2E-862D-18C8EEE3C8A3}"/>
  </dataValidations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8001" r:id="rId4" name="Button 1">
              <controlPr defaultSize="0" print="0" autoFill="0" autoPict="0" macro="[0]!GetBsCurve">
                <anchor moveWithCells="1">
                  <from>
                    <xdr:col>4</xdr:col>
                    <xdr:colOff>495300</xdr:colOff>
                    <xdr:row>2</xdr:row>
                    <xdr:rowOff>31750</xdr:rowOff>
                  </from>
                  <to>
                    <xdr:col>4</xdr:col>
                    <xdr:colOff>2819400</xdr:colOff>
                    <xdr:row>4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CFDBBE-7D73-4A99-8125-6D1FF8E022FF}">
  <sheetPr codeName="Sheet24">
    <tabColor rgb="FF00A3E0"/>
  </sheetPr>
  <dimension ref="A2:R320"/>
  <sheetViews>
    <sheetView topLeftCell="E1" workbookViewId="0">
      <selection activeCell="E1" sqref="E1"/>
    </sheetView>
  </sheetViews>
  <sheetFormatPr defaultColWidth="0" defaultRowHeight="13.5" customHeight="1" x14ac:dyDescent="0.25"/>
  <cols>
    <col min="1" max="1" width="15.54296875" style="334" customWidth="1"/>
    <col min="2" max="2" width="8.54296875" style="334" customWidth="1"/>
    <col min="3" max="3" width="50.54296875" style="334" customWidth="1"/>
    <col min="4" max="4" width="8.54296875" style="334" customWidth="1"/>
    <col min="5" max="8" width="20.54296875" style="334" customWidth="1"/>
    <col min="9" max="9" width="40.7265625" style="5" customWidth="1"/>
    <col min="10" max="10" width="5.7265625" style="7" customWidth="1"/>
    <col min="11" max="14" width="5.7265625" style="5" customWidth="1"/>
    <col min="15" max="15" width="31.7265625" style="5" customWidth="1"/>
    <col min="16" max="17" width="16.7265625" style="5" customWidth="1"/>
    <col min="18" max="18" width="5.7265625" style="5" customWidth="1"/>
    <col min="19" max="16384" width="9.26953125" style="5" hidden="1"/>
  </cols>
  <sheetData>
    <row r="2" spans="1:17" ht="13.5" customHeight="1" thickBot="1" x14ac:dyDescent="0.3">
      <c r="A2" s="5"/>
      <c r="B2" s="5"/>
      <c r="C2" s="5"/>
      <c r="D2" s="5"/>
      <c r="E2" s="5"/>
      <c r="F2" s="5"/>
      <c r="G2" s="5"/>
      <c r="H2" s="5"/>
      <c r="O2" s="395" t="s">
        <v>546</v>
      </c>
      <c r="P2" s="395" t="s">
        <v>547</v>
      </c>
      <c r="Q2" s="395" t="s">
        <v>548</v>
      </c>
    </row>
    <row r="3" spans="1:17" ht="13.5" customHeight="1" thickTop="1" x14ac:dyDescent="0.25">
      <c r="A3" s="335" t="s">
        <v>549</v>
      </c>
      <c r="B3" s="335" t="s">
        <v>550</v>
      </c>
      <c r="C3" s="335"/>
      <c r="D3" s="335" t="s">
        <v>551</v>
      </c>
      <c r="E3" s="336"/>
      <c r="F3" s="335" t="s">
        <v>552</v>
      </c>
      <c r="G3" s="335" t="s">
        <v>553</v>
      </c>
      <c r="H3" s="335" t="s">
        <v>554</v>
      </c>
      <c r="I3" s="335"/>
      <c r="O3" s="393">
        <f>Results!B56</f>
        <v>0</v>
      </c>
      <c r="P3" s="394">
        <v>3</v>
      </c>
      <c r="Q3" s="393"/>
    </row>
    <row r="4" spans="1:17" ht="13.5" customHeight="1" x14ac:dyDescent="0.25">
      <c r="A4" s="335" t="s">
        <v>555</v>
      </c>
      <c r="B4" s="335" t="s">
        <v>556</v>
      </c>
      <c r="C4" s="335" t="s">
        <v>550</v>
      </c>
      <c r="D4" s="335" t="s">
        <v>556</v>
      </c>
      <c r="E4" s="335" t="s">
        <v>557</v>
      </c>
      <c r="F4" s="335" t="s">
        <v>555</v>
      </c>
      <c r="G4" s="335" t="s">
        <v>2</v>
      </c>
      <c r="H4" s="335" t="s">
        <v>558</v>
      </c>
      <c r="I4" s="335" t="s">
        <v>559</v>
      </c>
      <c r="O4" s="332" t="s">
        <v>560</v>
      </c>
      <c r="P4" s="394">
        <v>4</v>
      </c>
      <c r="Q4" s="393"/>
    </row>
    <row r="5" spans="1:17" ht="13.5" customHeight="1" x14ac:dyDescent="0.25">
      <c r="A5" s="330"/>
      <c r="B5" s="330"/>
      <c r="C5" s="330"/>
      <c r="D5" s="330"/>
      <c r="E5" s="90" t="str">
        <f>CONCATENATE("Load"," ",Data!W57,".sim")</f>
        <v>Load Dinamico.sim</v>
      </c>
      <c r="F5" s="330"/>
      <c r="G5" s="330"/>
      <c r="H5" s="330"/>
      <c r="I5" s="330"/>
      <c r="O5" s="332" t="s">
        <v>561</v>
      </c>
      <c r="P5" s="333">
        <v>6</v>
      </c>
      <c r="Q5" s="332"/>
    </row>
    <row r="6" spans="1:17" ht="13.5" customHeight="1" x14ac:dyDescent="0.25">
      <c r="A6" s="174" t="s">
        <v>562</v>
      </c>
      <c r="B6" s="174"/>
      <c r="C6" s="174"/>
      <c r="D6" s="88" t="s">
        <v>563</v>
      </c>
      <c r="E6" s="88" t="s">
        <v>564</v>
      </c>
      <c r="F6" s="88" t="s">
        <v>565</v>
      </c>
      <c r="G6" s="88"/>
      <c r="H6" s="88"/>
      <c r="I6" s="88" t="str">
        <f>CONCATENATE("StageEndTime[", P3, "]")</f>
        <v>StageEndTime[3]</v>
      </c>
      <c r="O6" s="332" t="s">
        <v>566</v>
      </c>
      <c r="P6" s="333">
        <v>7</v>
      </c>
      <c r="Q6" s="332"/>
    </row>
    <row r="7" spans="1:17" ht="13.5" customHeight="1" x14ac:dyDescent="0.25">
      <c r="A7" s="174" t="s">
        <v>562</v>
      </c>
      <c r="B7" s="174"/>
      <c r="C7" s="174"/>
      <c r="D7" s="88" t="s">
        <v>567</v>
      </c>
      <c r="E7" s="88" t="s">
        <v>564</v>
      </c>
      <c r="F7" s="88" t="s">
        <v>565</v>
      </c>
      <c r="G7" s="88"/>
      <c r="H7" s="88"/>
      <c r="I7" s="88" t="str">
        <f>CONCATENATE("StageEndTime[", P4, "]")</f>
        <v>StageEndTime[4]</v>
      </c>
      <c r="J7" s="5"/>
      <c r="O7" s="332" t="s">
        <v>568</v>
      </c>
      <c r="P7" s="333">
        <v>2</v>
      </c>
      <c r="Q7" s="332"/>
    </row>
    <row r="8" spans="1:17" ht="13.5" customHeight="1" x14ac:dyDescent="0.25">
      <c r="A8" s="88" t="s">
        <v>2</v>
      </c>
      <c r="B8" s="88" t="s">
        <v>569</v>
      </c>
      <c r="C8" s="88" t="s">
        <v>570</v>
      </c>
      <c r="D8" s="88" t="str">
        <f t="shared" ref="D8:D13" si="0">SUBSTITUTE(B8, "H", "I")</f>
        <v>I16</v>
      </c>
      <c r="E8" s="88" t="s">
        <v>570</v>
      </c>
      <c r="F8" s="88"/>
      <c r="G8" s="88"/>
      <c r="H8" s="88"/>
      <c r="I8" s="88"/>
      <c r="J8" s="5"/>
      <c r="O8" s="332" t="s">
        <v>571</v>
      </c>
      <c r="P8" s="333">
        <v>2</v>
      </c>
      <c r="Q8" s="332"/>
    </row>
    <row r="9" spans="1:17" ht="13.5" customHeight="1" x14ac:dyDescent="0.25">
      <c r="A9" s="88" t="s">
        <v>2</v>
      </c>
      <c r="B9" s="88" t="s">
        <v>572</v>
      </c>
      <c r="C9" s="88" t="str">
        <f>CONCATENATE(I9," - ",F9)</f>
        <v>NumberOfAttachments - Line</v>
      </c>
      <c r="D9" s="88" t="str">
        <f t="shared" si="0"/>
        <v>I17</v>
      </c>
      <c r="E9" s="88" t="s">
        <v>564</v>
      </c>
      <c r="F9" s="88" t="str">
        <f>CVD_Script_Table!$H$25</f>
        <v>Line</v>
      </c>
      <c r="G9" s="88"/>
      <c r="H9" s="88"/>
      <c r="I9" s="88" t="s">
        <v>573</v>
      </c>
      <c r="J9" s="332">
        <f>Data!$I$17</f>
        <v>0</v>
      </c>
      <c r="O9" s="332" t="s">
        <v>574</v>
      </c>
      <c r="P9" s="333">
        <v>2</v>
      </c>
      <c r="Q9" s="332"/>
    </row>
    <row r="10" spans="1:17" ht="13.5" customHeight="1" x14ac:dyDescent="0.25">
      <c r="A10" s="174" t="s">
        <v>2</v>
      </c>
      <c r="B10" s="88" t="s">
        <v>575</v>
      </c>
      <c r="C10" s="174" t="str">
        <f>CONCATENATE(I10," Max - ", H10," - ",F10)</f>
        <v>End Ey-Moment Max -  - Line</v>
      </c>
      <c r="D10" s="88" t="str">
        <f t="shared" si="0"/>
        <v>I18</v>
      </c>
      <c r="E10" s="88" t="s">
        <v>576</v>
      </c>
      <c r="F10" s="88" t="str">
        <f>CVD_Script_Table!$H$25</f>
        <v>Line</v>
      </c>
      <c r="G10" s="88" t="s">
        <v>577</v>
      </c>
      <c r="H10" s="88"/>
      <c r="I10" s="174" t="s">
        <v>578</v>
      </c>
      <c r="J10" s="5"/>
      <c r="O10" s="332" t="s">
        <v>579</v>
      </c>
      <c r="P10" s="333">
        <v>2</v>
      </c>
      <c r="Q10" s="332"/>
    </row>
    <row r="11" spans="1:17" ht="13.5" customHeight="1" x14ac:dyDescent="0.25">
      <c r="A11" s="174" t="s">
        <v>2</v>
      </c>
      <c r="B11" s="88" t="s">
        <v>580</v>
      </c>
      <c r="C11" s="174" t="str">
        <f>CONCATENATE(I11," Max - ", H11," - ",F11)</f>
        <v>End Ex-Force Max -  - Line</v>
      </c>
      <c r="D11" s="88" t="str">
        <f t="shared" si="0"/>
        <v>I19</v>
      </c>
      <c r="E11" s="88" t="s">
        <v>576</v>
      </c>
      <c r="F11" s="88" t="str">
        <f>CVD_Script_Table!$H$25</f>
        <v>Line</v>
      </c>
      <c r="G11" s="88" t="s">
        <v>577</v>
      </c>
      <c r="H11" s="88"/>
      <c r="I11" s="175" t="s">
        <v>581</v>
      </c>
      <c r="J11" s="5"/>
      <c r="O11" s="332" t="s">
        <v>582</v>
      </c>
      <c r="P11" s="333">
        <v>2</v>
      </c>
      <c r="Q11" s="332"/>
    </row>
    <row r="12" spans="1:17" ht="13.5" customHeight="1" x14ac:dyDescent="0.25">
      <c r="A12" s="174" t="s">
        <v>2</v>
      </c>
      <c r="B12" s="88" t="s">
        <v>583</v>
      </c>
      <c r="C12" s="174" t="str">
        <f>CONCATENATE(I12," Min - ", H12," - ",F12)</f>
        <v>Bend Radius Min - Static State - Line</v>
      </c>
      <c r="D12" s="88" t="str">
        <f t="shared" si="0"/>
        <v>I20</v>
      </c>
      <c r="E12" s="174" t="s">
        <v>584</v>
      </c>
      <c r="F12" s="88" t="str">
        <f>CVD_Script_Table!$H$25</f>
        <v>Line</v>
      </c>
      <c r="G12" s="88"/>
      <c r="H12" s="88" t="s">
        <v>585</v>
      </c>
      <c r="I12" s="88" t="s">
        <v>586</v>
      </c>
      <c r="J12" s="5"/>
      <c r="O12" s="332" t="s">
        <v>587</v>
      </c>
      <c r="P12" s="333" t="s">
        <v>588</v>
      </c>
      <c r="Q12" s="332">
        <f>IF(ISTEXT(postproc_case3ii_time_toque_solo_preview), $Q4, postproc_case3ii_time_toque_solo_preview)</f>
        <v>0</v>
      </c>
    </row>
    <row r="13" spans="1:17" ht="13.5" customHeight="1" x14ac:dyDescent="0.25">
      <c r="A13" s="174" t="s">
        <v>2</v>
      </c>
      <c r="B13" s="88" t="s">
        <v>589</v>
      </c>
      <c r="C13" s="174" t="str">
        <f>CONCATENATE(I13," Min - ", H13," - ",F13)</f>
        <v>Bend Radius Min - 0 to  - Line</v>
      </c>
      <c r="D13" s="88" t="str">
        <f t="shared" si="0"/>
        <v>I21</v>
      </c>
      <c r="E13" s="174" t="s">
        <v>584</v>
      </c>
      <c r="F13" s="88" t="str">
        <f>CVD_Script_Table!$H$25</f>
        <v>Line</v>
      </c>
      <c r="G13" s="88"/>
      <c r="H13" s="176" t="str">
        <f>CONCATENATE(0, " to ",Q4)</f>
        <v xml:space="preserve">0 to </v>
      </c>
      <c r="I13" s="88" t="s">
        <v>586</v>
      </c>
      <c r="J13" s="5"/>
      <c r="O13" s="332" t="s">
        <v>590</v>
      </c>
      <c r="P13" s="333" t="s">
        <v>588</v>
      </c>
      <c r="Q13" s="332">
        <f>IF(ISTEXT(postproc_case3ii_time_toque_solo), $Q4, postproc_case3ii_time_toque_solo)</f>
        <v>0</v>
      </c>
    </row>
    <row r="14" spans="1:17" ht="13.5" customHeight="1" x14ac:dyDescent="0.25">
      <c r="A14" s="174" t="s">
        <v>2</v>
      </c>
      <c r="B14" s="88" t="s">
        <v>591</v>
      </c>
      <c r="C14" s="174" t="str">
        <f>CONCATENATE(I14," Min - ", H14," - ",F14)</f>
        <v>Bend Radius Min - Static State - Stiffener1</v>
      </c>
      <c r="D14" s="88" t="str">
        <f t="shared" ref="D14:D19" si="1">SUBSTITUTE(B14, "H", "I")</f>
        <v>I22</v>
      </c>
      <c r="E14" s="174" t="s">
        <v>584</v>
      </c>
      <c r="F14" s="88" t="str">
        <f>CVD_Script_Table!$H$26</f>
        <v>Stiffener1</v>
      </c>
      <c r="G14" s="88"/>
      <c r="H14" s="88" t="s">
        <v>585</v>
      </c>
      <c r="I14" s="88" t="s">
        <v>586</v>
      </c>
      <c r="J14" s="5"/>
      <c r="O14" s="6"/>
      <c r="P14" s="334"/>
    </row>
    <row r="15" spans="1:17" ht="13.5" customHeight="1" x14ac:dyDescent="0.25">
      <c r="A15" s="174" t="s">
        <v>2</v>
      </c>
      <c r="B15" s="88" t="s">
        <v>592</v>
      </c>
      <c r="C15" s="174" t="str">
        <f>CONCATENATE(I15," Min - ", H15," - ",F15)</f>
        <v>Bend Radius Min - 0 to  - Stiffener1</v>
      </c>
      <c r="D15" s="88" t="str">
        <f t="shared" si="1"/>
        <v>I23</v>
      </c>
      <c r="E15" s="174" t="s">
        <v>584</v>
      </c>
      <c r="F15" s="88" t="str">
        <f>CVD_Script_Table!$H$26</f>
        <v>Stiffener1</v>
      </c>
      <c r="G15" s="88"/>
      <c r="H15" s="176" t="str">
        <f>CONCATENATE(0, " to ",Q4)</f>
        <v xml:space="preserve">0 to </v>
      </c>
      <c r="I15" s="88" t="s">
        <v>586</v>
      </c>
      <c r="J15" s="5"/>
      <c r="O15" s="6"/>
      <c r="P15" s="334"/>
    </row>
    <row r="16" spans="1:17" ht="13.5" customHeight="1" x14ac:dyDescent="0.25">
      <c r="A16" s="174" t="s">
        <v>2</v>
      </c>
      <c r="B16" s="88" t="s">
        <v>593</v>
      </c>
      <c r="C16" s="174" t="str">
        <f>CONCATENATE(I16," Max - ", H16," - ",F16)</f>
        <v>Bend Moment Max - Static State - Stiffener1</v>
      </c>
      <c r="D16" s="88" t="str">
        <f t="shared" si="1"/>
        <v>I24</v>
      </c>
      <c r="E16" s="174" t="s">
        <v>594</v>
      </c>
      <c r="F16" s="88" t="str">
        <f>CVD_Script_Table!$H$26</f>
        <v>Stiffener1</v>
      </c>
      <c r="G16" s="88"/>
      <c r="H16" s="88" t="s">
        <v>585</v>
      </c>
      <c r="I16" s="88" t="s">
        <v>595</v>
      </c>
      <c r="J16" s="5"/>
    </row>
    <row r="17" spans="1:10" ht="13.5" customHeight="1" x14ac:dyDescent="0.25">
      <c r="A17" s="174" t="s">
        <v>2</v>
      </c>
      <c r="B17" s="88" t="s">
        <v>596</v>
      </c>
      <c r="C17" s="174" t="str">
        <f>CONCATENATE(I17," Max - ", H17," - ",F17)</f>
        <v>Bend Moment Max - 0 to  - Stiffener1</v>
      </c>
      <c r="D17" s="88" t="str">
        <f t="shared" si="1"/>
        <v>I25</v>
      </c>
      <c r="E17" s="174" t="s">
        <v>594</v>
      </c>
      <c r="F17" s="88" t="str">
        <f>CVD_Script_Table!$H$26</f>
        <v>Stiffener1</v>
      </c>
      <c r="G17" s="88"/>
      <c r="H17" s="176" t="str">
        <f>CONCATENATE(0, " to ",Q4)</f>
        <v xml:space="preserve">0 to </v>
      </c>
      <c r="I17" s="88" t="s">
        <v>595</v>
      </c>
      <c r="J17" s="5"/>
    </row>
    <row r="18" spans="1:10" ht="13.5" customHeight="1" x14ac:dyDescent="0.25">
      <c r="A18" s="174" t="s">
        <v>2</v>
      </c>
      <c r="B18" s="88" t="s">
        <v>597</v>
      </c>
      <c r="C18" s="174" t="str">
        <f>CONCATENATE(I18," Max - ", H18," - ",F18)</f>
        <v>Shear Force Max - Static State - Stiffener1</v>
      </c>
      <c r="D18" s="88" t="str">
        <f t="shared" si="1"/>
        <v>I26</v>
      </c>
      <c r="E18" s="174" t="s">
        <v>594</v>
      </c>
      <c r="F18" s="88" t="str">
        <f>CVD_Script_Table!$H$26</f>
        <v>Stiffener1</v>
      </c>
      <c r="G18" s="88"/>
      <c r="H18" s="88" t="s">
        <v>585</v>
      </c>
      <c r="I18" s="88" t="s">
        <v>598</v>
      </c>
      <c r="J18" s="5"/>
    </row>
    <row r="19" spans="1:10" ht="13.5" customHeight="1" x14ac:dyDescent="0.25">
      <c r="A19" s="174" t="s">
        <v>2</v>
      </c>
      <c r="B19" s="88" t="s">
        <v>599</v>
      </c>
      <c r="C19" s="174" t="str">
        <f>CONCATENATE(I19," Max - ", H19," - ",F19)</f>
        <v>Shear Force Max - 0 to  - Stiffener1</v>
      </c>
      <c r="D19" s="88" t="str">
        <f t="shared" si="1"/>
        <v>I27</v>
      </c>
      <c r="E19" s="174" t="s">
        <v>594</v>
      </c>
      <c r="F19" s="88" t="str">
        <f>CVD_Script_Table!$H$26</f>
        <v>Stiffener1</v>
      </c>
      <c r="G19" s="88"/>
      <c r="H19" s="176" t="str">
        <f>CONCATENATE(0, " to ",Q4)</f>
        <v xml:space="preserve">0 to </v>
      </c>
      <c r="I19" s="88" t="s">
        <v>598</v>
      </c>
      <c r="J19" s="5"/>
    </row>
    <row r="20" spans="1:10" ht="13.5" customHeight="1" x14ac:dyDescent="0.25">
      <c r="A20" s="88" t="s">
        <v>600</v>
      </c>
      <c r="B20" s="88" t="s">
        <v>601</v>
      </c>
      <c r="C20" s="88" t="str">
        <f>_xlfn.CONCAT(I20," - ",F20)</f>
        <v>Vertical Seabed Clearance - Line</v>
      </c>
      <c r="D20" s="88" t="s">
        <v>602</v>
      </c>
      <c r="E20" s="88" t="s">
        <v>603</v>
      </c>
      <c r="F20" s="88" t="str">
        <f>CVD_Script_Table!$H$25</f>
        <v>Line</v>
      </c>
      <c r="G20" s="88"/>
      <c r="H20" s="88" t="s">
        <v>585</v>
      </c>
      <c r="I20" s="88" t="s">
        <v>604</v>
      </c>
      <c r="J20" s="5"/>
    </row>
    <row r="21" spans="1:10" ht="13.5" customHeight="1" x14ac:dyDescent="0.25">
      <c r="A21" s="88" t="s">
        <v>600</v>
      </c>
      <c r="B21" s="88" t="s">
        <v>605</v>
      </c>
      <c r="C21" s="88" t="str">
        <f>_xlfn.CONCAT(I21," - ",F21)</f>
        <v>Vertical Seabed Clearance - Stiffener1</v>
      </c>
      <c r="D21" s="88" t="s">
        <v>606</v>
      </c>
      <c r="E21" s="88" t="s">
        <v>603</v>
      </c>
      <c r="F21" s="88" t="str">
        <f>CVD_Script_Table!$H$26</f>
        <v>Stiffener1</v>
      </c>
      <c r="G21" s="88"/>
      <c r="H21" s="88" t="s">
        <v>585</v>
      </c>
      <c r="I21" s="88" t="s">
        <v>604</v>
      </c>
      <c r="J21" s="5"/>
    </row>
    <row r="22" spans="1:10" ht="13.5" customHeight="1" x14ac:dyDescent="0.25">
      <c r="A22" s="174" t="s">
        <v>607</v>
      </c>
      <c r="B22" s="174" t="s">
        <v>608</v>
      </c>
      <c r="C22" s="174" t="str">
        <f>CONCATENATE(E22," - ",F22," - ",G22," - ",H22," - ",I22)</f>
        <v>Linked Statistics - Line - End B - 0 to  - End Ex-Force,End Ez-Force,End Ey-Moment</v>
      </c>
      <c r="D22" s="174" t="s">
        <v>609</v>
      </c>
      <c r="E22" s="174" t="s">
        <v>610</v>
      </c>
      <c r="F22" s="88" t="str">
        <f>CVD_Script_Table!$H$25</f>
        <v>Line</v>
      </c>
      <c r="G22" s="174" t="s">
        <v>577</v>
      </c>
      <c r="H22" s="176" t="str">
        <f>CONCATENATE(0, " to ", $Q$3)</f>
        <v xml:space="preserve">0 to </v>
      </c>
      <c r="I22" s="88" t="s">
        <v>611</v>
      </c>
      <c r="J22" s="5"/>
    </row>
    <row r="23" spans="1:10" ht="13.5" customHeight="1" x14ac:dyDescent="0.25">
      <c r="A23" s="174" t="s">
        <v>607</v>
      </c>
      <c r="B23" s="174" t="s">
        <v>612</v>
      </c>
      <c r="C23" s="174" t="str">
        <f>CONCATENATE(E23," - ",F23," - ",G23," - ",H23," - ",I23)</f>
        <v>Time History - Line - Touchdown - 0 to  - Arc Length</v>
      </c>
      <c r="D23" s="174" t="s">
        <v>613</v>
      </c>
      <c r="E23" s="174" t="s">
        <v>614</v>
      </c>
      <c r="F23" s="88" t="str">
        <f>CVD_Script_Table!$H$25</f>
        <v>Line</v>
      </c>
      <c r="G23" s="174" t="s">
        <v>615</v>
      </c>
      <c r="H23" s="176" t="str">
        <f>CONCATENATE(0, " to ",Q$4)</f>
        <v xml:space="preserve">0 to </v>
      </c>
      <c r="I23" s="88" t="s">
        <v>616</v>
      </c>
      <c r="J23" s="5"/>
    </row>
    <row r="24" spans="1:10" ht="13.5" customHeight="1" x14ac:dyDescent="0.25">
      <c r="A24" s="174" t="s">
        <v>607</v>
      </c>
      <c r="B24" s="174" t="s">
        <v>617</v>
      </c>
      <c r="C24" s="174" t="str">
        <f>CONCATENATE(E24," - ",F24," - ",G24," - ",H24," - ",I24)</f>
        <v>Time History - Stiffener1 - Touchdown - 0 to  - Arc Length</v>
      </c>
      <c r="D24" s="174" t="s">
        <v>618</v>
      </c>
      <c r="E24" s="174" t="s">
        <v>614</v>
      </c>
      <c r="F24" s="174" t="str">
        <f>CVD_Script_Table!$H$26</f>
        <v>Stiffener1</v>
      </c>
      <c r="G24" s="174" t="s">
        <v>615</v>
      </c>
      <c r="H24" s="176" t="str">
        <f>CONCATENATE(0, " to ",Q$4)</f>
        <v xml:space="preserve">0 to </v>
      </c>
      <c r="I24" s="88" t="s">
        <v>616</v>
      </c>
      <c r="J24" s="5"/>
    </row>
    <row r="25" spans="1:10" ht="13.5" customHeight="1" x14ac:dyDescent="0.25">
      <c r="A25" s="174" t="s">
        <v>607</v>
      </c>
      <c r="B25" s="174" t="s">
        <v>619</v>
      </c>
      <c r="C25" s="174" t="str">
        <f>CONCATENATE(E25," - ",H25,)</f>
        <v xml:space="preserve">Sample Times - 0 to </v>
      </c>
      <c r="D25" s="174" t="s">
        <v>620</v>
      </c>
      <c r="E25" s="174" t="s">
        <v>621</v>
      </c>
      <c r="F25" s="174"/>
      <c r="G25" s="174"/>
      <c r="H25" s="176" t="str">
        <f>CONCATENATE(0, " to ",Q$4)</f>
        <v xml:space="preserve">0 to </v>
      </c>
      <c r="I25" s="88"/>
      <c r="J25" s="5"/>
    </row>
    <row r="26" spans="1:10" ht="13.5" customHeight="1" x14ac:dyDescent="0.25">
      <c r="A26" s="174" t="s">
        <v>607</v>
      </c>
      <c r="B26" s="174" t="s">
        <v>622</v>
      </c>
      <c r="C26" s="174" t="str">
        <f>CONCATENATE(E26," - ",F26," - ",G26," - ",H26," - ",I26)</f>
        <v>Linked Statistics - Line - End B - -0.001 to 0.001 - End Ex-Force,End Ez-Force,End Ey-Moment</v>
      </c>
      <c r="D26" s="174" t="s">
        <v>623</v>
      </c>
      <c r="E26" s="174" t="s">
        <v>610</v>
      </c>
      <c r="F26" s="88" t="str">
        <f>CVD_Script_Table!$H$25</f>
        <v>Line</v>
      </c>
      <c r="G26" s="174" t="s">
        <v>577</v>
      </c>
      <c r="H26" s="423" t="str">
        <f>_xlfn.CONCAT(Q12-0.001, " to ", Q12+0.001)</f>
        <v>-0.001 to 0.001</v>
      </c>
      <c r="I26" s="88" t="s">
        <v>611</v>
      </c>
      <c r="J26" s="5"/>
    </row>
    <row r="27" spans="1:10" ht="13.5" customHeight="1" x14ac:dyDescent="0.25">
      <c r="A27" s="330"/>
      <c r="B27" s="91"/>
      <c r="C27" s="91"/>
      <c r="D27" s="91"/>
      <c r="E27" s="90" t="str">
        <f>CONCATENATE("Load ",Data!W58,".sim")</f>
        <v>Load cases_4_5\Caso3_lançamento.sim</v>
      </c>
      <c r="F27" s="91"/>
      <c r="G27" s="91"/>
      <c r="H27" s="91"/>
      <c r="I27" s="91"/>
      <c r="J27" s="5"/>
    </row>
    <row r="28" spans="1:10" ht="13.5" customHeight="1" x14ac:dyDescent="0.25">
      <c r="A28" s="174" t="s">
        <v>562</v>
      </c>
      <c r="B28" s="174"/>
      <c r="C28" s="174"/>
      <c r="D28" s="88" t="s">
        <v>624</v>
      </c>
      <c r="E28" s="88" t="s">
        <v>564</v>
      </c>
      <c r="F28" s="88" t="s">
        <v>565</v>
      </c>
      <c r="G28" s="88"/>
      <c r="H28" s="88"/>
      <c r="I28" s="88" t="s">
        <v>625</v>
      </c>
      <c r="J28" s="5"/>
    </row>
    <row r="29" spans="1:10" ht="13.5" customHeight="1" x14ac:dyDescent="0.25">
      <c r="A29" s="174" t="s">
        <v>562</v>
      </c>
      <c r="B29" s="174"/>
      <c r="C29" s="174"/>
      <c r="D29" s="88" t="s">
        <v>626</v>
      </c>
      <c r="E29" s="88" t="s">
        <v>564</v>
      </c>
      <c r="F29" s="88" t="s">
        <v>565</v>
      </c>
      <c r="G29" s="88"/>
      <c r="H29" s="88"/>
      <c r="I29" s="88" t="str">
        <f>CONCATENATE("StageEndTime[", P5, "]")</f>
        <v>StageEndTime[6]</v>
      </c>
      <c r="J29" s="5"/>
    </row>
    <row r="30" spans="1:10" ht="13.5" customHeight="1" x14ac:dyDescent="0.25">
      <c r="A30" s="174" t="s">
        <v>562</v>
      </c>
      <c r="B30" s="174"/>
      <c r="C30" s="174"/>
      <c r="D30" s="88" t="s">
        <v>627</v>
      </c>
      <c r="E30" s="88" t="s">
        <v>564</v>
      </c>
      <c r="F30" s="88" t="s">
        <v>565</v>
      </c>
      <c r="G30" s="88"/>
      <c r="H30" s="88"/>
      <c r="I30" s="88" t="str">
        <f>CONCATENATE("StageEndTime[", P6, "]")</f>
        <v>StageEndTime[7]</v>
      </c>
      <c r="J30" s="5"/>
    </row>
    <row r="31" spans="1:10" ht="13.5" customHeight="1" x14ac:dyDescent="0.25">
      <c r="A31" s="174" t="s">
        <v>2</v>
      </c>
      <c r="B31" s="174" t="s">
        <v>628</v>
      </c>
      <c r="C31" s="174" t="str">
        <f>CONCATENATE(I31," - ",F31)</f>
        <v>Vertical Seabed Clearance - Stiffener1</v>
      </c>
      <c r="D31" s="174" t="str">
        <f>SUBSTITUTE(B31, "B", "C")</f>
        <v>C26</v>
      </c>
      <c r="E31" s="174" t="s">
        <v>584</v>
      </c>
      <c r="F31" s="174" t="str">
        <f>CVD_Script_Table!$H$26</f>
        <v>Stiffener1</v>
      </c>
      <c r="G31" s="174"/>
      <c r="H31" s="174" t="s">
        <v>585</v>
      </c>
      <c r="I31" s="88" t="s">
        <v>604</v>
      </c>
      <c r="J31" s="5"/>
    </row>
    <row r="32" spans="1:10" ht="13.5" customHeight="1" x14ac:dyDescent="0.25">
      <c r="A32" s="174" t="s">
        <v>2</v>
      </c>
      <c r="B32" s="174" t="s">
        <v>629</v>
      </c>
      <c r="C32" s="174" t="str">
        <f>CONCATENATE(I32," - ",F32)</f>
        <v>Vertical Seabed Clearance - Line</v>
      </c>
      <c r="D32" s="174" t="str">
        <f>SUBSTITUTE(B32, "B", "C")</f>
        <v>C27</v>
      </c>
      <c r="E32" s="174" t="s">
        <v>584</v>
      </c>
      <c r="F32" s="88" t="str">
        <f>CVD_Script_Table!$H$25</f>
        <v>Line</v>
      </c>
      <c r="G32" s="174"/>
      <c r="H32" s="174" t="s">
        <v>585</v>
      </c>
      <c r="I32" s="88" t="s">
        <v>604</v>
      </c>
      <c r="J32" s="5"/>
    </row>
    <row r="33" spans="1:10" ht="13.5" customHeight="1" x14ac:dyDescent="0.25">
      <c r="A33" s="174" t="s">
        <v>2</v>
      </c>
      <c r="B33" s="174" t="s">
        <v>630</v>
      </c>
      <c r="C33" s="174" t="str">
        <f>CONCATENATE(I33," - ", H33," - ",F33)</f>
        <v>Bend Radius - Static State - Line</v>
      </c>
      <c r="D33" s="174" t="str">
        <f>SUBSTITUTE(B33, "B", "C")</f>
        <v>C28</v>
      </c>
      <c r="E33" s="174" t="s">
        <v>584</v>
      </c>
      <c r="F33" s="88" t="str">
        <f>CVD_Script_Table!$H$25</f>
        <v>Line</v>
      </c>
      <c r="G33" s="174"/>
      <c r="H33" s="174" t="s">
        <v>585</v>
      </c>
      <c r="I33" s="88" t="s">
        <v>586</v>
      </c>
      <c r="J33" s="5"/>
    </row>
    <row r="34" spans="1:10" ht="13.5" customHeight="1" x14ac:dyDescent="0.25">
      <c r="A34" s="174" t="s">
        <v>2</v>
      </c>
      <c r="B34" s="174" t="s">
        <v>631</v>
      </c>
      <c r="C34" s="174" t="str">
        <f t="shared" ref="C34:C45" si="2">CONCATENATE(I34," - ", H34," - ",F34)</f>
        <v>Bend Radius - 0 to  - Line</v>
      </c>
      <c r="D34" s="174" t="str">
        <f t="shared" ref="D34:D41" si="3">SUBSTITUTE(B34, "B", "C")</f>
        <v>C29</v>
      </c>
      <c r="E34" s="174" t="s">
        <v>584</v>
      </c>
      <c r="F34" s="88" t="str">
        <f>CVD_Script_Table!$H$25</f>
        <v>Line</v>
      </c>
      <c r="G34" s="174"/>
      <c r="H34" s="176" t="str">
        <f>CONCATENATE(0, " to ", $Q$4)</f>
        <v xml:space="preserve">0 to </v>
      </c>
      <c r="I34" s="88" t="s">
        <v>586</v>
      </c>
      <c r="J34" s="5"/>
    </row>
    <row r="35" spans="1:10" ht="13.5" customHeight="1" x14ac:dyDescent="0.25">
      <c r="A35" s="174" t="s">
        <v>2</v>
      </c>
      <c r="B35" s="174" t="s">
        <v>632</v>
      </c>
      <c r="C35" s="174" t="str">
        <f t="shared" si="2"/>
        <v>Bend Radius - Whole Simulation - Line</v>
      </c>
      <c r="D35" s="174" t="str">
        <f t="shared" si="3"/>
        <v>C30</v>
      </c>
      <c r="E35" s="174" t="s">
        <v>584</v>
      </c>
      <c r="F35" s="88" t="str">
        <f>CVD_Script_Table!$H$25</f>
        <v>Line</v>
      </c>
      <c r="G35" s="174"/>
      <c r="H35" s="175" t="s">
        <v>633</v>
      </c>
      <c r="I35" s="88" t="s">
        <v>586</v>
      </c>
      <c r="J35" s="5"/>
    </row>
    <row r="36" spans="1:10" ht="13.5" customHeight="1" x14ac:dyDescent="0.25">
      <c r="A36" s="88" t="s">
        <v>2</v>
      </c>
      <c r="B36" s="174" t="s">
        <v>634</v>
      </c>
      <c r="C36" s="174" t="str">
        <f>CONCATENATE(I36," - ", G36," - ",F36)</f>
        <v>Z - End B - Line</v>
      </c>
      <c r="D36" s="174" t="str">
        <f t="shared" si="3"/>
        <v>C31</v>
      </c>
      <c r="E36" s="88" t="s">
        <v>576</v>
      </c>
      <c r="F36" s="88" t="str">
        <f>CVD_Script_Table!$H$25</f>
        <v>Line</v>
      </c>
      <c r="G36" s="89" t="s">
        <v>577</v>
      </c>
      <c r="H36" s="88"/>
      <c r="I36" s="88" t="s">
        <v>635</v>
      </c>
      <c r="J36" s="5"/>
    </row>
    <row r="37" spans="1:10" ht="13.5" customHeight="1" x14ac:dyDescent="0.25">
      <c r="A37" s="174" t="s">
        <v>2</v>
      </c>
      <c r="B37" s="174" t="s">
        <v>636</v>
      </c>
      <c r="C37" s="174" t="str">
        <f t="shared" si="2"/>
        <v>End Ez-Force -  - Line</v>
      </c>
      <c r="D37" s="174" t="str">
        <f t="shared" si="3"/>
        <v>C32</v>
      </c>
      <c r="E37" s="174" t="s">
        <v>576</v>
      </c>
      <c r="F37" s="88" t="str">
        <f>CVD_Script_Table!$H$25</f>
        <v>Line</v>
      </c>
      <c r="G37" s="174" t="s">
        <v>577</v>
      </c>
      <c r="H37" s="174"/>
      <c r="I37" s="88" t="s">
        <v>637</v>
      </c>
      <c r="J37" s="5"/>
    </row>
    <row r="38" spans="1:10" ht="13.5" customHeight="1" x14ac:dyDescent="0.25">
      <c r="A38" s="174" t="s">
        <v>2</v>
      </c>
      <c r="B38" s="174" t="s">
        <v>638</v>
      </c>
      <c r="C38" s="174" t="str">
        <f t="shared" si="2"/>
        <v>End Ex-Force -  - Line</v>
      </c>
      <c r="D38" s="174" t="str">
        <f t="shared" si="3"/>
        <v>C33</v>
      </c>
      <c r="E38" s="174" t="s">
        <v>576</v>
      </c>
      <c r="F38" s="88" t="str">
        <f>CVD_Script_Table!$H$25</f>
        <v>Line</v>
      </c>
      <c r="G38" s="174" t="s">
        <v>577</v>
      </c>
      <c r="H38" s="174"/>
      <c r="I38" s="88" t="s">
        <v>581</v>
      </c>
      <c r="J38" s="5"/>
    </row>
    <row r="39" spans="1:10" ht="13.5" customHeight="1" x14ac:dyDescent="0.25">
      <c r="A39" s="174" t="s">
        <v>2</v>
      </c>
      <c r="B39" s="174" t="s">
        <v>639</v>
      </c>
      <c r="C39" s="174" t="str">
        <f t="shared" si="2"/>
        <v>End Ey-Moment -  - Line</v>
      </c>
      <c r="D39" s="174" t="str">
        <f t="shared" si="3"/>
        <v>C34</v>
      </c>
      <c r="E39" s="174" t="s">
        <v>576</v>
      </c>
      <c r="F39" s="88" t="str">
        <f>CVD_Script_Table!$H$25</f>
        <v>Line</v>
      </c>
      <c r="G39" s="174" t="s">
        <v>577</v>
      </c>
      <c r="H39" s="174"/>
      <c r="I39" s="88" t="s">
        <v>578</v>
      </c>
      <c r="J39" s="5"/>
    </row>
    <row r="40" spans="1:10" ht="13.5" customHeight="1" x14ac:dyDescent="0.25">
      <c r="A40" s="174" t="s">
        <v>2</v>
      </c>
      <c r="B40" s="174" t="s">
        <v>640</v>
      </c>
      <c r="C40" s="174" t="str">
        <f t="shared" si="2"/>
        <v>Bend Radius - Static State - Stiffener1</v>
      </c>
      <c r="D40" s="174" t="str">
        <f t="shared" si="3"/>
        <v>C35</v>
      </c>
      <c r="E40" s="174" t="s">
        <v>584</v>
      </c>
      <c r="F40" s="174" t="str">
        <f>CVD_Script_Table!$H$26</f>
        <v>Stiffener1</v>
      </c>
      <c r="G40" s="174"/>
      <c r="H40" s="174" t="s">
        <v>585</v>
      </c>
      <c r="I40" s="88" t="s">
        <v>586</v>
      </c>
      <c r="J40" s="5"/>
    </row>
    <row r="41" spans="1:10" ht="13.5" customHeight="1" x14ac:dyDescent="0.25">
      <c r="A41" s="174" t="s">
        <v>2</v>
      </c>
      <c r="B41" s="174" t="s">
        <v>641</v>
      </c>
      <c r="C41" s="174" t="str">
        <f t="shared" si="2"/>
        <v>Bend Radius - 0 to  - Stiffener1</v>
      </c>
      <c r="D41" s="174" t="str">
        <f t="shared" si="3"/>
        <v>C36</v>
      </c>
      <c r="E41" s="174" t="s">
        <v>584</v>
      </c>
      <c r="F41" s="174" t="str">
        <f>CVD_Script_Table!$H$26</f>
        <v>Stiffener1</v>
      </c>
      <c r="G41" s="174"/>
      <c r="H41" s="176" t="str">
        <f>CONCATENATE(0, " to ", $Q$4)</f>
        <v xml:space="preserve">0 to </v>
      </c>
      <c r="I41" s="88" t="s">
        <v>586</v>
      </c>
      <c r="J41" s="5"/>
    </row>
    <row r="42" spans="1:10" ht="13.5" customHeight="1" x14ac:dyDescent="0.25">
      <c r="A42" s="174" t="s">
        <v>2</v>
      </c>
      <c r="B42" s="174" t="s">
        <v>642</v>
      </c>
      <c r="C42" s="174" t="str">
        <f t="shared" si="2"/>
        <v>Bend Moment - Static State - Stiffener1</v>
      </c>
      <c r="D42" s="174" t="str">
        <f t="shared" ref="D42:D50" si="4">SUBSTITUTE(B42, "B", "C")</f>
        <v>C37</v>
      </c>
      <c r="E42" s="174" t="s">
        <v>594</v>
      </c>
      <c r="F42" s="174" t="str">
        <f>CVD_Script_Table!$H$26</f>
        <v>Stiffener1</v>
      </c>
      <c r="G42" s="174"/>
      <c r="H42" s="174" t="s">
        <v>585</v>
      </c>
      <c r="I42" s="88" t="s">
        <v>595</v>
      </c>
      <c r="J42" s="5"/>
    </row>
    <row r="43" spans="1:10" ht="13.5" customHeight="1" x14ac:dyDescent="0.25">
      <c r="A43" s="174" t="s">
        <v>2</v>
      </c>
      <c r="B43" s="174" t="s">
        <v>643</v>
      </c>
      <c r="C43" s="174" t="str">
        <f t="shared" si="2"/>
        <v>Bend Moment - 0 to  - Stiffener1</v>
      </c>
      <c r="D43" s="174" t="str">
        <f t="shared" si="4"/>
        <v>C38</v>
      </c>
      <c r="E43" s="174" t="s">
        <v>594</v>
      </c>
      <c r="F43" s="174" t="str">
        <f>CVD_Script_Table!$H$26</f>
        <v>Stiffener1</v>
      </c>
      <c r="G43" s="174"/>
      <c r="H43" s="176" t="str">
        <f>CONCATENATE(0, " to ", $Q$4)</f>
        <v xml:space="preserve">0 to </v>
      </c>
      <c r="I43" s="88" t="s">
        <v>595</v>
      </c>
      <c r="J43" s="5"/>
    </row>
    <row r="44" spans="1:10" ht="13.5" customHeight="1" x14ac:dyDescent="0.25">
      <c r="A44" s="174" t="s">
        <v>2</v>
      </c>
      <c r="B44" s="174" t="s">
        <v>644</v>
      </c>
      <c r="C44" s="174" t="str">
        <f t="shared" si="2"/>
        <v>Shear Force - Static State - Stiffener1</v>
      </c>
      <c r="D44" s="174" t="str">
        <f t="shared" si="4"/>
        <v>C39</v>
      </c>
      <c r="E44" s="174" t="s">
        <v>594</v>
      </c>
      <c r="F44" s="174" t="str">
        <f>CVD_Script_Table!$H$26</f>
        <v>Stiffener1</v>
      </c>
      <c r="G44" s="174"/>
      <c r="H44" s="174" t="s">
        <v>585</v>
      </c>
      <c r="I44" s="88" t="s">
        <v>598</v>
      </c>
      <c r="J44" s="5"/>
    </row>
    <row r="45" spans="1:10" ht="13.5" customHeight="1" x14ac:dyDescent="0.25">
      <c r="A45" s="174" t="s">
        <v>2</v>
      </c>
      <c r="B45" s="174" t="s">
        <v>645</v>
      </c>
      <c r="C45" s="174" t="str">
        <f t="shared" si="2"/>
        <v>Shear Force - 0 to  - Stiffener1</v>
      </c>
      <c r="D45" s="174" t="str">
        <f t="shared" si="4"/>
        <v>C40</v>
      </c>
      <c r="E45" s="174" t="s">
        <v>594</v>
      </c>
      <c r="F45" s="174" t="str">
        <f>CVD_Script_Table!$H$26</f>
        <v>Stiffener1</v>
      </c>
      <c r="G45" s="174"/>
      <c r="H45" s="176" t="str">
        <f>CONCATENATE(0, " to ", $Q$4)</f>
        <v xml:space="preserve">0 to </v>
      </c>
      <c r="I45" s="88" t="s">
        <v>598</v>
      </c>
      <c r="J45" s="5"/>
    </row>
    <row r="46" spans="1:10" ht="13.5" customHeight="1" x14ac:dyDescent="0.25">
      <c r="A46" s="88" t="s">
        <v>2</v>
      </c>
      <c r="B46" s="174" t="s">
        <v>646</v>
      </c>
      <c r="C46" s="88" t="str">
        <f>CONCATENATE(I46," - ",F46)</f>
        <v>SeabedOriginX - Environment</v>
      </c>
      <c r="D46" s="88" t="str">
        <f t="shared" si="4"/>
        <v>C41</v>
      </c>
      <c r="E46" s="88" t="s">
        <v>564</v>
      </c>
      <c r="F46" s="88" t="s">
        <v>647</v>
      </c>
      <c r="G46" s="88"/>
      <c r="H46" s="88"/>
      <c r="I46" s="88" t="s">
        <v>648</v>
      </c>
      <c r="J46" s="5"/>
    </row>
    <row r="47" spans="1:10" ht="13.5" customHeight="1" x14ac:dyDescent="0.25">
      <c r="A47" s="88" t="s">
        <v>2</v>
      </c>
      <c r="B47" s="174" t="s">
        <v>649</v>
      </c>
      <c r="C47" s="88" t="str">
        <f>CONCATENATE(I47," - ",F47)</f>
        <v>Depth - Environment</v>
      </c>
      <c r="D47" s="174" t="str">
        <f t="shared" si="4"/>
        <v>C42</v>
      </c>
      <c r="E47" s="88" t="s">
        <v>564</v>
      </c>
      <c r="F47" s="88" t="s">
        <v>647</v>
      </c>
      <c r="G47" s="88"/>
      <c r="H47" s="88"/>
      <c r="I47" s="88" t="s">
        <v>650</v>
      </c>
      <c r="J47" s="5"/>
    </row>
    <row r="48" spans="1:10" ht="13.5" customHeight="1" x14ac:dyDescent="0.25">
      <c r="A48" s="88" t="s">
        <v>2</v>
      </c>
      <c r="B48" s="174" t="s">
        <v>651</v>
      </c>
      <c r="C48" s="88" t="str">
        <f>CONCATENATE(I48," - ",F48)</f>
        <v>X - 2184362-14_/_SK-130685-17</v>
      </c>
      <c r="D48" s="88" t="str">
        <f t="shared" si="4"/>
        <v>C43</v>
      </c>
      <c r="E48" s="88" t="s">
        <v>576</v>
      </c>
      <c r="F48" s="331" t="str">
        <f>CVD_Script_Table!$H$19</f>
        <v>2184362-14_/_SK-130685-17</v>
      </c>
      <c r="G48" s="88"/>
      <c r="H48" s="88"/>
      <c r="I48" s="88" t="s">
        <v>652</v>
      </c>
      <c r="J48" s="5"/>
    </row>
    <row r="49" spans="1:10" ht="13.5" customHeight="1" x14ac:dyDescent="0.25">
      <c r="A49" s="88" t="s">
        <v>2</v>
      </c>
      <c r="B49" s="174" t="s">
        <v>653</v>
      </c>
      <c r="C49" s="88" t="str">
        <f>CONCATENATE(I49," - ",F49)</f>
        <v>Rotation 2 - 2184362-14_/_SK-130685-17</v>
      </c>
      <c r="D49" s="174" t="str">
        <f t="shared" si="4"/>
        <v>C44</v>
      </c>
      <c r="E49" s="88" t="s">
        <v>576</v>
      </c>
      <c r="F49" s="331" t="str">
        <f>CVD_Script_Table!$H$19</f>
        <v>2184362-14_/_SK-130685-17</v>
      </c>
      <c r="G49" s="88"/>
      <c r="H49" s="88"/>
      <c r="I49" s="88" t="s">
        <v>654</v>
      </c>
      <c r="J49" s="5"/>
    </row>
    <row r="50" spans="1:10" ht="13.5" customHeight="1" x14ac:dyDescent="0.25">
      <c r="A50" s="88" t="s">
        <v>2</v>
      </c>
      <c r="B50" s="174" t="s">
        <v>655</v>
      </c>
      <c r="C50" s="88" t="str">
        <f>CONCATENATE(I50," - ",F50)</f>
        <v>StageValue[3] - A/R</v>
      </c>
      <c r="D50" s="174" t="str">
        <f t="shared" si="4"/>
        <v>C45</v>
      </c>
      <c r="E50" s="88" t="s">
        <v>564</v>
      </c>
      <c r="F50" s="88" t="str">
        <f>CVD_Script_Table!$H$27</f>
        <v>A/R</v>
      </c>
      <c r="G50" s="88"/>
      <c r="H50" s="88"/>
      <c r="I50" s="88" t="s">
        <v>656</v>
      </c>
      <c r="J50" s="5"/>
    </row>
    <row r="51" spans="1:10" ht="13.5" customHeight="1" x14ac:dyDescent="0.25">
      <c r="A51" s="174" t="s">
        <v>607</v>
      </c>
      <c r="B51" s="174" t="s">
        <v>657</v>
      </c>
      <c r="C51" s="174" t="str">
        <f>CONCATENATE(E51," - ",F51," - ",G51," - ",H51," - ",I51)</f>
        <v>Linked Statistics - Line - End B - 0 to  - End Ex-Force,End Ez-Force,End Ey-Moment</v>
      </c>
      <c r="D51" s="174" t="s">
        <v>658</v>
      </c>
      <c r="E51" s="174" t="s">
        <v>610</v>
      </c>
      <c r="F51" s="88" t="str">
        <f>CVD_Script_Table!$H$25</f>
        <v>Line</v>
      </c>
      <c r="G51" s="174" t="s">
        <v>577</v>
      </c>
      <c r="H51" s="176" t="str">
        <f>CONCATENATE(0, " to ", $Q$3)</f>
        <v xml:space="preserve">0 to </v>
      </c>
      <c r="I51" s="88" t="s">
        <v>611</v>
      </c>
      <c r="J51" s="5" t="s">
        <v>659</v>
      </c>
    </row>
    <row r="52" spans="1:10" ht="13.5" customHeight="1" x14ac:dyDescent="0.25">
      <c r="A52" s="174" t="s">
        <v>607</v>
      </c>
      <c r="B52" s="174" t="s">
        <v>626</v>
      </c>
      <c r="C52" s="174" t="str">
        <f>CONCATENATE(E52," - ",F52," - ",G52," - ",H52," - ",I52)</f>
        <v>Time History - Line - Touchdown - Whole Simulation - Arc Length</v>
      </c>
      <c r="D52" s="174" t="s">
        <v>627</v>
      </c>
      <c r="E52" s="174" t="s">
        <v>614</v>
      </c>
      <c r="F52" s="88" t="str">
        <f>CVD_Script_Table!$H$25</f>
        <v>Line</v>
      </c>
      <c r="G52" s="174" t="s">
        <v>615</v>
      </c>
      <c r="H52" s="175" t="s">
        <v>633</v>
      </c>
      <c r="I52" s="88" t="s">
        <v>616</v>
      </c>
      <c r="J52" s="5" t="s">
        <v>660</v>
      </c>
    </row>
    <row r="53" spans="1:10" ht="13.5" customHeight="1" x14ac:dyDescent="0.25">
      <c r="A53" s="174" t="s">
        <v>607</v>
      </c>
      <c r="B53" s="174" t="s">
        <v>661</v>
      </c>
      <c r="C53" s="174" t="str">
        <f>CONCATENATE(E53," - ",F53," - ",G53," - ",H53," - ",I53)</f>
        <v>Time History - Stiffener1 - Touchdown - Whole Simulation - Arc Length</v>
      </c>
      <c r="D53" s="174" t="s">
        <v>662</v>
      </c>
      <c r="E53" s="174" t="s">
        <v>614</v>
      </c>
      <c r="F53" s="174" t="str">
        <f>CVD_Script_Table!$H$26</f>
        <v>Stiffener1</v>
      </c>
      <c r="G53" s="174" t="s">
        <v>615</v>
      </c>
      <c r="H53" s="175" t="s">
        <v>633</v>
      </c>
      <c r="I53" s="88" t="s">
        <v>616</v>
      </c>
      <c r="J53" s="5" t="s">
        <v>660</v>
      </c>
    </row>
    <row r="54" spans="1:10" ht="13.5" customHeight="1" x14ac:dyDescent="0.25">
      <c r="A54" s="174" t="s">
        <v>607</v>
      </c>
      <c r="B54" s="174" t="s">
        <v>663</v>
      </c>
      <c r="C54" s="174" t="str">
        <f>CONCATENATE(E54," - ",H54,)</f>
        <v>Sample Times - Whole Simulation</v>
      </c>
      <c r="D54" s="174" t="s">
        <v>664</v>
      </c>
      <c r="E54" s="174" t="s">
        <v>621</v>
      </c>
      <c r="F54" s="174"/>
      <c r="G54" s="174"/>
      <c r="H54" s="175" t="s">
        <v>633</v>
      </c>
      <c r="I54" s="88"/>
      <c r="J54" s="5" t="s">
        <v>660</v>
      </c>
    </row>
    <row r="55" spans="1:10" ht="13.5" customHeight="1" x14ac:dyDescent="0.25">
      <c r="A55" s="174" t="s">
        <v>607</v>
      </c>
      <c r="B55" s="174" t="s">
        <v>665</v>
      </c>
      <c r="C55" s="174" t="str">
        <f>CONCATENATE(E55," - ",F55," - ",G55," - ",H55," - ",I55)</f>
        <v>Linked Statistics - Line - End B - -0.001 to 0.001 - End Ex-Force,End Ez-Force,End Ey-Moment</v>
      </c>
      <c r="D55" s="174" t="s">
        <v>666</v>
      </c>
      <c r="E55" s="174" t="s">
        <v>610</v>
      </c>
      <c r="F55" s="88" t="str">
        <f>CVD_Script_Table!$H$25</f>
        <v>Line</v>
      </c>
      <c r="G55" s="174" t="s">
        <v>577</v>
      </c>
      <c r="H55" s="423" t="str">
        <f>_xlfn.CONCAT(Q13-0.001, " to ", Q13+0.001)</f>
        <v>-0.001 to 0.001</v>
      </c>
      <c r="I55" s="88" t="s">
        <v>611</v>
      </c>
      <c r="J55" s="5" t="s">
        <v>660</v>
      </c>
    </row>
    <row r="56" spans="1:10" ht="13.5" customHeight="1" x14ac:dyDescent="0.25">
      <c r="A56" s="88" t="s">
        <v>607</v>
      </c>
      <c r="B56" s="89" t="s">
        <v>667</v>
      </c>
      <c r="C56" s="88" t="str">
        <f>CONCATENATE(E56," - ",F56," - ",G56," - ",H56," - ",I56)</f>
        <v>Linked Statistics - Line - End B - -0,001 to  - End Ex-Force,End Ez-Force,End Ey-Moment</v>
      </c>
      <c r="D56" s="89" t="s">
        <v>668</v>
      </c>
      <c r="E56" s="89" t="s">
        <v>610</v>
      </c>
      <c r="F56" s="88" t="str">
        <f>CVD_Script_Table!$H$25</f>
        <v>Line</v>
      </c>
      <c r="G56" s="89" t="s">
        <v>577</v>
      </c>
      <c r="H56" s="176" t="str">
        <f>CONCATENATE(SUM($Q$5-0.001), " to ", $Q$5)</f>
        <v xml:space="preserve">-0,001 to </v>
      </c>
      <c r="I56" s="89" t="s">
        <v>611</v>
      </c>
      <c r="J56" s="5" t="s">
        <v>669</v>
      </c>
    </row>
    <row r="57" spans="1:10" ht="13.5" customHeight="1" x14ac:dyDescent="0.25">
      <c r="A57" s="88" t="s">
        <v>607</v>
      </c>
      <c r="B57" s="89" t="s">
        <v>593</v>
      </c>
      <c r="C57" s="88" t="str">
        <f>CONCATENATE(E57," - ",F57," - ",G57," - ",H57," - ",I57)</f>
        <v>Linked Statistics - Line - End B - -0,001 to  - End Ex-Force,End Ez-Force,End Ey-Moment</v>
      </c>
      <c r="D57" s="89" t="s">
        <v>596</v>
      </c>
      <c r="E57" s="89" t="s">
        <v>610</v>
      </c>
      <c r="F57" s="88" t="str">
        <f>CVD_Script_Table!$H$25</f>
        <v>Line</v>
      </c>
      <c r="G57" s="89" t="s">
        <v>577</v>
      </c>
      <c r="H57" s="176" t="str">
        <f>CONCATENATE(SUM($Q$6-0.001), " to ", $Q$6)</f>
        <v xml:space="preserve">-0,001 to </v>
      </c>
      <c r="I57" s="89" t="s">
        <v>611</v>
      </c>
      <c r="J57" s="5" t="s">
        <v>670</v>
      </c>
    </row>
    <row r="58" spans="1:10" ht="13.5" customHeight="1" x14ac:dyDescent="0.25">
      <c r="A58" s="330"/>
      <c r="B58" s="91"/>
      <c r="C58" s="91"/>
      <c r="D58" s="91"/>
      <c r="E58" s="90" t="str">
        <f>CONCATENATE("Load ",Data!W59,"_comflut.sim")</f>
        <v>Load cases_4_5\Caso4_lançamento_comflut.sim</v>
      </c>
      <c r="F58" s="91"/>
      <c r="G58" s="91"/>
      <c r="H58" s="91"/>
      <c r="I58" s="91"/>
    </row>
    <row r="59" spans="1:10" ht="13.5" customHeight="1" x14ac:dyDescent="0.25">
      <c r="A59" s="174" t="s">
        <v>562</v>
      </c>
      <c r="B59" s="174"/>
      <c r="C59" s="174"/>
      <c r="D59" s="88" t="s">
        <v>671</v>
      </c>
      <c r="E59" s="88" t="s">
        <v>564</v>
      </c>
      <c r="F59" s="88" t="s">
        <v>565</v>
      </c>
      <c r="G59" s="88"/>
      <c r="H59" s="88"/>
      <c r="I59" s="88" t="str">
        <f>CONCATENATE("StageEndTime[", P7, "]")</f>
        <v>StageEndTime[2]</v>
      </c>
    </row>
    <row r="60" spans="1:10" ht="13.5" customHeight="1" x14ac:dyDescent="0.25">
      <c r="A60" s="88" t="s">
        <v>607</v>
      </c>
      <c r="B60" s="89" t="s">
        <v>653</v>
      </c>
      <c r="C60" s="88" t="str">
        <f>CONCATENATE(E60," - ",F60," - ",G60," - ",H60," - ",I60)</f>
        <v>Linked Statistics - Line - End B - -0,001 to  - End Ex-Force,End Ez-Force,End Ey-Moment</v>
      </c>
      <c r="D60" s="89" t="s">
        <v>655</v>
      </c>
      <c r="E60" s="89" t="s">
        <v>610</v>
      </c>
      <c r="F60" s="88" t="str">
        <f>CVD_Script_Table!$H$25</f>
        <v>Line</v>
      </c>
      <c r="G60" s="89" t="s">
        <v>577</v>
      </c>
      <c r="H60" s="176" t="str">
        <f>CONCATENATE(SUM($Q$7-0.001), " to ", $Q$7)</f>
        <v xml:space="preserve">-0,001 to </v>
      </c>
      <c r="I60" s="89" t="s">
        <v>611</v>
      </c>
    </row>
    <row r="61" spans="1:10" ht="13.5" customHeight="1" x14ac:dyDescent="0.25">
      <c r="A61" s="330"/>
      <c r="B61" s="91"/>
      <c r="C61" s="91"/>
      <c r="D61" s="91"/>
      <c r="E61" s="90" t="str">
        <f>CONCATENATE("Load ",Data!W59,"_semflut.sim")</f>
        <v>Load cases_4_5\Caso4_lançamento_semflut.sim</v>
      </c>
      <c r="F61" s="91"/>
      <c r="G61" s="91"/>
      <c r="H61" s="91"/>
      <c r="I61" s="91"/>
    </row>
    <row r="62" spans="1:10" ht="13.5" customHeight="1" x14ac:dyDescent="0.25">
      <c r="A62" s="174" t="s">
        <v>562</v>
      </c>
      <c r="B62" s="174"/>
      <c r="C62" s="174"/>
      <c r="D62" s="88" t="s">
        <v>672</v>
      </c>
      <c r="E62" s="88" t="s">
        <v>564</v>
      </c>
      <c r="F62" s="88" t="s">
        <v>565</v>
      </c>
      <c r="G62" s="88"/>
      <c r="H62" s="88"/>
      <c r="I62" s="88" t="str">
        <f>CONCATENATE("StageEndTime[", P8, "]")</f>
        <v>StageEndTime[2]</v>
      </c>
    </row>
    <row r="63" spans="1:10" ht="13.5" customHeight="1" x14ac:dyDescent="0.25">
      <c r="A63" s="88" t="s">
        <v>607</v>
      </c>
      <c r="B63" s="89" t="s">
        <v>673</v>
      </c>
      <c r="C63" s="88" t="str">
        <f>CONCATENATE(E63," - ",F63," - ",G63," - ",H63," - ",I63)</f>
        <v>Linked Statistics - Line - End B - -0,001 to  - End Ex-Force,End Ez-Force,End Ey-Moment</v>
      </c>
      <c r="D63" s="89" t="s">
        <v>674</v>
      </c>
      <c r="E63" s="89" t="s">
        <v>610</v>
      </c>
      <c r="F63" s="88" t="str">
        <f>CVD_Script_Table!$H$25</f>
        <v>Line</v>
      </c>
      <c r="G63" s="89" t="s">
        <v>577</v>
      </c>
      <c r="H63" s="176" t="str">
        <f>CONCATENATE(SUM($Q$8-0.001), " to ", $Q$8)</f>
        <v xml:space="preserve">-0,001 to </v>
      </c>
      <c r="I63" s="89" t="s">
        <v>611</v>
      </c>
    </row>
    <row r="64" spans="1:10" ht="13.5" customHeight="1" x14ac:dyDescent="0.25">
      <c r="A64" s="330"/>
      <c r="B64" s="91"/>
      <c r="C64" s="91"/>
      <c r="D64" s="91"/>
      <c r="E64" s="90" t="str">
        <f>CONCATENATE("Load ",Data!W60,"_comflut.sim")</f>
        <v>Load cases_4_5\Caso4_teste_comflut.sim</v>
      </c>
      <c r="F64" s="91"/>
      <c r="G64" s="91"/>
      <c r="H64" s="91"/>
      <c r="I64" s="91"/>
    </row>
    <row r="65" spans="1:17" ht="13.5" customHeight="1" x14ac:dyDescent="0.25">
      <c r="A65" s="174" t="s">
        <v>562</v>
      </c>
      <c r="B65" s="174"/>
      <c r="C65" s="174"/>
      <c r="D65" s="88" t="s">
        <v>675</v>
      </c>
      <c r="E65" s="88" t="s">
        <v>564</v>
      </c>
      <c r="F65" s="88" t="s">
        <v>565</v>
      </c>
      <c r="G65" s="88"/>
      <c r="H65" s="88"/>
      <c r="I65" s="88" t="str">
        <f>CONCATENATE("StageEndTime[", P9, "]")</f>
        <v>StageEndTime[2]</v>
      </c>
    </row>
    <row r="66" spans="1:17" ht="13.5" customHeight="1" x14ac:dyDescent="0.25">
      <c r="A66" s="88" t="s">
        <v>607</v>
      </c>
      <c r="B66" s="89" t="s">
        <v>676</v>
      </c>
      <c r="C66" s="88" t="str">
        <f>CONCATENATE(E66," - ",F66," - ",G66," - ",H66," - ",I66)</f>
        <v>Linked Statistics - Line - End B - -0,001 to  - End Ex-Force,End Ez-Force,End Ey-Moment</v>
      </c>
      <c r="D66" s="89" t="s">
        <v>677</v>
      </c>
      <c r="E66" s="89" t="s">
        <v>610</v>
      </c>
      <c r="F66" s="88" t="str">
        <f>CVD_Script_Table!$H$25</f>
        <v>Line</v>
      </c>
      <c r="G66" s="89" t="s">
        <v>577</v>
      </c>
      <c r="H66" s="176" t="str">
        <f>CONCATENATE(SUM($Q$9-0.001), " to ", $Q$9)</f>
        <v xml:space="preserve">-0,001 to </v>
      </c>
      <c r="I66" s="89" t="s">
        <v>611</v>
      </c>
      <c r="K66" s="12"/>
      <c r="L66" s="12"/>
    </row>
    <row r="67" spans="1:17" ht="13.5" customHeight="1" x14ac:dyDescent="0.25">
      <c r="A67" s="330"/>
      <c r="B67" s="91"/>
      <c r="C67" s="91"/>
      <c r="D67" s="91"/>
      <c r="E67" s="90" t="str">
        <f>CONCATENATE("Load ",Data!W60,"_semflut.sim")</f>
        <v>Load cases_4_5\Caso4_teste_semflut.sim</v>
      </c>
      <c r="F67" s="91"/>
      <c r="G67" s="91"/>
      <c r="H67" s="91"/>
      <c r="I67" s="91"/>
    </row>
    <row r="68" spans="1:17" ht="13.5" customHeight="1" x14ac:dyDescent="0.25">
      <c r="A68" s="174" t="s">
        <v>562</v>
      </c>
      <c r="B68" s="174"/>
      <c r="C68" s="174"/>
      <c r="D68" s="88" t="s">
        <v>678</v>
      </c>
      <c r="E68" s="88" t="s">
        <v>564</v>
      </c>
      <c r="F68" s="88" t="s">
        <v>565</v>
      </c>
      <c r="G68" s="88"/>
      <c r="H68" s="88"/>
      <c r="I68" s="88" t="str">
        <f>CONCATENATE("StageEndTime[", P10, "]")</f>
        <v>StageEndTime[2]</v>
      </c>
    </row>
    <row r="69" spans="1:17" s="12" customFormat="1" ht="13.5" customHeight="1" x14ac:dyDescent="0.25">
      <c r="A69" s="88" t="s">
        <v>607</v>
      </c>
      <c r="B69" s="89" t="s">
        <v>679</v>
      </c>
      <c r="C69" s="88" t="str">
        <f>CONCATENATE(E69," - ",F69," - ",G69," - ",H69," - ",I69)</f>
        <v>Linked Statistics - Line - End B - -0,001 to  - End Ex-Force,End Ez-Force,End Ey-Moment</v>
      </c>
      <c r="D69" s="89" t="s">
        <v>680</v>
      </c>
      <c r="E69" s="89" t="s">
        <v>610</v>
      </c>
      <c r="F69" s="88" t="str">
        <f>CVD_Script_Table!$H$25</f>
        <v>Line</v>
      </c>
      <c r="G69" s="89" t="s">
        <v>577</v>
      </c>
      <c r="H69" s="176" t="str">
        <f>CONCATENATE(SUM($Q$10-0.001), " to ", $Q$10)</f>
        <v xml:space="preserve">-0,001 to </v>
      </c>
      <c r="I69" s="89" t="s">
        <v>611</v>
      </c>
      <c r="J69" s="7"/>
      <c r="K69" s="5"/>
      <c r="L69" s="5"/>
      <c r="M69" s="5"/>
      <c r="N69" s="5"/>
      <c r="O69" s="5"/>
      <c r="P69" s="5"/>
      <c r="Q69" s="5"/>
    </row>
    <row r="70" spans="1:17" s="12" customFormat="1" ht="13.5" customHeight="1" x14ac:dyDescent="0.25">
      <c r="A70" s="330"/>
      <c r="B70" s="91"/>
      <c r="C70" s="91"/>
      <c r="D70" s="91"/>
      <c r="E70" s="90" t="str">
        <f>CONCATENATE("Load ",Data!W61,"_semflut.sim")</f>
        <v>Load cases_4_5\Caso5_operação_semflut.sim</v>
      </c>
      <c r="F70" s="91"/>
      <c r="G70" s="91"/>
      <c r="H70" s="91"/>
      <c r="I70" s="91"/>
      <c r="K70" s="5"/>
      <c r="L70" s="5"/>
    </row>
    <row r="71" spans="1:17" ht="13.5" customHeight="1" x14ac:dyDescent="0.25">
      <c r="A71" s="174" t="s">
        <v>562</v>
      </c>
      <c r="B71" s="174"/>
      <c r="C71" s="174"/>
      <c r="D71" s="88" t="s">
        <v>681</v>
      </c>
      <c r="E71" s="88" t="s">
        <v>564</v>
      </c>
      <c r="F71" s="88" t="s">
        <v>565</v>
      </c>
      <c r="G71" s="88"/>
      <c r="H71" s="88"/>
      <c r="I71" s="88" t="str">
        <f>CONCATENATE("StageEndTime[", P11, "]")</f>
        <v>StageEndTime[2]</v>
      </c>
      <c r="J71" s="12"/>
      <c r="M71" s="12"/>
      <c r="N71" s="12"/>
      <c r="O71" s="12"/>
      <c r="P71" s="12"/>
      <c r="Q71" s="12"/>
    </row>
    <row r="72" spans="1:17" ht="13.5" customHeight="1" x14ac:dyDescent="0.25">
      <c r="A72" s="88" t="s">
        <v>607</v>
      </c>
      <c r="B72" s="89" t="s">
        <v>682</v>
      </c>
      <c r="C72" s="88" t="str">
        <f>CONCATENATE(E72," - ",F72," - ",G72," - ",H72," - ",I72)</f>
        <v>Linked Statistics - Line - End B - -0,001 to  - End Ex-Force,End Ez-Force,End Ey-Moment</v>
      </c>
      <c r="D72" s="89" t="s">
        <v>683</v>
      </c>
      <c r="E72" s="89" t="s">
        <v>610</v>
      </c>
      <c r="F72" s="88" t="str">
        <f>CVD_Script_Table!$H$25</f>
        <v>Line</v>
      </c>
      <c r="G72" s="89" t="s">
        <v>577</v>
      </c>
      <c r="H72" s="176" t="str">
        <f>CONCATENATE(SUM($Q$11-0.001), " to ", $Q$11)</f>
        <v xml:space="preserve">-0,001 to </v>
      </c>
      <c r="I72" s="89" t="s">
        <v>611</v>
      </c>
      <c r="J72" s="5"/>
    </row>
    <row r="73" spans="1:17" ht="13.5" customHeight="1" x14ac:dyDescent="0.25">
      <c r="A73" s="330"/>
      <c r="B73" s="330"/>
      <c r="C73" s="330"/>
      <c r="D73" s="330"/>
      <c r="E73" s="90" t="str">
        <f>CONCATENATE("Load"," ",filename_cont,"1.sim")</f>
        <v>Load Cont1.sim</v>
      </c>
      <c r="F73" s="330"/>
      <c r="G73" s="330"/>
      <c r="H73" s="330"/>
      <c r="I73" s="330"/>
      <c r="J73" s="5"/>
    </row>
    <row r="74" spans="1:17" ht="13.5" customHeight="1" x14ac:dyDescent="0.25">
      <c r="A74" s="88" t="s">
        <v>2</v>
      </c>
      <c r="B74" s="88" t="s">
        <v>684</v>
      </c>
      <c r="C74" s="88" t="str">
        <f>_xlfn.CONCAT(I74," - ",F74)</f>
        <v>Bend Moment - Stiffener1</v>
      </c>
      <c r="D74" s="88" t="str">
        <f t="shared" ref="D74:D79" si="5">SUBSTITUTE(B74, "H", "I")</f>
        <v>I49</v>
      </c>
      <c r="E74" s="88" t="s">
        <v>594</v>
      </c>
      <c r="F74" s="88" t="str">
        <f>CVD_Script_Table!$H$26</f>
        <v>Stiffener1</v>
      </c>
      <c r="G74" s="88"/>
      <c r="H74" s="88" t="s">
        <v>585</v>
      </c>
      <c r="I74" s="88" t="s">
        <v>595</v>
      </c>
      <c r="J74" s="5"/>
    </row>
    <row r="75" spans="1:17" ht="13.5" customHeight="1" x14ac:dyDescent="0.25">
      <c r="A75" s="88" t="s">
        <v>2</v>
      </c>
      <c r="B75" s="88" t="s">
        <v>685</v>
      </c>
      <c r="C75" s="88" t="str">
        <f>CONCATENATE(I75," - ",F75)</f>
        <v>Shear Force - Stiffener1</v>
      </c>
      <c r="D75" s="88" t="str">
        <f t="shared" si="5"/>
        <v>I50</v>
      </c>
      <c r="E75" s="88" t="s">
        <v>594</v>
      </c>
      <c r="F75" s="88" t="str">
        <f>CVD_Script_Table!$H$26</f>
        <v>Stiffener1</v>
      </c>
      <c r="G75" s="88"/>
      <c r="H75" s="88" t="s">
        <v>585</v>
      </c>
      <c r="I75" s="88" t="s">
        <v>598</v>
      </c>
      <c r="J75" s="5"/>
    </row>
    <row r="76" spans="1:17" ht="13.5" customHeight="1" x14ac:dyDescent="0.25">
      <c r="A76" s="88" t="s">
        <v>2</v>
      </c>
      <c r="B76" s="88" t="s">
        <v>686</v>
      </c>
      <c r="C76" s="88" t="str">
        <f>CONCATENATE(I76," - ",F76)</f>
        <v>Bend Radius - Stiffener1</v>
      </c>
      <c r="D76" s="88" t="str">
        <f t="shared" si="5"/>
        <v>I51</v>
      </c>
      <c r="E76" s="88" t="s">
        <v>584</v>
      </c>
      <c r="F76" s="88" t="str">
        <f>CVD_Script_Table!$H$26</f>
        <v>Stiffener1</v>
      </c>
      <c r="G76" s="88"/>
      <c r="H76" s="88" t="s">
        <v>585</v>
      </c>
      <c r="I76" s="88" t="s">
        <v>586</v>
      </c>
      <c r="J76" s="5"/>
    </row>
    <row r="77" spans="1:17" ht="13.5" customHeight="1" x14ac:dyDescent="0.25">
      <c r="A77" s="88" t="s">
        <v>2</v>
      </c>
      <c r="B77" s="88" t="s">
        <v>687</v>
      </c>
      <c r="C77" s="88" t="str">
        <f>CONCATENATE(I77," - ",F77)</f>
        <v>Bend Radius - Line</v>
      </c>
      <c r="D77" s="88" t="str">
        <f t="shared" si="5"/>
        <v>I52</v>
      </c>
      <c r="E77" s="88" t="s">
        <v>584</v>
      </c>
      <c r="F77" s="88" t="str">
        <f>CVD_Script_Table!$H$25</f>
        <v>Line</v>
      </c>
      <c r="G77" s="88"/>
      <c r="H77" s="88" t="s">
        <v>585</v>
      </c>
      <c r="I77" s="88" t="s">
        <v>586</v>
      </c>
      <c r="J77" s="5"/>
    </row>
    <row r="78" spans="1:17" ht="13.5" customHeight="1" x14ac:dyDescent="0.25">
      <c r="A78" s="88" t="s">
        <v>2</v>
      </c>
      <c r="B78" s="88" t="s">
        <v>688</v>
      </c>
      <c r="C78" s="88" t="str">
        <f>CONCATENATE(I78," - ",F78, " - ", G78)</f>
        <v>End Ey-Moment - Line - End B</v>
      </c>
      <c r="D78" s="88" t="str">
        <f t="shared" si="5"/>
        <v>I53</v>
      </c>
      <c r="E78" s="88" t="s">
        <v>576</v>
      </c>
      <c r="F78" s="88" t="str">
        <f>CVD_Script_Table!$H$25</f>
        <v>Line</v>
      </c>
      <c r="G78" s="88" t="s">
        <v>577</v>
      </c>
      <c r="H78" s="88"/>
      <c r="I78" s="88" t="s">
        <v>578</v>
      </c>
    </row>
    <row r="79" spans="1:17" ht="13.5" customHeight="1" x14ac:dyDescent="0.25">
      <c r="A79" s="88" t="s">
        <v>2</v>
      </c>
      <c r="B79" s="88" t="s">
        <v>689</v>
      </c>
      <c r="C79" s="88" t="str">
        <f>CONCATENATE(I79," - ",F79, " - ", G79)</f>
        <v>Shear force - Line - End B</v>
      </c>
      <c r="D79" s="88" t="str">
        <f t="shared" si="5"/>
        <v>I54</v>
      </c>
      <c r="E79" s="88" t="s">
        <v>576</v>
      </c>
      <c r="F79" s="88" t="str">
        <f>CVD_Script_Table!$H$25</f>
        <v>Line</v>
      </c>
      <c r="G79" s="384" t="s">
        <v>577</v>
      </c>
      <c r="H79" s="385"/>
      <c r="I79" s="88" t="s">
        <v>690</v>
      </c>
      <c r="J79" s="5"/>
    </row>
    <row r="80" spans="1:17" ht="13.5" customHeight="1" x14ac:dyDescent="0.25">
      <c r="A80" s="88" t="s">
        <v>691</v>
      </c>
      <c r="B80" s="88" t="s">
        <v>692</v>
      </c>
      <c r="C80" s="88" t="str">
        <f>CONCATENATE(I80," - ",F80)</f>
        <v>NumberOfAttachments - Line</v>
      </c>
      <c r="D80" s="88" t="s">
        <v>693</v>
      </c>
      <c r="E80" s="88" t="s">
        <v>564</v>
      </c>
      <c r="F80" s="88" t="str">
        <f>CVD_Script_Table!$H$25</f>
        <v>Line</v>
      </c>
      <c r="G80" s="92"/>
      <c r="H80" s="92"/>
      <c r="I80" s="88" t="s">
        <v>573</v>
      </c>
      <c r="J80" s="332">
        <f>Auxiliar3!X2</f>
        <v>0</v>
      </c>
    </row>
    <row r="81" spans="1:14" ht="13.5" customHeight="1" x14ac:dyDescent="0.25">
      <c r="A81" s="88" t="s">
        <v>691</v>
      </c>
      <c r="B81" s="88" t="s">
        <v>694</v>
      </c>
      <c r="C81" s="88" t="str">
        <f>CONCATENATE(I81," - ",F81)</f>
        <v>Attachmentz[] - Line</v>
      </c>
      <c r="D81" s="88" t="s">
        <v>695</v>
      </c>
      <c r="E81" s="88" t="s">
        <v>564</v>
      </c>
      <c r="F81" s="88" t="str">
        <f>CVD_Script_Table!$H$25</f>
        <v>Line</v>
      </c>
      <c r="G81" s="88"/>
      <c r="H81" s="88"/>
      <c r="I81" s="88" t="str">
        <f>CONCATENATE("Attachmentz[",Auxiliar3!X2,"]")</f>
        <v>Attachmentz[]</v>
      </c>
      <c r="J81" s="5"/>
    </row>
    <row r="82" spans="1:14" ht="13.5" customHeight="1" x14ac:dyDescent="0.25">
      <c r="A82" s="330"/>
      <c r="B82" s="330"/>
      <c r="C82" s="330"/>
      <c r="D82" s="330"/>
      <c r="E82" s="90" t="str">
        <f>CONCATENATE("Load"," ",filename_cont,"2.sim")</f>
        <v>Load Cont2.sim</v>
      </c>
      <c r="F82" s="330"/>
      <c r="G82" s="330"/>
      <c r="H82" s="330"/>
      <c r="I82" s="330"/>
      <c r="J82" s="5"/>
    </row>
    <row r="83" spans="1:14" ht="13.5" customHeight="1" x14ac:dyDescent="0.25">
      <c r="A83" s="88" t="s">
        <v>2</v>
      </c>
      <c r="B83" s="88" t="s">
        <v>696</v>
      </c>
      <c r="C83" s="88" t="str">
        <f>CONCATENATE(I83," - ",F83)</f>
        <v>Bend Moment - Stiffener1</v>
      </c>
      <c r="D83" s="88" t="str">
        <f t="shared" ref="D83:D88" si="6">SUBSTITUTE(B83, "H", "I")</f>
        <v>I77</v>
      </c>
      <c r="E83" s="88" t="s">
        <v>594</v>
      </c>
      <c r="F83" s="88" t="str">
        <f>CVD_Script_Table!$H$26</f>
        <v>Stiffener1</v>
      </c>
      <c r="G83" s="88"/>
      <c r="H83" s="88" t="s">
        <v>585</v>
      </c>
      <c r="I83" s="88" t="s">
        <v>595</v>
      </c>
      <c r="J83" s="5"/>
    </row>
    <row r="84" spans="1:14" ht="13.5" customHeight="1" x14ac:dyDescent="0.25">
      <c r="A84" s="88" t="s">
        <v>2</v>
      </c>
      <c r="B84" s="88" t="s">
        <v>697</v>
      </c>
      <c r="C84" s="88" t="str">
        <f t="shared" ref="C84:C90" si="7">CONCATENATE(I84," - ",F84)</f>
        <v>Shear Force - Stiffener1</v>
      </c>
      <c r="D84" s="88" t="str">
        <f t="shared" si="6"/>
        <v>I78</v>
      </c>
      <c r="E84" s="88" t="s">
        <v>594</v>
      </c>
      <c r="F84" s="88" t="str">
        <f>CVD_Script_Table!$H$26</f>
        <v>Stiffener1</v>
      </c>
      <c r="G84" s="88"/>
      <c r="H84" s="88" t="s">
        <v>585</v>
      </c>
      <c r="I84" s="88" t="s">
        <v>598</v>
      </c>
      <c r="J84" s="5"/>
    </row>
    <row r="85" spans="1:14" ht="13.5" customHeight="1" x14ac:dyDescent="0.25">
      <c r="A85" s="88" t="s">
        <v>2</v>
      </c>
      <c r="B85" s="88" t="s">
        <v>698</v>
      </c>
      <c r="C85" s="88" t="str">
        <f t="shared" si="7"/>
        <v>Bend Radius - Stiffener1</v>
      </c>
      <c r="D85" s="88" t="str">
        <f t="shared" si="6"/>
        <v>I79</v>
      </c>
      <c r="E85" s="88" t="s">
        <v>584</v>
      </c>
      <c r="F85" s="88" t="str">
        <f>CVD_Script_Table!$H$26</f>
        <v>Stiffener1</v>
      </c>
      <c r="G85" s="88"/>
      <c r="H85" s="88" t="s">
        <v>585</v>
      </c>
      <c r="I85" s="88" t="s">
        <v>586</v>
      </c>
      <c r="J85" s="5"/>
    </row>
    <row r="86" spans="1:14" ht="13.5" customHeight="1" x14ac:dyDescent="0.25">
      <c r="A86" s="88" t="s">
        <v>2</v>
      </c>
      <c r="B86" s="88" t="s">
        <v>699</v>
      </c>
      <c r="C86" s="88" t="str">
        <f>_xlfn.CONCAT(I86," - ",F86)</f>
        <v>Bend Radius - Line</v>
      </c>
      <c r="D86" s="88" t="str">
        <f t="shared" si="6"/>
        <v>I80</v>
      </c>
      <c r="E86" s="88" t="s">
        <v>584</v>
      </c>
      <c r="F86" s="88" t="str">
        <f>CVD_Script_Table!$H$25</f>
        <v>Line</v>
      </c>
      <c r="G86" s="88"/>
      <c r="H86" s="88" t="s">
        <v>585</v>
      </c>
      <c r="I86" s="88" t="s">
        <v>586</v>
      </c>
      <c r="J86" s="5"/>
    </row>
    <row r="87" spans="1:14" ht="13.5" customHeight="1" x14ac:dyDescent="0.25">
      <c r="A87" s="88" t="s">
        <v>2</v>
      </c>
      <c r="B87" s="88" t="s">
        <v>700</v>
      </c>
      <c r="C87" s="88" t="str">
        <f>CONCATENATE(I87," - ",F87, " - ", G87)</f>
        <v>End Ey-Moment - Line - End B</v>
      </c>
      <c r="D87" s="88" t="str">
        <f t="shared" si="6"/>
        <v>I81</v>
      </c>
      <c r="E87" s="88" t="s">
        <v>576</v>
      </c>
      <c r="F87" s="88" t="str">
        <f>CVD_Script_Table!$H$25</f>
        <v>Line</v>
      </c>
      <c r="G87" s="88" t="s">
        <v>577</v>
      </c>
      <c r="H87" s="88"/>
      <c r="I87" s="88" t="s">
        <v>578</v>
      </c>
      <c r="K87" s="7"/>
      <c r="L87" s="7"/>
    </row>
    <row r="88" spans="1:14" ht="13.5" customHeight="1" x14ac:dyDescent="0.25">
      <c r="A88" s="88" t="s">
        <v>2</v>
      </c>
      <c r="B88" s="88" t="s">
        <v>701</v>
      </c>
      <c r="C88" s="88" t="str">
        <f>CONCATENATE(I88," - ",F88, " - ", G88)</f>
        <v>Shear force - Line - End B</v>
      </c>
      <c r="D88" s="88" t="str">
        <f t="shared" si="6"/>
        <v>I82</v>
      </c>
      <c r="E88" s="88" t="s">
        <v>576</v>
      </c>
      <c r="F88" s="88" t="str">
        <f>CVD_Script_Table!$H$25</f>
        <v>Line</v>
      </c>
      <c r="G88" s="89" t="s">
        <v>577</v>
      </c>
      <c r="H88" s="88"/>
      <c r="I88" s="89" t="s">
        <v>690</v>
      </c>
      <c r="J88" s="332">
        <f>Auxiliar4!X2</f>
        <v>0</v>
      </c>
      <c r="K88" s="7"/>
      <c r="L88" s="7"/>
    </row>
    <row r="89" spans="1:14" ht="13.5" customHeight="1" x14ac:dyDescent="0.25">
      <c r="A89" s="88" t="s">
        <v>702</v>
      </c>
      <c r="B89" s="88" t="s">
        <v>692</v>
      </c>
      <c r="C89" s="88" t="str">
        <f>_xlfn.CONCAT(I89," - ",F89)</f>
        <v>NumberOfAttachments - Line</v>
      </c>
      <c r="D89" s="88" t="s">
        <v>693</v>
      </c>
      <c r="E89" s="88" t="s">
        <v>564</v>
      </c>
      <c r="F89" s="88" t="str">
        <f>CVD_Script_Table!$H$25</f>
        <v>Line</v>
      </c>
      <c r="G89" s="92"/>
      <c r="H89" s="92"/>
      <c r="I89" s="88" t="s">
        <v>573</v>
      </c>
      <c r="J89" s="5"/>
    </row>
    <row r="90" spans="1:14" ht="13.5" customHeight="1" x14ac:dyDescent="0.25">
      <c r="A90" s="174" t="s">
        <v>702</v>
      </c>
      <c r="B90" s="88" t="s">
        <v>694</v>
      </c>
      <c r="C90" s="174" t="str">
        <f t="shared" si="7"/>
        <v>Attachmentz[] - Line</v>
      </c>
      <c r="D90" s="88" t="s">
        <v>695</v>
      </c>
      <c r="E90" s="174" t="s">
        <v>564</v>
      </c>
      <c r="F90" s="88" t="str">
        <f>CVD_Script_Table!$H$25</f>
        <v>Line</v>
      </c>
      <c r="G90" s="174"/>
      <c r="H90" s="174"/>
      <c r="I90" s="174" t="str">
        <f>CONCATENATE("Attachmentz[",Auxiliar4!X2,"]")</f>
        <v>Attachmentz[]</v>
      </c>
      <c r="J90" s="5"/>
    </row>
    <row r="91" spans="1:14" ht="13.5" customHeight="1" x14ac:dyDescent="0.25">
      <c r="A91" s="332" t="str">
        <f t="shared" ref="A91:A154" si="8">IF(N91="","",IF(ISNUMBER(J91),"Auxiliar4",IF(ISNUMBER(K91),"Auxiliar3",IF(ISNUMBER(L91),"Auxiliar2",IF(ISNUMBER(M91),"Auxiliar2")))))</f>
        <v>Auxiliar4</v>
      </c>
      <c r="B91" s="332"/>
      <c r="C91" s="174"/>
      <c r="D91" s="332" t="str">
        <f>IF(N91="z",CONCATENATE("AB",M91),IF(N91="","",CONCATENATE("AA",N91)))</f>
        <v>AA1</v>
      </c>
      <c r="E91" s="332" t="str">
        <f>IF(N91="",IF(J91="j",_xlfn.CONCAT("Load"," ",filename_cont,"1.sim"),IF(K91="k",_xlfn.CONCAT("Load"," ",Data!W57,".sim"),"")),"Get Data")</f>
        <v>Get Data</v>
      </c>
      <c r="F91" s="88" t="str">
        <f>CVD_Script_Table!$H$25</f>
        <v>Line</v>
      </c>
      <c r="G91" s="332"/>
      <c r="H91" s="332"/>
      <c r="I91" s="332" t="str">
        <f>IF(N91="z",CONCATENATE("attachmentz[",M91,"]"),IF(N91="","",CONCATENATE("attachmenttype[",N91,"]")))</f>
        <v>attachmenttype[1]</v>
      </c>
      <c r="J91" s="333">
        <f t="shared" ref="J91:J154" si="9">IFERROR(IF(J90="",J$9+1,IF(J90=J$88,"j",J90+1)),"jj")</f>
        <v>1</v>
      </c>
      <c r="K91" s="333" t="str">
        <f t="shared" ref="K91:K154" si="10">IF((J91="jj"),IFERROR(IF(K90="",J$9+1,IF(K90=J$80,"k",K90+1)),"kk"),"")</f>
        <v/>
      </c>
      <c r="L91" s="333" t="str">
        <f t="shared" ref="L91:L154" si="11">IF((K91="kk"),IFERROR(IF(L90="",2,IF(L90=J$9,"l",L90+1)),"ll"),"")</f>
        <v/>
      </c>
      <c r="M91" s="333" t="str">
        <f t="shared" ref="M91:M122" si="12">IF(OR(L91="l",L91="ll"),IFERROR(IF(M90="",2,IF(M90=J$9,"m",M90+1)),"mm"),"")</f>
        <v/>
      </c>
      <c r="N91" s="333">
        <f t="shared" ref="N91:N154" si="13">IF(ISNUMBER(M91),"z",IF(ISNUMBER(L91),L91,IF(ISNUMBER(K91),K91,IF(ISNUMBER(J91),J91,""))))</f>
        <v>1</v>
      </c>
    </row>
    <row r="92" spans="1:14" ht="13.5" customHeight="1" x14ac:dyDescent="0.25">
      <c r="A92" s="332" t="str">
        <f t="shared" si="8"/>
        <v>Auxiliar4</v>
      </c>
      <c r="B92" s="332"/>
      <c r="C92" s="174"/>
      <c r="D92" s="332" t="str">
        <f t="shared" ref="D92:D155" si="14">IF(N92="z",CONCATENATE("AB",M92),IF(N92="","",CONCATENATE("AA",N92)))</f>
        <v>AA2</v>
      </c>
      <c r="E92" s="332" t="str">
        <f>IF(N92="",IF(J92="j",_xlfn.CONCAT("Load"," ",filename_cont,"1.sim"),IF(K92="k",_xlfn.CONCAT("Load"," ",Data!W57,".sim"),"")),"Get Data")</f>
        <v>Get Data</v>
      </c>
      <c r="F92" s="88" t="str">
        <f>CVD_Script_Table!$H$25</f>
        <v>Line</v>
      </c>
      <c r="G92" s="332"/>
      <c r="H92" s="332"/>
      <c r="I92" s="332" t="str">
        <f t="shared" ref="I92:I155" si="15">IF(N92="z",CONCATENATE("attachmentz[",M92,"]"),IF(N92="","",CONCATENATE("attachmenttype[",N92,"]")))</f>
        <v>attachmenttype[2]</v>
      </c>
      <c r="J92" s="333">
        <f t="shared" si="9"/>
        <v>2</v>
      </c>
      <c r="K92" s="333" t="str">
        <f t="shared" si="10"/>
        <v/>
      </c>
      <c r="L92" s="333" t="str">
        <f t="shared" si="11"/>
        <v/>
      </c>
      <c r="M92" s="333" t="str">
        <f t="shared" si="12"/>
        <v/>
      </c>
      <c r="N92" s="333">
        <f t="shared" si="13"/>
        <v>2</v>
      </c>
    </row>
    <row r="93" spans="1:14" ht="13.5" customHeight="1" x14ac:dyDescent="0.25">
      <c r="A93" s="332" t="str">
        <f t="shared" si="8"/>
        <v>Auxiliar4</v>
      </c>
      <c r="B93" s="332"/>
      <c r="C93" s="174"/>
      <c r="D93" s="332" t="str">
        <f t="shared" si="14"/>
        <v>AA3</v>
      </c>
      <c r="E93" s="332" t="str">
        <f>IF(N93="",IF(J93="j",_xlfn.CONCAT("Load"," ",filename_cont,"1.sim"),IF(K93="k",_xlfn.CONCAT("Load"," ",Data!W57,".sim"),"")),"Get Data")</f>
        <v>Get Data</v>
      </c>
      <c r="F93" s="88" t="str">
        <f>CVD_Script_Table!$H$25</f>
        <v>Line</v>
      </c>
      <c r="G93" s="332"/>
      <c r="H93" s="332"/>
      <c r="I93" s="332" t="str">
        <f t="shared" si="15"/>
        <v>attachmenttype[3]</v>
      </c>
      <c r="J93" s="333">
        <f t="shared" si="9"/>
        <v>3</v>
      </c>
      <c r="K93" s="333" t="str">
        <f t="shared" si="10"/>
        <v/>
      </c>
      <c r="L93" s="333" t="str">
        <f t="shared" si="11"/>
        <v/>
      </c>
      <c r="M93" s="333" t="str">
        <f t="shared" si="12"/>
        <v/>
      </c>
      <c r="N93" s="333">
        <f t="shared" si="13"/>
        <v>3</v>
      </c>
    </row>
    <row r="94" spans="1:14" ht="13.5" customHeight="1" x14ac:dyDescent="0.25">
      <c r="A94" s="332" t="str">
        <f t="shared" si="8"/>
        <v>Auxiliar4</v>
      </c>
      <c r="B94" s="332"/>
      <c r="C94" s="174"/>
      <c r="D94" s="332" t="str">
        <f t="shared" si="14"/>
        <v>AA4</v>
      </c>
      <c r="E94" s="332" t="str">
        <f>IF(N94="",IF(J94="j",_xlfn.CONCAT("Load"," ",filename_cont,"1.sim"),IF(K94="k",_xlfn.CONCAT("Load"," ",Data!W57,".sim"),"")),"Get Data")</f>
        <v>Get Data</v>
      </c>
      <c r="F94" s="88" t="str">
        <f>CVD_Script_Table!$H$25</f>
        <v>Line</v>
      </c>
      <c r="G94" s="332"/>
      <c r="H94" s="332"/>
      <c r="I94" s="332" t="str">
        <f t="shared" si="15"/>
        <v>attachmenttype[4]</v>
      </c>
      <c r="J94" s="333">
        <f t="shared" si="9"/>
        <v>4</v>
      </c>
      <c r="K94" s="333" t="str">
        <f t="shared" si="10"/>
        <v/>
      </c>
      <c r="L94" s="333" t="str">
        <f t="shared" si="11"/>
        <v/>
      </c>
      <c r="M94" s="333" t="str">
        <f t="shared" si="12"/>
        <v/>
      </c>
      <c r="N94" s="333">
        <f t="shared" si="13"/>
        <v>4</v>
      </c>
    </row>
    <row r="95" spans="1:14" ht="13.5" customHeight="1" x14ac:dyDescent="0.25">
      <c r="A95" s="332" t="str">
        <f t="shared" si="8"/>
        <v>Auxiliar4</v>
      </c>
      <c r="B95" s="332"/>
      <c r="C95" s="174"/>
      <c r="D95" s="332" t="str">
        <f t="shared" si="14"/>
        <v>AA5</v>
      </c>
      <c r="E95" s="332" t="str">
        <f>IF(N95="",IF(J95="j",_xlfn.CONCAT("Load"," ",filename_cont,"1.sim"),IF(K95="k",_xlfn.CONCAT("Load"," ",Data!W57,".sim"),"")),"Get Data")</f>
        <v>Get Data</v>
      </c>
      <c r="F95" s="88" t="str">
        <f>CVD_Script_Table!$H$25</f>
        <v>Line</v>
      </c>
      <c r="G95" s="332"/>
      <c r="H95" s="332"/>
      <c r="I95" s="332" t="str">
        <f t="shared" si="15"/>
        <v>attachmenttype[5]</v>
      </c>
      <c r="J95" s="333">
        <f t="shared" si="9"/>
        <v>5</v>
      </c>
      <c r="K95" s="333" t="str">
        <f t="shared" si="10"/>
        <v/>
      </c>
      <c r="L95" s="333" t="str">
        <f t="shared" si="11"/>
        <v/>
      </c>
      <c r="M95" s="333" t="str">
        <f t="shared" si="12"/>
        <v/>
      </c>
      <c r="N95" s="333">
        <f t="shared" si="13"/>
        <v>5</v>
      </c>
    </row>
    <row r="96" spans="1:14" ht="13.5" customHeight="1" x14ac:dyDescent="0.25">
      <c r="A96" s="332" t="str">
        <f t="shared" si="8"/>
        <v>Auxiliar4</v>
      </c>
      <c r="B96" s="332"/>
      <c r="C96" s="174"/>
      <c r="D96" s="332" t="str">
        <f t="shared" si="14"/>
        <v>AA6</v>
      </c>
      <c r="E96" s="332" t="str">
        <f>IF(N96="",IF(J96="j",_xlfn.CONCAT("Load"," ",filename_cont,"1.sim"),IF(K96="k",_xlfn.CONCAT("Load"," ",Data!W57,".sim"),"")),"Get Data")</f>
        <v>Get Data</v>
      </c>
      <c r="F96" s="88" t="str">
        <f>CVD_Script_Table!$H$25</f>
        <v>Line</v>
      </c>
      <c r="G96" s="332"/>
      <c r="H96" s="332"/>
      <c r="I96" s="332" t="str">
        <f t="shared" si="15"/>
        <v>attachmenttype[6]</v>
      </c>
      <c r="J96" s="333">
        <f t="shared" si="9"/>
        <v>6</v>
      </c>
      <c r="K96" s="333" t="str">
        <f t="shared" si="10"/>
        <v/>
      </c>
      <c r="L96" s="333" t="str">
        <f t="shared" si="11"/>
        <v/>
      </c>
      <c r="M96" s="333" t="str">
        <f t="shared" si="12"/>
        <v/>
      </c>
      <c r="N96" s="333">
        <f t="shared" si="13"/>
        <v>6</v>
      </c>
    </row>
    <row r="97" spans="1:14" ht="13.5" customHeight="1" x14ac:dyDescent="0.25">
      <c r="A97" s="332" t="str">
        <f t="shared" si="8"/>
        <v>Auxiliar4</v>
      </c>
      <c r="B97" s="332"/>
      <c r="C97" s="174"/>
      <c r="D97" s="332" t="str">
        <f t="shared" si="14"/>
        <v>AA7</v>
      </c>
      <c r="E97" s="332" t="str">
        <f>IF(N97="",IF(J97="j",_xlfn.CONCAT("Load"," ",filename_cont,"1.sim"),IF(K97="k",_xlfn.CONCAT("Load"," ",Data!W57,".sim"),"")),"Get Data")</f>
        <v>Get Data</v>
      </c>
      <c r="F97" s="88" t="str">
        <f>CVD_Script_Table!$H$25</f>
        <v>Line</v>
      </c>
      <c r="G97" s="332"/>
      <c r="H97" s="332"/>
      <c r="I97" s="332" t="str">
        <f t="shared" si="15"/>
        <v>attachmenttype[7]</v>
      </c>
      <c r="J97" s="333">
        <f t="shared" si="9"/>
        <v>7</v>
      </c>
      <c r="K97" s="333" t="str">
        <f t="shared" si="10"/>
        <v/>
      </c>
      <c r="L97" s="333" t="str">
        <f t="shared" si="11"/>
        <v/>
      </c>
      <c r="M97" s="333" t="str">
        <f t="shared" si="12"/>
        <v/>
      </c>
      <c r="N97" s="333">
        <f t="shared" si="13"/>
        <v>7</v>
      </c>
    </row>
    <row r="98" spans="1:14" ht="13.5" customHeight="1" x14ac:dyDescent="0.25">
      <c r="A98" s="332" t="str">
        <f t="shared" si="8"/>
        <v>Auxiliar4</v>
      </c>
      <c r="B98" s="332"/>
      <c r="C98" s="174"/>
      <c r="D98" s="332" t="str">
        <f t="shared" si="14"/>
        <v>AA8</v>
      </c>
      <c r="E98" s="332" t="str">
        <f>IF(N98="",IF(J98="j",_xlfn.CONCAT("Load"," ",filename_cont,"1.sim"),IF(K98="k",_xlfn.CONCAT("Load"," ",Data!W57,".sim"),"")),"Get Data")</f>
        <v>Get Data</v>
      </c>
      <c r="F98" s="88" t="str">
        <f>CVD_Script_Table!$H$25</f>
        <v>Line</v>
      </c>
      <c r="G98" s="332"/>
      <c r="H98" s="332"/>
      <c r="I98" s="332" t="str">
        <f t="shared" si="15"/>
        <v>attachmenttype[8]</v>
      </c>
      <c r="J98" s="333">
        <f t="shared" si="9"/>
        <v>8</v>
      </c>
      <c r="K98" s="333" t="str">
        <f t="shared" si="10"/>
        <v/>
      </c>
      <c r="L98" s="333" t="str">
        <f t="shared" si="11"/>
        <v/>
      </c>
      <c r="M98" s="333" t="str">
        <f t="shared" si="12"/>
        <v/>
      </c>
      <c r="N98" s="333">
        <f t="shared" si="13"/>
        <v>8</v>
      </c>
    </row>
    <row r="99" spans="1:14" ht="13.5" customHeight="1" x14ac:dyDescent="0.25">
      <c r="A99" s="332" t="str">
        <f t="shared" si="8"/>
        <v>Auxiliar4</v>
      </c>
      <c r="B99" s="332"/>
      <c r="C99" s="174"/>
      <c r="D99" s="332" t="str">
        <f t="shared" si="14"/>
        <v>AA9</v>
      </c>
      <c r="E99" s="332" t="str">
        <f>IF(N99="",IF(J99="j",_xlfn.CONCAT("Load"," ",filename_cont,"1.sim"),IF(K99="k",_xlfn.CONCAT("Load"," ",Data!W57,".sim"),"")),"Get Data")</f>
        <v>Get Data</v>
      </c>
      <c r="F99" s="88" t="str">
        <f>CVD_Script_Table!$H$25</f>
        <v>Line</v>
      </c>
      <c r="G99" s="332"/>
      <c r="H99" s="332"/>
      <c r="I99" s="332" t="str">
        <f t="shared" si="15"/>
        <v>attachmenttype[9]</v>
      </c>
      <c r="J99" s="333">
        <f t="shared" si="9"/>
        <v>9</v>
      </c>
      <c r="K99" s="333" t="str">
        <f t="shared" si="10"/>
        <v/>
      </c>
      <c r="L99" s="333" t="str">
        <f t="shared" si="11"/>
        <v/>
      </c>
      <c r="M99" s="333" t="str">
        <f t="shared" si="12"/>
        <v/>
      </c>
      <c r="N99" s="333">
        <f t="shared" si="13"/>
        <v>9</v>
      </c>
    </row>
    <row r="100" spans="1:14" ht="13.5" customHeight="1" x14ac:dyDescent="0.25">
      <c r="A100" s="332" t="str">
        <f t="shared" si="8"/>
        <v>Auxiliar4</v>
      </c>
      <c r="B100" s="332"/>
      <c r="C100" s="174"/>
      <c r="D100" s="332" t="str">
        <f t="shared" si="14"/>
        <v>AA10</v>
      </c>
      <c r="E100" s="332" t="str">
        <f>IF(N100="",IF(J100="j",_xlfn.CONCAT("Load"," ",filename_cont,"1.sim"),IF(K100="k",_xlfn.CONCAT("Load"," ",Data!W57,".sim"),"")),"Get Data")</f>
        <v>Get Data</v>
      </c>
      <c r="F100" s="88" t="str">
        <f>CVD_Script_Table!$H$25</f>
        <v>Line</v>
      </c>
      <c r="G100" s="332"/>
      <c r="H100" s="332"/>
      <c r="I100" s="332" t="str">
        <f t="shared" si="15"/>
        <v>attachmenttype[10]</v>
      </c>
      <c r="J100" s="333">
        <f t="shared" si="9"/>
        <v>10</v>
      </c>
      <c r="K100" s="333" t="str">
        <f t="shared" si="10"/>
        <v/>
      </c>
      <c r="L100" s="333" t="str">
        <f t="shared" si="11"/>
        <v/>
      </c>
      <c r="M100" s="333" t="str">
        <f t="shared" si="12"/>
        <v/>
      </c>
      <c r="N100" s="333">
        <f t="shared" si="13"/>
        <v>10</v>
      </c>
    </row>
    <row r="101" spans="1:14" ht="13.5" customHeight="1" x14ac:dyDescent="0.25">
      <c r="A101" s="332" t="str">
        <f t="shared" si="8"/>
        <v>Auxiliar4</v>
      </c>
      <c r="B101" s="332"/>
      <c r="C101" s="174"/>
      <c r="D101" s="332" t="str">
        <f t="shared" si="14"/>
        <v>AA11</v>
      </c>
      <c r="E101" s="332" t="str">
        <f>IF(N101="",IF(J101="j",_xlfn.CONCAT("Load"," ",filename_cont,"1.sim"),IF(K101="k",_xlfn.CONCAT("Load"," ",Data!W57,".sim"),"")),"Get Data")</f>
        <v>Get Data</v>
      </c>
      <c r="F101" s="88" t="str">
        <f>CVD_Script_Table!$H$25</f>
        <v>Line</v>
      </c>
      <c r="G101" s="332"/>
      <c r="H101" s="332"/>
      <c r="I101" s="332" t="str">
        <f t="shared" si="15"/>
        <v>attachmenttype[11]</v>
      </c>
      <c r="J101" s="333">
        <f t="shared" si="9"/>
        <v>11</v>
      </c>
      <c r="K101" s="333" t="str">
        <f t="shared" si="10"/>
        <v/>
      </c>
      <c r="L101" s="333" t="str">
        <f t="shared" si="11"/>
        <v/>
      </c>
      <c r="M101" s="333" t="str">
        <f t="shared" si="12"/>
        <v/>
      </c>
      <c r="N101" s="333">
        <f t="shared" si="13"/>
        <v>11</v>
      </c>
    </row>
    <row r="102" spans="1:14" ht="13.5" customHeight="1" x14ac:dyDescent="0.25">
      <c r="A102" s="332" t="str">
        <f t="shared" si="8"/>
        <v>Auxiliar4</v>
      </c>
      <c r="B102" s="332"/>
      <c r="C102" s="174"/>
      <c r="D102" s="332" t="str">
        <f t="shared" si="14"/>
        <v>AA12</v>
      </c>
      <c r="E102" s="332" t="str">
        <f>IF(N102="",IF(J102="j",_xlfn.CONCAT("Load"," ",filename_cont,"1.sim"),IF(K102="k",_xlfn.CONCAT("Load"," ",Data!W57,".sim"),"")),"Get Data")</f>
        <v>Get Data</v>
      </c>
      <c r="F102" s="88" t="str">
        <f>CVD_Script_Table!$H$25</f>
        <v>Line</v>
      </c>
      <c r="G102" s="332"/>
      <c r="H102" s="332"/>
      <c r="I102" s="332" t="str">
        <f t="shared" si="15"/>
        <v>attachmenttype[12]</v>
      </c>
      <c r="J102" s="333">
        <f t="shared" si="9"/>
        <v>12</v>
      </c>
      <c r="K102" s="333" t="str">
        <f t="shared" si="10"/>
        <v/>
      </c>
      <c r="L102" s="333" t="str">
        <f t="shared" si="11"/>
        <v/>
      </c>
      <c r="M102" s="333" t="str">
        <f t="shared" si="12"/>
        <v/>
      </c>
      <c r="N102" s="333">
        <f t="shared" si="13"/>
        <v>12</v>
      </c>
    </row>
    <row r="103" spans="1:14" ht="13.5" customHeight="1" x14ac:dyDescent="0.25">
      <c r="A103" s="332" t="str">
        <f t="shared" si="8"/>
        <v>Auxiliar4</v>
      </c>
      <c r="B103" s="332"/>
      <c r="C103" s="174"/>
      <c r="D103" s="332" t="str">
        <f t="shared" si="14"/>
        <v>AA13</v>
      </c>
      <c r="E103" s="332" t="str">
        <f>IF(N103="",IF(J103="j",_xlfn.CONCAT("Load"," ",filename_cont,"1.sim"),IF(K103="k",_xlfn.CONCAT("Load"," ",Data!W57,".sim"),"")),"Get Data")</f>
        <v>Get Data</v>
      </c>
      <c r="F103" s="88" t="str">
        <f>CVD_Script_Table!$H$25</f>
        <v>Line</v>
      </c>
      <c r="G103" s="332"/>
      <c r="H103" s="332"/>
      <c r="I103" s="332" t="str">
        <f t="shared" si="15"/>
        <v>attachmenttype[13]</v>
      </c>
      <c r="J103" s="333">
        <f t="shared" si="9"/>
        <v>13</v>
      </c>
      <c r="K103" s="333" t="str">
        <f t="shared" si="10"/>
        <v/>
      </c>
      <c r="L103" s="333" t="str">
        <f t="shared" si="11"/>
        <v/>
      </c>
      <c r="M103" s="333" t="str">
        <f t="shared" si="12"/>
        <v/>
      </c>
      <c r="N103" s="333">
        <f t="shared" si="13"/>
        <v>13</v>
      </c>
    </row>
    <row r="104" spans="1:14" ht="13.5" customHeight="1" x14ac:dyDescent="0.25">
      <c r="A104" s="332" t="str">
        <f t="shared" si="8"/>
        <v>Auxiliar4</v>
      </c>
      <c r="B104" s="332"/>
      <c r="C104" s="174"/>
      <c r="D104" s="332" t="str">
        <f t="shared" si="14"/>
        <v>AA14</v>
      </c>
      <c r="E104" s="332" t="str">
        <f>IF(N104="",IF(J104="j",_xlfn.CONCAT("Load"," ",filename_cont,"1.sim"),IF(K104="k",_xlfn.CONCAT("Load"," ",Data!W57,".sim"),"")),"Get Data")</f>
        <v>Get Data</v>
      </c>
      <c r="F104" s="88" t="str">
        <f>CVD_Script_Table!$H$25</f>
        <v>Line</v>
      </c>
      <c r="G104" s="332"/>
      <c r="H104" s="332"/>
      <c r="I104" s="332" t="str">
        <f t="shared" si="15"/>
        <v>attachmenttype[14]</v>
      </c>
      <c r="J104" s="333">
        <f t="shared" si="9"/>
        <v>14</v>
      </c>
      <c r="K104" s="333" t="str">
        <f t="shared" si="10"/>
        <v/>
      </c>
      <c r="L104" s="333" t="str">
        <f t="shared" si="11"/>
        <v/>
      </c>
      <c r="M104" s="333" t="str">
        <f t="shared" si="12"/>
        <v/>
      </c>
      <c r="N104" s="333">
        <f t="shared" si="13"/>
        <v>14</v>
      </c>
    </row>
    <row r="105" spans="1:14" ht="13.5" customHeight="1" x14ac:dyDescent="0.25">
      <c r="A105" s="332" t="str">
        <f t="shared" si="8"/>
        <v>Auxiliar4</v>
      </c>
      <c r="B105" s="332"/>
      <c r="C105" s="174"/>
      <c r="D105" s="332" t="str">
        <f t="shared" si="14"/>
        <v>AA15</v>
      </c>
      <c r="E105" s="332" t="str">
        <f>IF(N105="",IF(J105="j",_xlfn.CONCAT("Load"," ",filename_cont,"1.sim"),IF(K105="k",_xlfn.CONCAT("Load"," ",Data!W57,".sim"),"")),"Get Data")</f>
        <v>Get Data</v>
      </c>
      <c r="F105" s="88" t="str">
        <f>CVD_Script_Table!$H$25</f>
        <v>Line</v>
      </c>
      <c r="G105" s="332"/>
      <c r="H105" s="332"/>
      <c r="I105" s="332" t="str">
        <f t="shared" si="15"/>
        <v>attachmenttype[15]</v>
      </c>
      <c r="J105" s="333">
        <f t="shared" si="9"/>
        <v>15</v>
      </c>
      <c r="K105" s="333" t="str">
        <f t="shared" si="10"/>
        <v/>
      </c>
      <c r="L105" s="333" t="str">
        <f t="shared" si="11"/>
        <v/>
      </c>
      <c r="M105" s="333" t="str">
        <f t="shared" si="12"/>
        <v/>
      </c>
      <c r="N105" s="333">
        <f t="shared" si="13"/>
        <v>15</v>
      </c>
    </row>
    <row r="106" spans="1:14" ht="13.5" customHeight="1" x14ac:dyDescent="0.25">
      <c r="A106" s="332" t="str">
        <f t="shared" si="8"/>
        <v>Auxiliar4</v>
      </c>
      <c r="B106" s="332"/>
      <c r="C106" s="174"/>
      <c r="D106" s="332" t="str">
        <f t="shared" si="14"/>
        <v>AA16</v>
      </c>
      <c r="E106" s="332" t="str">
        <f>IF(N106="",IF(J106="j",_xlfn.CONCAT("Load"," ",filename_cont,"1.sim"),IF(K106="k",_xlfn.CONCAT("Load"," ",Data!W57,".sim"),"")),"Get Data")</f>
        <v>Get Data</v>
      </c>
      <c r="F106" s="88" t="str">
        <f>CVD_Script_Table!$H$25</f>
        <v>Line</v>
      </c>
      <c r="G106" s="332"/>
      <c r="H106" s="332"/>
      <c r="I106" s="332" t="str">
        <f t="shared" si="15"/>
        <v>attachmenttype[16]</v>
      </c>
      <c r="J106" s="333">
        <f t="shared" si="9"/>
        <v>16</v>
      </c>
      <c r="K106" s="333" t="str">
        <f t="shared" si="10"/>
        <v/>
      </c>
      <c r="L106" s="333" t="str">
        <f t="shared" si="11"/>
        <v/>
      </c>
      <c r="M106" s="333" t="str">
        <f t="shared" si="12"/>
        <v/>
      </c>
      <c r="N106" s="333">
        <f t="shared" si="13"/>
        <v>16</v>
      </c>
    </row>
    <row r="107" spans="1:14" ht="13.5" customHeight="1" x14ac:dyDescent="0.25">
      <c r="A107" s="332" t="str">
        <f t="shared" si="8"/>
        <v>Auxiliar4</v>
      </c>
      <c r="B107" s="332"/>
      <c r="C107" s="174"/>
      <c r="D107" s="332" t="str">
        <f t="shared" si="14"/>
        <v>AA17</v>
      </c>
      <c r="E107" s="332" t="str">
        <f>IF(N107="",IF(J107="j",_xlfn.CONCAT("Load"," ",filename_cont,"1.sim"),IF(K107="k",_xlfn.CONCAT("Load"," ",Data!W57,".sim"),"")),"Get Data")</f>
        <v>Get Data</v>
      </c>
      <c r="F107" s="88" t="str">
        <f>CVD_Script_Table!$H$25</f>
        <v>Line</v>
      </c>
      <c r="G107" s="332"/>
      <c r="H107" s="332"/>
      <c r="I107" s="332" t="str">
        <f t="shared" si="15"/>
        <v>attachmenttype[17]</v>
      </c>
      <c r="J107" s="333">
        <f t="shared" si="9"/>
        <v>17</v>
      </c>
      <c r="K107" s="333" t="str">
        <f t="shared" si="10"/>
        <v/>
      </c>
      <c r="L107" s="333" t="str">
        <f t="shared" si="11"/>
        <v/>
      </c>
      <c r="M107" s="333" t="str">
        <f t="shared" si="12"/>
        <v/>
      </c>
      <c r="N107" s="333">
        <f t="shared" si="13"/>
        <v>17</v>
      </c>
    </row>
    <row r="108" spans="1:14" ht="13.5" customHeight="1" x14ac:dyDescent="0.25">
      <c r="A108" s="332" t="str">
        <f t="shared" si="8"/>
        <v>Auxiliar4</v>
      </c>
      <c r="B108" s="332"/>
      <c r="C108" s="174"/>
      <c r="D108" s="332" t="str">
        <f t="shared" si="14"/>
        <v>AA18</v>
      </c>
      <c r="E108" s="332" t="str">
        <f>IF(N108="",IF(J108="j",_xlfn.CONCAT("Load"," ",filename_cont,"1.sim"),IF(K108="k",_xlfn.CONCAT("Load"," ",Data!W57,".sim"),"")),"Get Data")</f>
        <v>Get Data</v>
      </c>
      <c r="F108" s="88" t="str">
        <f>CVD_Script_Table!$H$25</f>
        <v>Line</v>
      </c>
      <c r="G108" s="332"/>
      <c r="H108" s="332"/>
      <c r="I108" s="332" t="str">
        <f t="shared" si="15"/>
        <v>attachmenttype[18]</v>
      </c>
      <c r="J108" s="333">
        <f t="shared" si="9"/>
        <v>18</v>
      </c>
      <c r="K108" s="333" t="str">
        <f t="shared" si="10"/>
        <v/>
      </c>
      <c r="L108" s="333" t="str">
        <f t="shared" si="11"/>
        <v/>
      </c>
      <c r="M108" s="333" t="str">
        <f t="shared" si="12"/>
        <v/>
      </c>
      <c r="N108" s="333">
        <f t="shared" si="13"/>
        <v>18</v>
      </c>
    </row>
    <row r="109" spans="1:14" ht="13.5" customHeight="1" x14ac:dyDescent="0.25">
      <c r="A109" s="332" t="str">
        <f t="shared" si="8"/>
        <v>Auxiliar4</v>
      </c>
      <c r="B109" s="332"/>
      <c r="C109" s="174"/>
      <c r="D109" s="332" t="str">
        <f t="shared" si="14"/>
        <v>AA19</v>
      </c>
      <c r="E109" s="332" t="str">
        <f>IF(N109="",IF(J109="j",_xlfn.CONCAT("Load"," ",filename_cont,"1.sim"),IF(K109="k",_xlfn.CONCAT("Load"," ",Data!W57,".sim"),"")),"Get Data")</f>
        <v>Get Data</v>
      </c>
      <c r="F109" s="88" t="str">
        <f>CVD_Script_Table!$H$25</f>
        <v>Line</v>
      </c>
      <c r="G109" s="332"/>
      <c r="H109" s="332"/>
      <c r="I109" s="332" t="str">
        <f t="shared" si="15"/>
        <v>attachmenttype[19]</v>
      </c>
      <c r="J109" s="333">
        <f t="shared" si="9"/>
        <v>19</v>
      </c>
      <c r="K109" s="333" t="str">
        <f t="shared" si="10"/>
        <v/>
      </c>
      <c r="L109" s="333" t="str">
        <f t="shared" si="11"/>
        <v/>
      </c>
      <c r="M109" s="333" t="str">
        <f t="shared" si="12"/>
        <v/>
      </c>
      <c r="N109" s="333">
        <f t="shared" si="13"/>
        <v>19</v>
      </c>
    </row>
    <row r="110" spans="1:14" ht="13.5" customHeight="1" x14ac:dyDescent="0.25">
      <c r="A110" s="332" t="str">
        <f t="shared" si="8"/>
        <v>Auxiliar4</v>
      </c>
      <c r="B110" s="332"/>
      <c r="C110" s="174"/>
      <c r="D110" s="332" t="str">
        <f t="shared" si="14"/>
        <v>AA20</v>
      </c>
      <c r="E110" s="332" t="str">
        <f>IF(N110="",IF(J110="j",_xlfn.CONCAT("Load"," ",filename_cont,"1.sim"),IF(K110="k",_xlfn.CONCAT("Load"," ",Data!W57,".sim"),"")),"Get Data")</f>
        <v>Get Data</v>
      </c>
      <c r="F110" s="88" t="str">
        <f>CVD_Script_Table!$H$25</f>
        <v>Line</v>
      </c>
      <c r="G110" s="332"/>
      <c r="H110" s="332"/>
      <c r="I110" s="332" t="str">
        <f t="shared" si="15"/>
        <v>attachmenttype[20]</v>
      </c>
      <c r="J110" s="333">
        <f t="shared" si="9"/>
        <v>20</v>
      </c>
      <c r="K110" s="333" t="str">
        <f t="shared" si="10"/>
        <v/>
      </c>
      <c r="L110" s="333" t="str">
        <f t="shared" si="11"/>
        <v/>
      </c>
      <c r="M110" s="333" t="str">
        <f t="shared" si="12"/>
        <v/>
      </c>
      <c r="N110" s="333">
        <f t="shared" si="13"/>
        <v>20</v>
      </c>
    </row>
    <row r="111" spans="1:14" ht="13.5" customHeight="1" x14ac:dyDescent="0.25">
      <c r="A111" s="332" t="str">
        <f t="shared" si="8"/>
        <v>Auxiliar4</v>
      </c>
      <c r="B111" s="332"/>
      <c r="C111" s="174"/>
      <c r="D111" s="332" t="str">
        <f t="shared" si="14"/>
        <v>AA21</v>
      </c>
      <c r="E111" s="332" t="str">
        <f>IF(N111="",IF(J111="j",_xlfn.CONCAT("Load"," ",filename_cont,"1.sim"),IF(K111="k",_xlfn.CONCAT("Load"," ",Data!W57,".sim"),"")),"Get Data")</f>
        <v>Get Data</v>
      </c>
      <c r="F111" s="88" t="str">
        <f>CVD_Script_Table!$H$25</f>
        <v>Line</v>
      </c>
      <c r="G111" s="332"/>
      <c r="H111" s="332"/>
      <c r="I111" s="332" t="str">
        <f t="shared" si="15"/>
        <v>attachmenttype[21]</v>
      </c>
      <c r="J111" s="333">
        <f t="shared" si="9"/>
        <v>21</v>
      </c>
      <c r="K111" s="333" t="str">
        <f t="shared" si="10"/>
        <v/>
      </c>
      <c r="L111" s="333" t="str">
        <f t="shared" si="11"/>
        <v/>
      </c>
      <c r="M111" s="333" t="str">
        <f t="shared" si="12"/>
        <v/>
      </c>
      <c r="N111" s="333">
        <f t="shared" si="13"/>
        <v>21</v>
      </c>
    </row>
    <row r="112" spans="1:14" ht="13.5" customHeight="1" x14ac:dyDescent="0.25">
      <c r="A112" s="332" t="str">
        <f t="shared" si="8"/>
        <v>Auxiliar4</v>
      </c>
      <c r="B112" s="332"/>
      <c r="C112" s="174"/>
      <c r="D112" s="332" t="str">
        <f t="shared" si="14"/>
        <v>AA22</v>
      </c>
      <c r="E112" s="332" t="str">
        <f>IF(N112="",IF(J112="j",_xlfn.CONCAT("Load"," ",filename_cont,"1.sim"),IF(K112="k",_xlfn.CONCAT("Load"," ",Data!W57,".sim"),"")),"Get Data")</f>
        <v>Get Data</v>
      </c>
      <c r="F112" s="88" t="str">
        <f>CVD_Script_Table!$H$25</f>
        <v>Line</v>
      </c>
      <c r="G112" s="332"/>
      <c r="H112" s="332"/>
      <c r="I112" s="332" t="str">
        <f t="shared" si="15"/>
        <v>attachmenttype[22]</v>
      </c>
      <c r="J112" s="333">
        <f t="shared" si="9"/>
        <v>22</v>
      </c>
      <c r="K112" s="333" t="str">
        <f t="shared" si="10"/>
        <v/>
      </c>
      <c r="L112" s="333" t="str">
        <f t="shared" si="11"/>
        <v/>
      </c>
      <c r="M112" s="333" t="str">
        <f t="shared" si="12"/>
        <v/>
      </c>
      <c r="N112" s="333">
        <f t="shared" si="13"/>
        <v>22</v>
      </c>
    </row>
    <row r="113" spans="1:14" ht="13.5" customHeight="1" x14ac:dyDescent="0.25">
      <c r="A113" s="332" t="str">
        <f t="shared" si="8"/>
        <v>Auxiliar4</v>
      </c>
      <c r="B113" s="332"/>
      <c r="C113" s="174"/>
      <c r="D113" s="332" t="str">
        <f t="shared" si="14"/>
        <v>AA23</v>
      </c>
      <c r="E113" s="332" t="str">
        <f>IF(N113="",IF(J113="j",_xlfn.CONCAT("Load"," ",filename_cont,"1.sim"),IF(K113="k",_xlfn.CONCAT("Load"," ",Data!W57,".sim"),"")),"Get Data")</f>
        <v>Get Data</v>
      </c>
      <c r="F113" s="88" t="str">
        <f>CVD_Script_Table!$H$25</f>
        <v>Line</v>
      </c>
      <c r="G113" s="332"/>
      <c r="H113" s="332"/>
      <c r="I113" s="332" t="str">
        <f t="shared" si="15"/>
        <v>attachmenttype[23]</v>
      </c>
      <c r="J113" s="333">
        <f t="shared" si="9"/>
        <v>23</v>
      </c>
      <c r="K113" s="333" t="str">
        <f t="shared" si="10"/>
        <v/>
      </c>
      <c r="L113" s="333" t="str">
        <f t="shared" si="11"/>
        <v/>
      </c>
      <c r="M113" s="333" t="str">
        <f t="shared" si="12"/>
        <v/>
      </c>
      <c r="N113" s="333">
        <f t="shared" si="13"/>
        <v>23</v>
      </c>
    </row>
    <row r="114" spans="1:14" ht="13.5" customHeight="1" x14ac:dyDescent="0.25">
      <c r="A114" s="332" t="str">
        <f t="shared" si="8"/>
        <v>Auxiliar4</v>
      </c>
      <c r="B114" s="332"/>
      <c r="C114" s="174"/>
      <c r="D114" s="332" t="str">
        <f t="shared" si="14"/>
        <v>AA24</v>
      </c>
      <c r="E114" s="332" t="str">
        <f>IF(N114="",IF(J114="j",_xlfn.CONCAT("Load"," ",filename_cont,"1.sim"),IF(K114="k",_xlfn.CONCAT("Load"," ",Data!W57,".sim"),"")),"Get Data")</f>
        <v>Get Data</v>
      </c>
      <c r="F114" s="88" t="str">
        <f>CVD_Script_Table!$H$25</f>
        <v>Line</v>
      </c>
      <c r="G114" s="332"/>
      <c r="H114" s="332"/>
      <c r="I114" s="332" t="str">
        <f t="shared" si="15"/>
        <v>attachmenttype[24]</v>
      </c>
      <c r="J114" s="333">
        <f t="shared" si="9"/>
        <v>24</v>
      </c>
      <c r="K114" s="333" t="str">
        <f t="shared" si="10"/>
        <v/>
      </c>
      <c r="L114" s="333" t="str">
        <f t="shared" si="11"/>
        <v/>
      </c>
      <c r="M114" s="333" t="str">
        <f t="shared" si="12"/>
        <v/>
      </c>
      <c r="N114" s="333">
        <f t="shared" si="13"/>
        <v>24</v>
      </c>
    </row>
    <row r="115" spans="1:14" ht="13.5" customHeight="1" x14ac:dyDescent="0.25">
      <c r="A115" s="332" t="str">
        <f t="shared" si="8"/>
        <v>Auxiliar4</v>
      </c>
      <c r="B115" s="332"/>
      <c r="C115" s="174"/>
      <c r="D115" s="332" t="str">
        <f t="shared" si="14"/>
        <v>AA25</v>
      </c>
      <c r="E115" s="332" t="str">
        <f>IF(N115="",IF(J115="j",_xlfn.CONCAT("Load"," ",filename_cont,"1.sim"),IF(K115="k",_xlfn.CONCAT("Load"," ",Data!W57,".sim"),"")),"Get Data")</f>
        <v>Get Data</v>
      </c>
      <c r="F115" s="88" t="str">
        <f>CVD_Script_Table!$H$25</f>
        <v>Line</v>
      </c>
      <c r="G115" s="332"/>
      <c r="H115" s="332"/>
      <c r="I115" s="332" t="str">
        <f t="shared" si="15"/>
        <v>attachmenttype[25]</v>
      </c>
      <c r="J115" s="333">
        <f t="shared" si="9"/>
        <v>25</v>
      </c>
      <c r="K115" s="333" t="str">
        <f t="shared" si="10"/>
        <v/>
      </c>
      <c r="L115" s="333" t="str">
        <f t="shared" si="11"/>
        <v/>
      </c>
      <c r="M115" s="333" t="str">
        <f t="shared" si="12"/>
        <v/>
      </c>
      <c r="N115" s="333">
        <f t="shared" si="13"/>
        <v>25</v>
      </c>
    </row>
    <row r="116" spans="1:14" ht="13.5" customHeight="1" x14ac:dyDescent="0.25">
      <c r="A116" s="332" t="str">
        <f t="shared" si="8"/>
        <v>Auxiliar4</v>
      </c>
      <c r="B116" s="332"/>
      <c r="C116" s="174"/>
      <c r="D116" s="332" t="str">
        <f t="shared" si="14"/>
        <v>AA26</v>
      </c>
      <c r="E116" s="332" t="str">
        <f>IF(N116="",IF(J116="j",_xlfn.CONCAT("Load"," ",filename_cont,"1.sim"),IF(K116="k",_xlfn.CONCAT("Load"," ",Data!W57,".sim"),"")),"Get Data")</f>
        <v>Get Data</v>
      </c>
      <c r="F116" s="88" t="str">
        <f>CVD_Script_Table!$H$25</f>
        <v>Line</v>
      </c>
      <c r="G116" s="332"/>
      <c r="H116" s="332"/>
      <c r="I116" s="332" t="str">
        <f t="shared" si="15"/>
        <v>attachmenttype[26]</v>
      </c>
      <c r="J116" s="333">
        <f t="shared" si="9"/>
        <v>26</v>
      </c>
      <c r="K116" s="333" t="str">
        <f t="shared" si="10"/>
        <v/>
      </c>
      <c r="L116" s="333" t="str">
        <f t="shared" si="11"/>
        <v/>
      </c>
      <c r="M116" s="333" t="str">
        <f t="shared" si="12"/>
        <v/>
      </c>
      <c r="N116" s="333">
        <f t="shared" si="13"/>
        <v>26</v>
      </c>
    </row>
    <row r="117" spans="1:14" ht="13.5" customHeight="1" x14ac:dyDescent="0.25">
      <c r="A117" s="332" t="str">
        <f t="shared" si="8"/>
        <v>Auxiliar4</v>
      </c>
      <c r="B117" s="332"/>
      <c r="C117" s="174"/>
      <c r="D117" s="332" t="str">
        <f t="shared" si="14"/>
        <v>AA27</v>
      </c>
      <c r="E117" s="332" t="str">
        <f>IF(N117="",IF(J117="j",_xlfn.CONCAT("Load"," ",filename_cont,"1.sim"),IF(K117="k",_xlfn.CONCAT("Load"," ",Data!W57,".sim"),"")),"Get Data")</f>
        <v>Get Data</v>
      </c>
      <c r="F117" s="88" t="str">
        <f>CVD_Script_Table!$H$25</f>
        <v>Line</v>
      </c>
      <c r="G117" s="332"/>
      <c r="H117" s="332"/>
      <c r="I117" s="332" t="str">
        <f t="shared" si="15"/>
        <v>attachmenttype[27]</v>
      </c>
      <c r="J117" s="333">
        <f t="shared" si="9"/>
        <v>27</v>
      </c>
      <c r="K117" s="333" t="str">
        <f t="shared" si="10"/>
        <v/>
      </c>
      <c r="L117" s="333" t="str">
        <f t="shared" si="11"/>
        <v/>
      </c>
      <c r="M117" s="333" t="str">
        <f t="shared" si="12"/>
        <v/>
      </c>
      <c r="N117" s="333">
        <f t="shared" si="13"/>
        <v>27</v>
      </c>
    </row>
    <row r="118" spans="1:14" ht="13.5" customHeight="1" x14ac:dyDescent="0.25">
      <c r="A118" s="332" t="str">
        <f t="shared" si="8"/>
        <v>Auxiliar4</v>
      </c>
      <c r="B118" s="332"/>
      <c r="C118" s="174"/>
      <c r="D118" s="332" t="str">
        <f t="shared" si="14"/>
        <v>AA28</v>
      </c>
      <c r="E118" s="332" t="str">
        <f>IF(N118="",IF(J118="j",_xlfn.CONCAT("Load"," ",filename_cont,"1.sim"),IF(K118="k",_xlfn.CONCAT("Load"," ",Data!W57,".sim"),"")),"Get Data")</f>
        <v>Get Data</v>
      </c>
      <c r="F118" s="88" t="str">
        <f>CVD_Script_Table!$H$25</f>
        <v>Line</v>
      </c>
      <c r="G118" s="332"/>
      <c r="H118" s="332"/>
      <c r="I118" s="332" t="str">
        <f t="shared" si="15"/>
        <v>attachmenttype[28]</v>
      </c>
      <c r="J118" s="333">
        <f t="shared" si="9"/>
        <v>28</v>
      </c>
      <c r="K118" s="333" t="str">
        <f t="shared" si="10"/>
        <v/>
      </c>
      <c r="L118" s="333" t="str">
        <f t="shared" si="11"/>
        <v/>
      </c>
      <c r="M118" s="333" t="str">
        <f t="shared" si="12"/>
        <v/>
      </c>
      <c r="N118" s="333">
        <f t="shared" si="13"/>
        <v>28</v>
      </c>
    </row>
    <row r="119" spans="1:14" ht="13.5" customHeight="1" x14ac:dyDescent="0.25">
      <c r="A119" s="332" t="str">
        <f t="shared" si="8"/>
        <v>Auxiliar4</v>
      </c>
      <c r="B119" s="332"/>
      <c r="C119" s="174"/>
      <c r="D119" s="332" t="str">
        <f t="shared" si="14"/>
        <v>AA29</v>
      </c>
      <c r="E119" s="332" t="str">
        <f>IF(N119="",IF(J119="j",_xlfn.CONCAT("Load"," ",filename_cont,"1.sim"),IF(K119="k",_xlfn.CONCAT("Load"," ",Data!W57,".sim"),"")),"Get Data")</f>
        <v>Get Data</v>
      </c>
      <c r="F119" s="88" t="str">
        <f>CVD_Script_Table!$H$25</f>
        <v>Line</v>
      </c>
      <c r="G119" s="332"/>
      <c r="H119" s="332"/>
      <c r="I119" s="332" t="str">
        <f t="shared" si="15"/>
        <v>attachmenttype[29]</v>
      </c>
      <c r="J119" s="333">
        <f t="shared" si="9"/>
        <v>29</v>
      </c>
      <c r="K119" s="333" t="str">
        <f t="shared" si="10"/>
        <v/>
      </c>
      <c r="L119" s="333" t="str">
        <f t="shared" si="11"/>
        <v/>
      </c>
      <c r="M119" s="333" t="str">
        <f t="shared" si="12"/>
        <v/>
      </c>
      <c r="N119" s="333">
        <f t="shared" si="13"/>
        <v>29</v>
      </c>
    </row>
    <row r="120" spans="1:14" ht="13.5" customHeight="1" x14ac:dyDescent="0.25">
      <c r="A120" s="332" t="str">
        <f t="shared" si="8"/>
        <v>Auxiliar4</v>
      </c>
      <c r="B120" s="332"/>
      <c r="C120" s="174"/>
      <c r="D120" s="332" t="str">
        <f t="shared" si="14"/>
        <v>AA30</v>
      </c>
      <c r="E120" s="332" t="str">
        <f>IF(N120="",IF(J120="j",_xlfn.CONCAT("Load"," ",filename_cont,"1.sim"),IF(K120="k",_xlfn.CONCAT("Load"," ",Data!W57,".sim"),"")),"Get Data")</f>
        <v>Get Data</v>
      </c>
      <c r="F120" s="88" t="str">
        <f>CVD_Script_Table!$H$25</f>
        <v>Line</v>
      </c>
      <c r="G120" s="332"/>
      <c r="H120" s="332"/>
      <c r="I120" s="332" t="str">
        <f t="shared" si="15"/>
        <v>attachmenttype[30]</v>
      </c>
      <c r="J120" s="333">
        <f t="shared" si="9"/>
        <v>30</v>
      </c>
      <c r="K120" s="333" t="str">
        <f t="shared" si="10"/>
        <v/>
      </c>
      <c r="L120" s="333" t="str">
        <f t="shared" si="11"/>
        <v/>
      </c>
      <c r="M120" s="333" t="str">
        <f t="shared" si="12"/>
        <v/>
      </c>
      <c r="N120" s="333">
        <f t="shared" si="13"/>
        <v>30</v>
      </c>
    </row>
    <row r="121" spans="1:14" ht="13.5" customHeight="1" x14ac:dyDescent="0.25">
      <c r="A121" s="332" t="str">
        <f t="shared" si="8"/>
        <v>Auxiliar4</v>
      </c>
      <c r="B121" s="332"/>
      <c r="C121" s="174"/>
      <c r="D121" s="332" t="str">
        <f t="shared" si="14"/>
        <v>AA31</v>
      </c>
      <c r="E121" s="332" t="str">
        <f>IF(N121="",IF(J121="j",_xlfn.CONCAT("Load"," ",filename_cont,"1.sim"),IF(K121="k",_xlfn.CONCAT("Load"," ",Data!W57,".sim"),"")),"Get Data")</f>
        <v>Get Data</v>
      </c>
      <c r="F121" s="88" t="str">
        <f>CVD_Script_Table!$H$25</f>
        <v>Line</v>
      </c>
      <c r="G121" s="332"/>
      <c r="H121" s="332"/>
      <c r="I121" s="332" t="str">
        <f t="shared" si="15"/>
        <v>attachmenttype[31]</v>
      </c>
      <c r="J121" s="333">
        <f t="shared" si="9"/>
        <v>31</v>
      </c>
      <c r="K121" s="333" t="str">
        <f t="shared" si="10"/>
        <v/>
      </c>
      <c r="L121" s="333" t="str">
        <f t="shared" si="11"/>
        <v/>
      </c>
      <c r="M121" s="333" t="str">
        <f t="shared" si="12"/>
        <v/>
      </c>
      <c r="N121" s="333">
        <f t="shared" si="13"/>
        <v>31</v>
      </c>
    </row>
    <row r="122" spans="1:14" ht="13.5" customHeight="1" x14ac:dyDescent="0.25">
      <c r="A122" s="332" t="str">
        <f t="shared" si="8"/>
        <v>Auxiliar4</v>
      </c>
      <c r="B122" s="332"/>
      <c r="C122" s="174"/>
      <c r="D122" s="332" t="str">
        <f t="shared" si="14"/>
        <v>AA32</v>
      </c>
      <c r="E122" s="332" t="str">
        <f>IF(N122="",IF(J122="j",_xlfn.CONCAT("Load"," ",filename_cont,"1.sim"),IF(K122="k",_xlfn.CONCAT("Load"," ",Data!W57,".sim"),"")),"Get Data")</f>
        <v>Get Data</v>
      </c>
      <c r="F122" s="88" t="str">
        <f>CVD_Script_Table!$H$25</f>
        <v>Line</v>
      </c>
      <c r="G122" s="332"/>
      <c r="H122" s="332"/>
      <c r="I122" s="332" t="str">
        <f t="shared" si="15"/>
        <v>attachmenttype[32]</v>
      </c>
      <c r="J122" s="333">
        <f t="shared" si="9"/>
        <v>32</v>
      </c>
      <c r="K122" s="333" t="str">
        <f t="shared" si="10"/>
        <v/>
      </c>
      <c r="L122" s="333" t="str">
        <f t="shared" si="11"/>
        <v/>
      </c>
      <c r="M122" s="333" t="str">
        <f t="shared" si="12"/>
        <v/>
      </c>
      <c r="N122" s="333">
        <f t="shared" si="13"/>
        <v>32</v>
      </c>
    </row>
    <row r="123" spans="1:14" ht="13.5" customHeight="1" x14ac:dyDescent="0.25">
      <c r="A123" s="332" t="str">
        <f t="shared" si="8"/>
        <v>Auxiliar4</v>
      </c>
      <c r="B123" s="332"/>
      <c r="C123" s="174"/>
      <c r="D123" s="332" t="str">
        <f t="shared" si="14"/>
        <v>AA33</v>
      </c>
      <c r="E123" s="332" t="str">
        <f>IF(N123="",IF(J123="j",_xlfn.CONCAT("Load"," ",filename_cont,"1.sim"),IF(K123="k",_xlfn.CONCAT("Load"," ",Data!W57,".sim"),"")),"Get Data")</f>
        <v>Get Data</v>
      </c>
      <c r="F123" s="88" t="str">
        <f>CVD_Script_Table!$H$25</f>
        <v>Line</v>
      </c>
      <c r="G123" s="332"/>
      <c r="H123" s="332"/>
      <c r="I123" s="332" t="str">
        <f t="shared" si="15"/>
        <v>attachmenttype[33]</v>
      </c>
      <c r="J123" s="333">
        <f t="shared" si="9"/>
        <v>33</v>
      </c>
      <c r="K123" s="333" t="str">
        <f t="shared" si="10"/>
        <v/>
      </c>
      <c r="L123" s="333" t="str">
        <f t="shared" si="11"/>
        <v/>
      </c>
      <c r="M123" s="333" t="str">
        <f t="shared" ref="M123:M154" si="16">IF(OR(L123="l",L123="ll"),IFERROR(IF(M122="",2,IF(M122=J$9,"m",M122+1)),"mm"),"")</f>
        <v/>
      </c>
      <c r="N123" s="333">
        <f t="shared" si="13"/>
        <v>33</v>
      </c>
    </row>
    <row r="124" spans="1:14" ht="13.5" customHeight="1" x14ac:dyDescent="0.25">
      <c r="A124" s="332" t="str">
        <f t="shared" si="8"/>
        <v>Auxiliar4</v>
      </c>
      <c r="B124" s="332"/>
      <c r="C124" s="174"/>
      <c r="D124" s="332" t="str">
        <f t="shared" si="14"/>
        <v>AA34</v>
      </c>
      <c r="E124" s="332" t="str">
        <f>IF(N124="",IF(J124="j",_xlfn.CONCAT("Load"," ",filename_cont,"1.sim"),IF(K124="k",_xlfn.CONCAT("Load"," ",Data!W57,".sim"),"")),"Get Data")</f>
        <v>Get Data</v>
      </c>
      <c r="F124" s="88" t="str">
        <f>CVD_Script_Table!$H$25</f>
        <v>Line</v>
      </c>
      <c r="G124" s="332"/>
      <c r="H124" s="332"/>
      <c r="I124" s="332" t="str">
        <f t="shared" si="15"/>
        <v>attachmenttype[34]</v>
      </c>
      <c r="J124" s="333">
        <f t="shared" si="9"/>
        <v>34</v>
      </c>
      <c r="K124" s="333" t="str">
        <f t="shared" si="10"/>
        <v/>
      </c>
      <c r="L124" s="333" t="str">
        <f t="shared" si="11"/>
        <v/>
      </c>
      <c r="M124" s="333" t="str">
        <f t="shared" si="16"/>
        <v/>
      </c>
      <c r="N124" s="333">
        <f t="shared" si="13"/>
        <v>34</v>
      </c>
    </row>
    <row r="125" spans="1:14" ht="13.5" customHeight="1" x14ac:dyDescent="0.25">
      <c r="A125" s="332" t="str">
        <f t="shared" si="8"/>
        <v>Auxiliar4</v>
      </c>
      <c r="B125" s="332"/>
      <c r="C125" s="174"/>
      <c r="D125" s="332" t="str">
        <f t="shared" si="14"/>
        <v>AA35</v>
      </c>
      <c r="E125" s="332" t="str">
        <f>IF(N125="",IF(J125="j",_xlfn.CONCAT("Load"," ",filename_cont,"1.sim"),IF(K125="k",_xlfn.CONCAT("Load"," ",Data!W57,".sim"),"")),"Get Data")</f>
        <v>Get Data</v>
      </c>
      <c r="F125" s="88" t="str">
        <f>CVD_Script_Table!$H$25</f>
        <v>Line</v>
      </c>
      <c r="G125" s="332"/>
      <c r="H125" s="332"/>
      <c r="I125" s="332" t="str">
        <f t="shared" si="15"/>
        <v>attachmenttype[35]</v>
      </c>
      <c r="J125" s="333">
        <f t="shared" si="9"/>
        <v>35</v>
      </c>
      <c r="K125" s="333" t="str">
        <f t="shared" si="10"/>
        <v/>
      </c>
      <c r="L125" s="333" t="str">
        <f t="shared" si="11"/>
        <v/>
      </c>
      <c r="M125" s="333" t="str">
        <f t="shared" si="16"/>
        <v/>
      </c>
      <c r="N125" s="333">
        <f t="shared" si="13"/>
        <v>35</v>
      </c>
    </row>
    <row r="126" spans="1:14" ht="13.5" customHeight="1" x14ac:dyDescent="0.25">
      <c r="A126" s="332" t="str">
        <f t="shared" si="8"/>
        <v>Auxiliar4</v>
      </c>
      <c r="B126" s="332"/>
      <c r="C126" s="174"/>
      <c r="D126" s="332" t="str">
        <f t="shared" si="14"/>
        <v>AA36</v>
      </c>
      <c r="E126" s="332" t="str">
        <f>IF(N126="",IF(J126="j",_xlfn.CONCAT("Load"," ",filename_cont,"1.sim"),IF(K126="k",_xlfn.CONCAT("Load"," ",Data!W57,".sim"),"")),"Get Data")</f>
        <v>Get Data</v>
      </c>
      <c r="F126" s="88" t="str">
        <f>CVD_Script_Table!$H$25</f>
        <v>Line</v>
      </c>
      <c r="G126" s="332"/>
      <c r="H126" s="332"/>
      <c r="I126" s="332" t="str">
        <f t="shared" si="15"/>
        <v>attachmenttype[36]</v>
      </c>
      <c r="J126" s="333">
        <f t="shared" si="9"/>
        <v>36</v>
      </c>
      <c r="K126" s="333" t="str">
        <f t="shared" si="10"/>
        <v/>
      </c>
      <c r="L126" s="333" t="str">
        <f t="shared" si="11"/>
        <v/>
      </c>
      <c r="M126" s="333" t="str">
        <f t="shared" si="16"/>
        <v/>
      </c>
      <c r="N126" s="333">
        <f t="shared" si="13"/>
        <v>36</v>
      </c>
    </row>
    <row r="127" spans="1:14" ht="13.5" customHeight="1" x14ac:dyDescent="0.25">
      <c r="A127" s="332" t="str">
        <f t="shared" si="8"/>
        <v>Auxiliar4</v>
      </c>
      <c r="B127" s="332"/>
      <c r="C127" s="174"/>
      <c r="D127" s="332" t="str">
        <f t="shared" si="14"/>
        <v>AA37</v>
      </c>
      <c r="E127" s="332" t="str">
        <f>IF(N127="",IF(J127="j",_xlfn.CONCAT("Load"," ",filename_cont,"1.sim"),IF(K127="k",_xlfn.CONCAT("Load"," ",Data!W57,".sim"),"")),"Get Data")</f>
        <v>Get Data</v>
      </c>
      <c r="F127" s="88" t="str">
        <f>CVD_Script_Table!$H$25</f>
        <v>Line</v>
      </c>
      <c r="G127" s="332"/>
      <c r="H127" s="332"/>
      <c r="I127" s="332" t="str">
        <f t="shared" si="15"/>
        <v>attachmenttype[37]</v>
      </c>
      <c r="J127" s="333">
        <f t="shared" si="9"/>
        <v>37</v>
      </c>
      <c r="K127" s="333" t="str">
        <f t="shared" si="10"/>
        <v/>
      </c>
      <c r="L127" s="333" t="str">
        <f t="shared" si="11"/>
        <v/>
      </c>
      <c r="M127" s="333" t="str">
        <f t="shared" si="16"/>
        <v/>
      </c>
      <c r="N127" s="333">
        <f t="shared" si="13"/>
        <v>37</v>
      </c>
    </row>
    <row r="128" spans="1:14" ht="13.5" customHeight="1" x14ac:dyDescent="0.25">
      <c r="A128" s="332" t="str">
        <f t="shared" si="8"/>
        <v>Auxiliar4</v>
      </c>
      <c r="B128" s="332"/>
      <c r="C128" s="174"/>
      <c r="D128" s="332" t="str">
        <f t="shared" si="14"/>
        <v>AA38</v>
      </c>
      <c r="E128" s="332" t="str">
        <f>IF(N128="",IF(J128="j",_xlfn.CONCAT("Load"," ",filename_cont,"1.sim"),IF(K128="k",_xlfn.CONCAT("Load"," ",Data!W57,".sim"),"")),"Get Data")</f>
        <v>Get Data</v>
      </c>
      <c r="F128" s="88" t="str">
        <f>CVD_Script_Table!$H$25</f>
        <v>Line</v>
      </c>
      <c r="G128" s="332"/>
      <c r="H128" s="332"/>
      <c r="I128" s="332" t="str">
        <f t="shared" si="15"/>
        <v>attachmenttype[38]</v>
      </c>
      <c r="J128" s="333">
        <f t="shared" si="9"/>
        <v>38</v>
      </c>
      <c r="K128" s="333" t="str">
        <f t="shared" si="10"/>
        <v/>
      </c>
      <c r="L128" s="333" t="str">
        <f t="shared" si="11"/>
        <v/>
      </c>
      <c r="M128" s="333" t="str">
        <f t="shared" si="16"/>
        <v/>
      </c>
      <c r="N128" s="333">
        <f t="shared" si="13"/>
        <v>38</v>
      </c>
    </row>
    <row r="129" spans="1:14" ht="13.5" customHeight="1" x14ac:dyDescent="0.25">
      <c r="A129" s="332" t="str">
        <f t="shared" si="8"/>
        <v>Auxiliar4</v>
      </c>
      <c r="B129" s="332"/>
      <c r="C129" s="174"/>
      <c r="D129" s="332" t="str">
        <f t="shared" si="14"/>
        <v>AA39</v>
      </c>
      <c r="E129" s="332" t="str">
        <f>IF(N129="",IF(J129="j",_xlfn.CONCAT("Load"," ",filename_cont,"1.sim"),IF(K129="k",_xlfn.CONCAT("Load"," ",Data!W57,".sim"),"")),"Get Data")</f>
        <v>Get Data</v>
      </c>
      <c r="F129" s="88" t="str">
        <f>CVD_Script_Table!$H$25</f>
        <v>Line</v>
      </c>
      <c r="G129" s="332"/>
      <c r="H129" s="332"/>
      <c r="I129" s="332" t="str">
        <f t="shared" si="15"/>
        <v>attachmenttype[39]</v>
      </c>
      <c r="J129" s="333">
        <f t="shared" si="9"/>
        <v>39</v>
      </c>
      <c r="K129" s="333" t="str">
        <f t="shared" si="10"/>
        <v/>
      </c>
      <c r="L129" s="333" t="str">
        <f t="shared" si="11"/>
        <v/>
      </c>
      <c r="M129" s="333" t="str">
        <f t="shared" si="16"/>
        <v/>
      </c>
      <c r="N129" s="333">
        <f t="shared" si="13"/>
        <v>39</v>
      </c>
    </row>
    <row r="130" spans="1:14" ht="13.5" customHeight="1" x14ac:dyDescent="0.25">
      <c r="A130" s="332" t="str">
        <f t="shared" si="8"/>
        <v>Auxiliar4</v>
      </c>
      <c r="B130" s="332"/>
      <c r="C130" s="174"/>
      <c r="D130" s="332" t="str">
        <f t="shared" si="14"/>
        <v>AA40</v>
      </c>
      <c r="E130" s="332" t="str">
        <f>IF(N130="",IF(J130="j",_xlfn.CONCAT("Load"," ",filename_cont,"1.sim"),IF(K130="k",_xlfn.CONCAT("Load"," ",Data!W57,".sim"),"")),"Get Data")</f>
        <v>Get Data</v>
      </c>
      <c r="F130" s="88" t="str">
        <f>CVD_Script_Table!$H$25</f>
        <v>Line</v>
      </c>
      <c r="G130" s="332"/>
      <c r="H130" s="332"/>
      <c r="I130" s="332" t="str">
        <f t="shared" si="15"/>
        <v>attachmenttype[40]</v>
      </c>
      <c r="J130" s="333">
        <f t="shared" si="9"/>
        <v>40</v>
      </c>
      <c r="K130" s="333" t="str">
        <f t="shared" si="10"/>
        <v/>
      </c>
      <c r="L130" s="333" t="str">
        <f t="shared" si="11"/>
        <v/>
      </c>
      <c r="M130" s="333" t="str">
        <f t="shared" si="16"/>
        <v/>
      </c>
      <c r="N130" s="333">
        <f t="shared" si="13"/>
        <v>40</v>
      </c>
    </row>
    <row r="131" spans="1:14" ht="13.5" customHeight="1" x14ac:dyDescent="0.25">
      <c r="A131" s="332" t="str">
        <f t="shared" si="8"/>
        <v>Auxiliar4</v>
      </c>
      <c r="B131" s="332"/>
      <c r="C131" s="174"/>
      <c r="D131" s="332" t="str">
        <f t="shared" si="14"/>
        <v>AA41</v>
      </c>
      <c r="E131" s="332" t="str">
        <f>IF(N131="",IF(J131="j",_xlfn.CONCAT("Load"," ",filename_cont,"1.sim"),IF(K131="k",_xlfn.CONCAT("Load"," ",Data!W57,".sim"),"")),"Get Data")</f>
        <v>Get Data</v>
      </c>
      <c r="F131" s="88" t="str">
        <f>CVD_Script_Table!$H$25</f>
        <v>Line</v>
      </c>
      <c r="G131" s="332"/>
      <c r="H131" s="332"/>
      <c r="I131" s="332" t="str">
        <f t="shared" si="15"/>
        <v>attachmenttype[41]</v>
      </c>
      <c r="J131" s="333">
        <f t="shared" si="9"/>
        <v>41</v>
      </c>
      <c r="K131" s="333" t="str">
        <f t="shared" si="10"/>
        <v/>
      </c>
      <c r="L131" s="333" t="str">
        <f t="shared" si="11"/>
        <v/>
      </c>
      <c r="M131" s="333" t="str">
        <f t="shared" si="16"/>
        <v/>
      </c>
      <c r="N131" s="333">
        <f t="shared" si="13"/>
        <v>41</v>
      </c>
    </row>
    <row r="132" spans="1:14" ht="13.5" customHeight="1" x14ac:dyDescent="0.25">
      <c r="A132" s="332" t="str">
        <f t="shared" si="8"/>
        <v>Auxiliar4</v>
      </c>
      <c r="B132" s="332"/>
      <c r="C132" s="174"/>
      <c r="D132" s="332" t="str">
        <f t="shared" si="14"/>
        <v>AA42</v>
      </c>
      <c r="E132" s="332" t="str">
        <f>IF(N132="",IF(J132="j",_xlfn.CONCAT("Load"," ",filename_cont,"1.sim"),IF(K132="k",_xlfn.CONCAT("Load"," ",Data!W57,".sim"),"")),"Get Data")</f>
        <v>Get Data</v>
      </c>
      <c r="F132" s="88" t="str">
        <f>CVD_Script_Table!$H$25</f>
        <v>Line</v>
      </c>
      <c r="G132" s="332"/>
      <c r="H132" s="332"/>
      <c r="I132" s="332" t="str">
        <f t="shared" si="15"/>
        <v>attachmenttype[42]</v>
      </c>
      <c r="J132" s="333">
        <f t="shared" si="9"/>
        <v>42</v>
      </c>
      <c r="K132" s="333" t="str">
        <f t="shared" si="10"/>
        <v/>
      </c>
      <c r="L132" s="333" t="str">
        <f t="shared" si="11"/>
        <v/>
      </c>
      <c r="M132" s="333" t="str">
        <f t="shared" si="16"/>
        <v/>
      </c>
      <c r="N132" s="333">
        <f t="shared" si="13"/>
        <v>42</v>
      </c>
    </row>
    <row r="133" spans="1:14" ht="13.5" customHeight="1" x14ac:dyDescent="0.25">
      <c r="A133" s="332" t="str">
        <f t="shared" si="8"/>
        <v>Auxiliar4</v>
      </c>
      <c r="B133" s="332"/>
      <c r="C133" s="174"/>
      <c r="D133" s="332" t="str">
        <f t="shared" si="14"/>
        <v>AA43</v>
      </c>
      <c r="E133" s="332" t="str">
        <f>IF(N133="",IF(J133="j",_xlfn.CONCAT("Load"," ",filename_cont,"1.sim"),IF(K133="k",_xlfn.CONCAT("Load"," ",Data!W57,".sim"),"")),"Get Data")</f>
        <v>Get Data</v>
      </c>
      <c r="F133" s="88" t="str">
        <f>CVD_Script_Table!$H$25</f>
        <v>Line</v>
      </c>
      <c r="G133" s="332"/>
      <c r="H133" s="332"/>
      <c r="I133" s="332" t="str">
        <f t="shared" si="15"/>
        <v>attachmenttype[43]</v>
      </c>
      <c r="J133" s="333">
        <f t="shared" si="9"/>
        <v>43</v>
      </c>
      <c r="K133" s="333" t="str">
        <f t="shared" si="10"/>
        <v/>
      </c>
      <c r="L133" s="333" t="str">
        <f t="shared" si="11"/>
        <v/>
      </c>
      <c r="M133" s="333" t="str">
        <f t="shared" si="16"/>
        <v/>
      </c>
      <c r="N133" s="333">
        <f t="shared" si="13"/>
        <v>43</v>
      </c>
    </row>
    <row r="134" spans="1:14" ht="13.5" customHeight="1" x14ac:dyDescent="0.25">
      <c r="A134" s="332" t="str">
        <f t="shared" si="8"/>
        <v>Auxiliar4</v>
      </c>
      <c r="B134" s="332"/>
      <c r="C134" s="174"/>
      <c r="D134" s="332" t="str">
        <f t="shared" si="14"/>
        <v>AA44</v>
      </c>
      <c r="E134" s="332" t="str">
        <f>IF(N134="",IF(J134="j",_xlfn.CONCAT("Load"," ",filename_cont,"1.sim"),IF(K134="k",_xlfn.CONCAT("Load"," ",Data!W57,".sim"),"")),"Get Data")</f>
        <v>Get Data</v>
      </c>
      <c r="F134" s="88" t="str">
        <f>CVD_Script_Table!$H$25</f>
        <v>Line</v>
      </c>
      <c r="G134" s="332"/>
      <c r="H134" s="332"/>
      <c r="I134" s="332" t="str">
        <f t="shared" si="15"/>
        <v>attachmenttype[44]</v>
      </c>
      <c r="J134" s="333">
        <f t="shared" si="9"/>
        <v>44</v>
      </c>
      <c r="K134" s="333" t="str">
        <f t="shared" si="10"/>
        <v/>
      </c>
      <c r="L134" s="333" t="str">
        <f t="shared" si="11"/>
        <v/>
      </c>
      <c r="M134" s="333" t="str">
        <f t="shared" si="16"/>
        <v/>
      </c>
      <c r="N134" s="333">
        <f t="shared" si="13"/>
        <v>44</v>
      </c>
    </row>
    <row r="135" spans="1:14" ht="13.5" customHeight="1" x14ac:dyDescent="0.25">
      <c r="A135" s="332" t="str">
        <f t="shared" si="8"/>
        <v>Auxiliar4</v>
      </c>
      <c r="B135" s="332"/>
      <c r="C135" s="174"/>
      <c r="D135" s="332" t="str">
        <f t="shared" si="14"/>
        <v>AA45</v>
      </c>
      <c r="E135" s="332" t="str">
        <f>IF(N135="",IF(J135="j",_xlfn.CONCAT("Load"," ",filename_cont,"1.sim"),IF(K135="k",_xlfn.CONCAT("Load"," ",Data!W57,".sim"),"")),"Get Data")</f>
        <v>Get Data</v>
      </c>
      <c r="F135" s="88" t="str">
        <f>CVD_Script_Table!$H$25</f>
        <v>Line</v>
      </c>
      <c r="G135" s="332"/>
      <c r="H135" s="332"/>
      <c r="I135" s="332" t="str">
        <f t="shared" si="15"/>
        <v>attachmenttype[45]</v>
      </c>
      <c r="J135" s="333">
        <f t="shared" si="9"/>
        <v>45</v>
      </c>
      <c r="K135" s="333" t="str">
        <f t="shared" si="10"/>
        <v/>
      </c>
      <c r="L135" s="333" t="str">
        <f t="shared" si="11"/>
        <v/>
      </c>
      <c r="M135" s="333" t="str">
        <f t="shared" si="16"/>
        <v/>
      </c>
      <c r="N135" s="333">
        <f t="shared" si="13"/>
        <v>45</v>
      </c>
    </row>
    <row r="136" spans="1:14" ht="13.5" customHeight="1" x14ac:dyDescent="0.25">
      <c r="A136" s="332" t="str">
        <f t="shared" si="8"/>
        <v>Auxiliar4</v>
      </c>
      <c r="B136" s="332"/>
      <c r="C136" s="174"/>
      <c r="D136" s="332" t="str">
        <f t="shared" si="14"/>
        <v>AA46</v>
      </c>
      <c r="E136" s="332" t="str">
        <f>IF(N136="",IF(J136="j",_xlfn.CONCAT("Load"," ",filename_cont,"1.sim"),IF(K136="k",_xlfn.CONCAT("Load"," ",Data!W57,".sim"),"")),"Get Data")</f>
        <v>Get Data</v>
      </c>
      <c r="F136" s="88" t="str">
        <f>CVD_Script_Table!$H$25</f>
        <v>Line</v>
      </c>
      <c r="G136" s="332"/>
      <c r="H136" s="332"/>
      <c r="I136" s="332" t="str">
        <f t="shared" si="15"/>
        <v>attachmenttype[46]</v>
      </c>
      <c r="J136" s="333">
        <f t="shared" si="9"/>
        <v>46</v>
      </c>
      <c r="K136" s="333" t="str">
        <f t="shared" si="10"/>
        <v/>
      </c>
      <c r="L136" s="333" t="str">
        <f t="shared" si="11"/>
        <v/>
      </c>
      <c r="M136" s="333" t="str">
        <f t="shared" si="16"/>
        <v/>
      </c>
      <c r="N136" s="333">
        <f t="shared" si="13"/>
        <v>46</v>
      </c>
    </row>
    <row r="137" spans="1:14" ht="13.5" customHeight="1" x14ac:dyDescent="0.25">
      <c r="A137" s="332" t="str">
        <f t="shared" si="8"/>
        <v>Auxiliar4</v>
      </c>
      <c r="B137" s="332"/>
      <c r="C137" s="174"/>
      <c r="D137" s="332" t="str">
        <f t="shared" si="14"/>
        <v>AA47</v>
      </c>
      <c r="E137" s="332" t="str">
        <f>IF(N137="",IF(J137="j",_xlfn.CONCAT("Load"," ",filename_cont,"1.sim"),IF(K137="k",_xlfn.CONCAT("Load"," ",Data!W57,".sim"),"")),"Get Data")</f>
        <v>Get Data</v>
      </c>
      <c r="F137" s="88" t="str">
        <f>CVD_Script_Table!$H$25</f>
        <v>Line</v>
      </c>
      <c r="G137" s="332"/>
      <c r="H137" s="332"/>
      <c r="I137" s="332" t="str">
        <f t="shared" si="15"/>
        <v>attachmenttype[47]</v>
      </c>
      <c r="J137" s="333">
        <f t="shared" si="9"/>
        <v>47</v>
      </c>
      <c r="K137" s="333" t="str">
        <f t="shared" si="10"/>
        <v/>
      </c>
      <c r="L137" s="333" t="str">
        <f t="shared" si="11"/>
        <v/>
      </c>
      <c r="M137" s="333" t="str">
        <f t="shared" si="16"/>
        <v/>
      </c>
      <c r="N137" s="333">
        <f t="shared" si="13"/>
        <v>47</v>
      </c>
    </row>
    <row r="138" spans="1:14" ht="13.5" customHeight="1" x14ac:dyDescent="0.25">
      <c r="A138" s="332" t="str">
        <f t="shared" si="8"/>
        <v>Auxiliar4</v>
      </c>
      <c r="B138" s="332"/>
      <c r="C138" s="174"/>
      <c r="D138" s="332" t="str">
        <f t="shared" si="14"/>
        <v>AA48</v>
      </c>
      <c r="E138" s="332" t="str">
        <f>IF(N138="",IF(J138="j",_xlfn.CONCAT("Load"," ",filename_cont,"1.sim"),IF(K138="k",_xlfn.CONCAT("Load"," ",Data!W57,".sim"),"")),"Get Data")</f>
        <v>Get Data</v>
      </c>
      <c r="F138" s="88" t="str">
        <f>CVD_Script_Table!$H$25</f>
        <v>Line</v>
      </c>
      <c r="G138" s="332"/>
      <c r="H138" s="332"/>
      <c r="I138" s="332" t="str">
        <f t="shared" si="15"/>
        <v>attachmenttype[48]</v>
      </c>
      <c r="J138" s="333">
        <f t="shared" si="9"/>
        <v>48</v>
      </c>
      <c r="K138" s="333" t="str">
        <f t="shared" si="10"/>
        <v/>
      </c>
      <c r="L138" s="333" t="str">
        <f t="shared" si="11"/>
        <v/>
      </c>
      <c r="M138" s="333" t="str">
        <f t="shared" si="16"/>
        <v/>
      </c>
      <c r="N138" s="333">
        <f t="shared" si="13"/>
        <v>48</v>
      </c>
    </row>
    <row r="139" spans="1:14" ht="13.5" customHeight="1" x14ac:dyDescent="0.25">
      <c r="A139" s="332" t="str">
        <f t="shared" si="8"/>
        <v>Auxiliar4</v>
      </c>
      <c r="B139" s="332"/>
      <c r="C139" s="174"/>
      <c r="D139" s="332" t="str">
        <f t="shared" si="14"/>
        <v>AA49</v>
      </c>
      <c r="E139" s="332" t="str">
        <f>IF(N139="",IF(J139="j",_xlfn.CONCAT("Load"," ",filename_cont,"1.sim"),IF(K139="k",_xlfn.CONCAT("Load"," ",Data!W57,".sim"),"")),"Get Data")</f>
        <v>Get Data</v>
      </c>
      <c r="F139" s="88" t="str">
        <f>CVD_Script_Table!$H$25</f>
        <v>Line</v>
      </c>
      <c r="G139" s="332"/>
      <c r="H139" s="332"/>
      <c r="I139" s="332" t="str">
        <f t="shared" si="15"/>
        <v>attachmenttype[49]</v>
      </c>
      <c r="J139" s="333">
        <f t="shared" si="9"/>
        <v>49</v>
      </c>
      <c r="K139" s="333" t="str">
        <f t="shared" si="10"/>
        <v/>
      </c>
      <c r="L139" s="333" t="str">
        <f t="shared" si="11"/>
        <v/>
      </c>
      <c r="M139" s="333" t="str">
        <f t="shared" si="16"/>
        <v/>
      </c>
      <c r="N139" s="333">
        <f t="shared" si="13"/>
        <v>49</v>
      </c>
    </row>
    <row r="140" spans="1:14" ht="13.5" customHeight="1" x14ac:dyDescent="0.25">
      <c r="A140" s="332" t="str">
        <f t="shared" si="8"/>
        <v>Auxiliar4</v>
      </c>
      <c r="B140" s="332"/>
      <c r="C140" s="174"/>
      <c r="D140" s="332" t="str">
        <f t="shared" si="14"/>
        <v>AA50</v>
      </c>
      <c r="E140" s="332" t="str">
        <f>IF(N140="",IF(J140="j",_xlfn.CONCAT("Load"," ",filename_cont,"1.sim"),IF(K140="k",_xlfn.CONCAT("Load"," ",Data!W57,".sim"),"")),"Get Data")</f>
        <v>Get Data</v>
      </c>
      <c r="F140" s="88" t="str">
        <f>CVD_Script_Table!$H$25</f>
        <v>Line</v>
      </c>
      <c r="G140" s="332"/>
      <c r="H140" s="332"/>
      <c r="I140" s="332" t="str">
        <f t="shared" si="15"/>
        <v>attachmenttype[50]</v>
      </c>
      <c r="J140" s="333">
        <f t="shared" si="9"/>
        <v>50</v>
      </c>
      <c r="K140" s="333" t="str">
        <f t="shared" si="10"/>
        <v/>
      </c>
      <c r="L140" s="333" t="str">
        <f t="shared" si="11"/>
        <v/>
      </c>
      <c r="M140" s="333" t="str">
        <f t="shared" si="16"/>
        <v/>
      </c>
      <c r="N140" s="333">
        <f t="shared" si="13"/>
        <v>50</v>
      </c>
    </row>
    <row r="141" spans="1:14" ht="13.5" customHeight="1" x14ac:dyDescent="0.25">
      <c r="A141" s="332" t="str">
        <f t="shared" si="8"/>
        <v>Auxiliar4</v>
      </c>
      <c r="B141" s="332"/>
      <c r="C141" s="174"/>
      <c r="D141" s="332" t="str">
        <f t="shared" si="14"/>
        <v>AA51</v>
      </c>
      <c r="E141" s="332" t="str">
        <f>IF(N141="",IF(J141="j",_xlfn.CONCAT("Load"," ",filename_cont,"1.sim"),IF(K141="k",_xlfn.CONCAT("Load"," ",Data!W57,".sim"),"")),"Get Data")</f>
        <v>Get Data</v>
      </c>
      <c r="F141" s="88" t="str">
        <f>CVD_Script_Table!$H$25</f>
        <v>Line</v>
      </c>
      <c r="G141" s="332"/>
      <c r="H141" s="332"/>
      <c r="I141" s="332" t="str">
        <f t="shared" si="15"/>
        <v>attachmenttype[51]</v>
      </c>
      <c r="J141" s="333">
        <f t="shared" si="9"/>
        <v>51</v>
      </c>
      <c r="K141" s="333" t="str">
        <f t="shared" si="10"/>
        <v/>
      </c>
      <c r="L141" s="333" t="str">
        <f t="shared" si="11"/>
        <v/>
      </c>
      <c r="M141" s="333" t="str">
        <f t="shared" si="16"/>
        <v/>
      </c>
      <c r="N141" s="333">
        <f t="shared" si="13"/>
        <v>51</v>
      </c>
    </row>
    <row r="142" spans="1:14" ht="13.5" customHeight="1" x14ac:dyDescent="0.25">
      <c r="A142" s="332" t="str">
        <f t="shared" si="8"/>
        <v>Auxiliar4</v>
      </c>
      <c r="B142" s="332"/>
      <c r="C142" s="174"/>
      <c r="D142" s="332" t="str">
        <f t="shared" si="14"/>
        <v>AA52</v>
      </c>
      <c r="E142" s="332" t="str">
        <f>IF(N142="",IF(J142="j",_xlfn.CONCAT("Load"," ",filename_cont,"1.sim"),IF(K142="k",_xlfn.CONCAT("Load"," ",Data!W57,".sim"),"")),"Get Data")</f>
        <v>Get Data</v>
      </c>
      <c r="F142" s="88" t="str">
        <f>CVD_Script_Table!$H$25</f>
        <v>Line</v>
      </c>
      <c r="G142" s="332"/>
      <c r="H142" s="332"/>
      <c r="I142" s="332" t="str">
        <f t="shared" si="15"/>
        <v>attachmenttype[52]</v>
      </c>
      <c r="J142" s="333">
        <f t="shared" si="9"/>
        <v>52</v>
      </c>
      <c r="K142" s="333" t="str">
        <f t="shared" si="10"/>
        <v/>
      </c>
      <c r="L142" s="333" t="str">
        <f t="shared" si="11"/>
        <v/>
      </c>
      <c r="M142" s="333" t="str">
        <f t="shared" si="16"/>
        <v/>
      </c>
      <c r="N142" s="333">
        <f t="shared" si="13"/>
        <v>52</v>
      </c>
    </row>
    <row r="143" spans="1:14" ht="13.5" customHeight="1" x14ac:dyDescent="0.25">
      <c r="A143" s="332" t="str">
        <f t="shared" si="8"/>
        <v>Auxiliar4</v>
      </c>
      <c r="B143" s="332"/>
      <c r="C143" s="174"/>
      <c r="D143" s="332" t="str">
        <f t="shared" si="14"/>
        <v>AA53</v>
      </c>
      <c r="E143" s="332" t="str">
        <f>IF(N143="",IF(J143="j",_xlfn.CONCAT("Load"," ",filename_cont,"1.sim"),IF(K143="k",_xlfn.CONCAT("Load"," ",Data!W57,".sim"),"")),"Get Data")</f>
        <v>Get Data</v>
      </c>
      <c r="F143" s="88" t="str">
        <f>CVD_Script_Table!$H$25</f>
        <v>Line</v>
      </c>
      <c r="G143" s="332"/>
      <c r="H143" s="332"/>
      <c r="I143" s="332" t="str">
        <f t="shared" si="15"/>
        <v>attachmenttype[53]</v>
      </c>
      <c r="J143" s="333">
        <f t="shared" si="9"/>
        <v>53</v>
      </c>
      <c r="K143" s="333" t="str">
        <f t="shared" si="10"/>
        <v/>
      </c>
      <c r="L143" s="333" t="str">
        <f t="shared" si="11"/>
        <v/>
      </c>
      <c r="M143" s="333" t="str">
        <f t="shared" si="16"/>
        <v/>
      </c>
      <c r="N143" s="333">
        <f t="shared" si="13"/>
        <v>53</v>
      </c>
    </row>
    <row r="144" spans="1:14" ht="13.5" customHeight="1" x14ac:dyDescent="0.25">
      <c r="A144" s="332" t="str">
        <f t="shared" si="8"/>
        <v>Auxiliar4</v>
      </c>
      <c r="B144" s="332"/>
      <c r="C144" s="174"/>
      <c r="D144" s="332" t="str">
        <f t="shared" si="14"/>
        <v>AA54</v>
      </c>
      <c r="E144" s="332" t="str">
        <f>IF(N144="",IF(J144="j",_xlfn.CONCAT("Load"," ",filename_cont,"1.sim"),IF(K144="k",_xlfn.CONCAT("Load"," ",Data!W57,".sim"),"")),"Get Data")</f>
        <v>Get Data</v>
      </c>
      <c r="F144" s="88" t="str">
        <f>CVD_Script_Table!$H$25</f>
        <v>Line</v>
      </c>
      <c r="G144" s="332"/>
      <c r="H144" s="332"/>
      <c r="I144" s="332" t="str">
        <f t="shared" si="15"/>
        <v>attachmenttype[54]</v>
      </c>
      <c r="J144" s="333">
        <f t="shared" si="9"/>
        <v>54</v>
      </c>
      <c r="K144" s="333" t="str">
        <f t="shared" si="10"/>
        <v/>
      </c>
      <c r="L144" s="333" t="str">
        <f t="shared" si="11"/>
        <v/>
      </c>
      <c r="M144" s="333" t="str">
        <f t="shared" si="16"/>
        <v/>
      </c>
      <c r="N144" s="333">
        <f t="shared" si="13"/>
        <v>54</v>
      </c>
    </row>
    <row r="145" spans="1:14" ht="13.5" customHeight="1" x14ac:dyDescent="0.25">
      <c r="A145" s="332" t="str">
        <f t="shared" si="8"/>
        <v>Auxiliar4</v>
      </c>
      <c r="B145" s="332"/>
      <c r="C145" s="174"/>
      <c r="D145" s="332" t="str">
        <f t="shared" si="14"/>
        <v>AA55</v>
      </c>
      <c r="E145" s="332" t="str">
        <f>IF(N145="",IF(J145="j",_xlfn.CONCAT("Load"," ",filename_cont,"1.sim"),IF(K145="k",_xlfn.CONCAT("Load"," ",Data!W57,".sim"),"")),"Get Data")</f>
        <v>Get Data</v>
      </c>
      <c r="F145" s="88" t="str">
        <f>CVD_Script_Table!$H$25</f>
        <v>Line</v>
      </c>
      <c r="G145" s="332"/>
      <c r="H145" s="332"/>
      <c r="I145" s="332" t="str">
        <f t="shared" si="15"/>
        <v>attachmenttype[55]</v>
      </c>
      <c r="J145" s="333">
        <f t="shared" si="9"/>
        <v>55</v>
      </c>
      <c r="K145" s="333" t="str">
        <f t="shared" si="10"/>
        <v/>
      </c>
      <c r="L145" s="333" t="str">
        <f t="shared" si="11"/>
        <v/>
      </c>
      <c r="M145" s="333" t="str">
        <f t="shared" si="16"/>
        <v/>
      </c>
      <c r="N145" s="333">
        <f t="shared" si="13"/>
        <v>55</v>
      </c>
    </row>
    <row r="146" spans="1:14" ht="13.5" customHeight="1" x14ac:dyDescent="0.25">
      <c r="A146" s="332" t="str">
        <f t="shared" si="8"/>
        <v>Auxiliar4</v>
      </c>
      <c r="B146" s="332"/>
      <c r="C146" s="174"/>
      <c r="D146" s="332" t="str">
        <f t="shared" si="14"/>
        <v>AA56</v>
      </c>
      <c r="E146" s="332" t="str">
        <f>IF(N146="",IF(J146="j",_xlfn.CONCAT("Load"," ",filename_cont,"1.sim"),IF(K146="k",_xlfn.CONCAT("Load"," ",Data!W57,".sim"),"")),"Get Data")</f>
        <v>Get Data</v>
      </c>
      <c r="F146" s="88" t="str">
        <f>CVD_Script_Table!$H$25</f>
        <v>Line</v>
      </c>
      <c r="G146" s="332"/>
      <c r="H146" s="332"/>
      <c r="I146" s="332" t="str">
        <f t="shared" si="15"/>
        <v>attachmenttype[56]</v>
      </c>
      <c r="J146" s="333">
        <f t="shared" si="9"/>
        <v>56</v>
      </c>
      <c r="K146" s="333" t="str">
        <f t="shared" si="10"/>
        <v/>
      </c>
      <c r="L146" s="333" t="str">
        <f t="shared" si="11"/>
        <v/>
      </c>
      <c r="M146" s="333" t="str">
        <f t="shared" si="16"/>
        <v/>
      </c>
      <c r="N146" s="333">
        <f t="shared" si="13"/>
        <v>56</v>
      </c>
    </row>
    <row r="147" spans="1:14" ht="13.5" customHeight="1" x14ac:dyDescent="0.25">
      <c r="A147" s="332" t="str">
        <f t="shared" si="8"/>
        <v>Auxiliar4</v>
      </c>
      <c r="B147" s="332"/>
      <c r="C147" s="174"/>
      <c r="D147" s="332" t="str">
        <f t="shared" si="14"/>
        <v>AA57</v>
      </c>
      <c r="E147" s="332" t="str">
        <f>IF(N147="",IF(J147="j",_xlfn.CONCAT("Load"," ",filename_cont,"1.sim"),IF(K147="k",_xlfn.CONCAT("Load"," ",Data!W57,".sim"),"")),"Get Data")</f>
        <v>Get Data</v>
      </c>
      <c r="F147" s="88" t="str">
        <f>CVD_Script_Table!$H$25</f>
        <v>Line</v>
      </c>
      <c r="G147" s="332"/>
      <c r="H147" s="332"/>
      <c r="I147" s="332" t="str">
        <f t="shared" si="15"/>
        <v>attachmenttype[57]</v>
      </c>
      <c r="J147" s="333">
        <f t="shared" si="9"/>
        <v>57</v>
      </c>
      <c r="K147" s="333" t="str">
        <f t="shared" si="10"/>
        <v/>
      </c>
      <c r="L147" s="333" t="str">
        <f t="shared" si="11"/>
        <v/>
      </c>
      <c r="M147" s="333" t="str">
        <f t="shared" si="16"/>
        <v/>
      </c>
      <c r="N147" s="333">
        <f t="shared" si="13"/>
        <v>57</v>
      </c>
    </row>
    <row r="148" spans="1:14" ht="13.5" customHeight="1" x14ac:dyDescent="0.25">
      <c r="A148" s="332" t="str">
        <f t="shared" si="8"/>
        <v>Auxiliar4</v>
      </c>
      <c r="B148" s="332"/>
      <c r="C148" s="174"/>
      <c r="D148" s="332" t="str">
        <f t="shared" si="14"/>
        <v>AA58</v>
      </c>
      <c r="E148" s="332" t="str">
        <f>IF(N148="",IF(J148="j",_xlfn.CONCAT("Load"," ",filename_cont,"1.sim"),IF(K148="k",_xlfn.CONCAT("Load"," ",Data!W57,".sim"),"")),"Get Data")</f>
        <v>Get Data</v>
      </c>
      <c r="F148" s="88" t="str">
        <f>CVD_Script_Table!$H$25</f>
        <v>Line</v>
      </c>
      <c r="G148" s="332"/>
      <c r="H148" s="332"/>
      <c r="I148" s="332" t="str">
        <f t="shared" si="15"/>
        <v>attachmenttype[58]</v>
      </c>
      <c r="J148" s="333">
        <f t="shared" si="9"/>
        <v>58</v>
      </c>
      <c r="K148" s="333" t="str">
        <f t="shared" si="10"/>
        <v/>
      </c>
      <c r="L148" s="333" t="str">
        <f t="shared" si="11"/>
        <v/>
      </c>
      <c r="M148" s="333" t="str">
        <f t="shared" si="16"/>
        <v/>
      </c>
      <c r="N148" s="333">
        <f t="shared" si="13"/>
        <v>58</v>
      </c>
    </row>
    <row r="149" spans="1:14" ht="13.5" customHeight="1" x14ac:dyDescent="0.25">
      <c r="A149" s="332" t="str">
        <f t="shared" si="8"/>
        <v>Auxiliar4</v>
      </c>
      <c r="B149" s="332"/>
      <c r="C149" s="174"/>
      <c r="D149" s="332" t="str">
        <f t="shared" si="14"/>
        <v>AA59</v>
      </c>
      <c r="E149" s="332" t="str">
        <f>IF(N149="",IF(J149="j",_xlfn.CONCAT("Load"," ",filename_cont,"1.sim"),IF(K149="k",_xlfn.CONCAT("Load"," ",Data!W57,".sim"),"")),"Get Data")</f>
        <v>Get Data</v>
      </c>
      <c r="F149" s="88" t="str">
        <f>CVD_Script_Table!$H$25</f>
        <v>Line</v>
      </c>
      <c r="G149" s="332"/>
      <c r="H149" s="332"/>
      <c r="I149" s="332" t="str">
        <f t="shared" si="15"/>
        <v>attachmenttype[59]</v>
      </c>
      <c r="J149" s="333">
        <f t="shared" si="9"/>
        <v>59</v>
      </c>
      <c r="K149" s="333" t="str">
        <f t="shared" si="10"/>
        <v/>
      </c>
      <c r="L149" s="333" t="str">
        <f t="shared" si="11"/>
        <v/>
      </c>
      <c r="M149" s="333" t="str">
        <f t="shared" si="16"/>
        <v/>
      </c>
      <c r="N149" s="333">
        <f t="shared" si="13"/>
        <v>59</v>
      </c>
    </row>
    <row r="150" spans="1:14" ht="13.5" customHeight="1" x14ac:dyDescent="0.25">
      <c r="A150" s="332" t="str">
        <f t="shared" si="8"/>
        <v>Auxiliar4</v>
      </c>
      <c r="B150" s="332"/>
      <c r="C150" s="174"/>
      <c r="D150" s="332" t="str">
        <f t="shared" si="14"/>
        <v>AA60</v>
      </c>
      <c r="E150" s="332" t="str">
        <f>IF(N150="",IF(J150="j",_xlfn.CONCAT("Load"," ",filename_cont,"1.sim"),IF(K150="k",_xlfn.CONCAT("Load"," ",Data!W57,".sim"),"")),"Get Data")</f>
        <v>Get Data</v>
      </c>
      <c r="F150" s="88" t="str">
        <f>CVD_Script_Table!$H$25</f>
        <v>Line</v>
      </c>
      <c r="G150" s="332"/>
      <c r="H150" s="332"/>
      <c r="I150" s="332" t="str">
        <f t="shared" si="15"/>
        <v>attachmenttype[60]</v>
      </c>
      <c r="J150" s="333">
        <f t="shared" si="9"/>
        <v>60</v>
      </c>
      <c r="K150" s="333" t="str">
        <f t="shared" si="10"/>
        <v/>
      </c>
      <c r="L150" s="333" t="str">
        <f t="shared" si="11"/>
        <v/>
      </c>
      <c r="M150" s="333" t="str">
        <f t="shared" si="16"/>
        <v/>
      </c>
      <c r="N150" s="333">
        <f t="shared" si="13"/>
        <v>60</v>
      </c>
    </row>
    <row r="151" spans="1:14" ht="13.5" customHeight="1" x14ac:dyDescent="0.25">
      <c r="A151" s="332" t="str">
        <f t="shared" si="8"/>
        <v>Auxiliar4</v>
      </c>
      <c r="B151" s="332"/>
      <c r="C151" s="174"/>
      <c r="D151" s="332" t="str">
        <f t="shared" si="14"/>
        <v>AA61</v>
      </c>
      <c r="E151" s="332" t="str">
        <f>IF(N151="",IF(J151="j",_xlfn.CONCAT("Load"," ",filename_cont,"1.sim"),IF(K151="k",_xlfn.CONCAT("Load"," ",Data!W57,".sim"),"")),"Get Data")</f>
        <v>Get Data</v>
      </c>
      <c r="F151" s="88" t="str">
        <f>CVD_Script_Table!$H$25</f>
        <v>Line</v>
      </c>
      <c r="G151" s="332"/>
      <c r="H151" s="332"/>
      <c r="I151" s="332" t="str">
        <f t="shared" si="15"/>
        <v>attachmenttype[61]</v>
      </c>
      <c r="J151" s="333">
        <f t="shared" si="9"/>
        <v>61</v>
      </c>
      <c r="K151" s="333" t="str">
        <f t="shared" si="10"/>
        <v/>
      </c>
      <c r="L151" s="333" t="str">
        <f t="shared" si="11"/>
        <v/>
      </c>
      <c r="M151" s="333" t="str">
        <f t="shared" si="16"/>
        <v/>
      </c>
      <c r="N151" s="333">
        <f t="shared" si="13"/>
        <v>61</v>
      </c>
    </row>
    <row r="152" spans="1:14" ht="13.5" customHeight="1" x14ac:dyDescent="0.25">
      <c r="A152" s="332" t="str">
        <f t="shared" si="8"/>
        <v>Auxiliar4</v>
      </c>
      <c r="B152" s="332"/>
      <c r="C152" s="174"/>
      <c r="D152" s="332" t="str">
        <f t="shared" si="14"/>
        <v>AA62</v>
      </c>
      <c r="E152" s="332" t="str">
        <f>IF(N152="",IF(J152="j",_xlfn.CONCAT("Load"," ",filename_cont,"1.sim"),IF(K152="k",_xlfn.CONCAT("Load"," ",Data!W57,".sim"),"")),"Get Data")</f>
        <v>Get Data</v>
      </c>
      <c r="F152" s="88" t="str">
        <f>CVD_Script_Table!$H$25</f>
        <v>Line</v>
      </c>
      <c r="G152" s="332"/>
      <c r="H152" s="332"/>
      <c r="I152" s="332" t="str">
        <f t="shared" si="15"/>
        <v>attachmenttype[62]</v>
      </c>
      <c r="J152" s="333">
        <f t="shared" si="9"/>
        <v>62</v>
      </c>
      <c r="K152" s="333" t="str">
        <f t="shared" si="10"/>
        <v/>
      </c>
      <c r="L152" s="333" t="str">
        <f t="shared" si="11"/>
        <v/>
      </c>
      <c r="M152" s="333" t="str">
        <f t="shared" si="16"/>
        <v/>
      </c>
      <c r="N152" s="333">
        <f t="shared" si="13"/>
        <v>62</v>
      </c>
    </row>
    <row r="153" spans="1:14" ht="13.5" customHeight="1" x14ac:dyDescent="0.25">
      <c r="A153" s="332" t="str">
        <f t="shared" si="8"/>
        <v>Auxiliar4</v>
      </c>
      <c r="B153" s="332"/>
      <c r="C153" s="174"/>
      <c r="D153" s="332" t="str">
        <f t="shared" si="14"/>
        <v>AA63</v>
      </c>
      <c r="E153" s="332" t="str">
        <f>IF(N153="",IF(J153="j",_xlfn.CONCAT("Load"," ",filename_cont,"1.sim"),IF(K153="k",_xlfn.CONCAT("Load"," ",Data!W57,".sim"),"")),"Get Data")</f>
        <v>Get Data</v>
      </c>
      <c r="F153" s="88" t="str">
        <f>CVD_Script_Table!$H$25</f>
        <v>Line</v>
      </c>
      <c r="G153" s="332"/>
      <c r="H153" s="332"/>
      <c r="I153" s="332" t="str">
        <f t="shared" si="15"/>
        <v>attachmenttype[63]</v>
      </c>
      <c r="J153" s="333">
        <f t="shared" si="9"/>
        <v>63</v>
      </c>
      <c r="K153" s="333" t="str">
        <f t="shared" si="10"/>
        <v/>
      </c>
      <c r="L153" s="333" t="str">
        <f t="shared" si="11"/>
        <v/>
      </c>
      <c r="M153" s="333" t="str">
        <f t="shared" si="16"/>
        <v/>
      </c>
      <c r="N153" s="333">
        <f t="shared" si="13"/>
        <v>63</v>
      </c>
    </row>
    <row r="154" spans="1:14" ht="13.5" customHeight="1" x14ac:dyDescent="0.25">
      <c r="A154" s="332" t="str">
        <f t="shared" si="8"/>
        <v>Auxiliar4</v>
      </c>
      <c r="B154" s="332"/>
      <c r="C154" s="174"/>
      <c r="D154" s="332" t="str">
        <f t="shared" si="14"/>
        <v>AA64</v>
      </c>
      <c r="E154" s="332" t="str">
        <f>IF(N154="",IF(J154="j",_xlfn.CONCAT("Load"," ",filename_cont,"1.sim"),IF(K154="k",_xlfn.CONCAT("Load"," ",Data!W57,".sim"),"")),"Get Data")</f>
        <v>Get Data</v>
      </c>
      <c r="F154" s="88" t="str">
        <f>CVD_Script_Table!$H$25</f>
        <v>Line</v>
      </c>
      <c r="G154" s="332"/>
      <c r="H154" s="332"/>
      <c r="I154" s="332" t="str">
        <f t="shared" si="15"/>
        <v>attachmenttype[64]</v>
      </c>
      <c r="J154" s="333">
        <f t="shared" si="9"/>
        <v>64</v>
      </c>
      <c r="K154" s="333" t="str">
        <f t="shared" si="10"/>
        <v/>
      </c>
      <c r="L154" s="333" t="str">
        <f t="shared" si="11"/>
        <v/>
      </c>
      <c r="M154" s="333" t="str">
        <f t="shared" si="16"/>
        <v/>
      </c>
      <c r="N154" s="333">
        <f t="shared" si="13"/>
        <v>64</v>
      </c>
    </row>
    <row r="155" spans="1:14" ht="13.5" customHeight="1" x14ac:dyDescent="0.25">
      <c r="A155" s="332" t="str">
        <f t="shared" ref="A155:A218" si="17">IF(N155="","",IF(ISNUMBER(J155),"Auxiliar4",IF(ISNUMBER(K155),"Auxiliar3",IF(ISNUMBER(L155),"Auxiliar2",IF(ISNUMBER(M155),"Auxiliar2")))))</f>
        <v>Auxiliar4</v>
      </c>
      <c r="B155" s="332"/>
      <c r="C155" s="174"/>
      <c r="D155" s="332" t="str">
        <f t="shared" si="14"/>
        <v>AA65</v>
      </c>
      <c r="E155" s="332" t="str">
        <f>IF(N155="",IF(J155="j",_xlfn.CONCAT("Load"," ",filename_cont,"1.sim"),IF(K155="k",_xlfn.CONCAT("Load"," ",Data!W57,".sim"),"")),"Get Data")</f>
        <v>Get Data</v>
      </c>
      <c r="F155" s="88" t="str">
        <f>CVD_Script_Table!$H$25</f>
        <v>Line</v>
      </c>
      <c r="G155" s="332"/>
      <c r="H155" s="332"/>
      <c r="I155" s="332" t="str">
        <f t="shared" si="15"/>
        <v>attachmenttype[65]</v>
      </c>
      <c r="J155" s="333">
        <f t="shared" ref="J155:J218" si="18">IFERROR(IF(J154="",J$9+1,IF(J154=J$88,"j",J154+1)),"jj")</f>
        <v>65</v>
      </c>
      <c r="K155" s="333" t="str">
        <f t="shared" ref="K155:K218" si="19">IF((J155="jj"),IFERROR(IF(K154="",J$9+1,IF(K154=J$80,"k",K154+1)),"kk"),"")</f>
        <v/>
      </c>
      <c r="L155" s="333" t="str">
        <f t="shared" ref="L155:L218" si="20">IF((K155="kk"),IFERROR(IF(L154="",2,IF(L154=J$9,"l",L154+1)),"ll"),"")</f>
        <v/>
      </c>
      <c r="M155" s="333" t="str">
        <f t="shared" ref="M155:M186" si="21">IF(OR(L155="l",L155="ll"),IFERROR(IF(M154="",2,IF(M154=J$9,"m",M154+1)),"mm"),"")</f>
        <v/>
      </c>
      <c r="N155" s="333">
        <f t="shared" ref="N155:N218" si="22">IF(ISNUMBER(M155),"z",IF(ISNUMBER(L155),L155,IF(ISNUMBER(K155),K155,IF(ISNUMBER(J155),J155,""))))</f>
        <v>65</v>
      </c>
    </row>
    <row r="156" spans="1:14" ht="13.5" customHeight="1" x14ac:dyDescent="0.25">
      <c r="A156" s="332" t="str">
        <f t="shared" si="17"/>
        <v>Auxiliar4</v>
      </c>
      <c r="B156" s="332"/>
      <c r="C156" s="174"/>
      <c r="D156" s="332" t="str">
        <f t="shared" ref="D156:D219" si="23">IF(N156="z",CONCATENATE("AB",M156),IF(N156="","",CONCATENATE("AA",N156)))</f>
        <v>AA66</v>
      </c>
      <c r="E156" s="332" t="str">
        <f>IF(N156="",IF(J156="j",_xlfn.CONCAT("Load"," ",filename_cont,"1.sim"),IF(K156="k",_xlfn.CONCAT("Load"," ",Data!W57,".sim"),"")),"Get Data")</f>
        <v>Get Data</v>
      </c>
      <c r="F156" s="88" t="str">
        <f>CVD_Script_Table!$H$25</f>
        <v>Line</v>
      </c>
      <c r="G156" s="332"/>
      <c r="H156" s="332"/>
      <c r="I156" s="332" t="str">
        <f t="shared" ref="I156:I219" si="24">IF(N156="z",CONCATENATE("attachmentz[",M156,"]"),IF(N156="","",CONCATENATE("attachmenttype[",N156,"]")))</f>
        <v>attachmenttype[66]</v>
      </c>
      <c r="J156" s="333">
        <f t="shared" si="18"/>
        <v>66</v>
      </c>
      <c r="K156" s="333" t="str">
        <f t="shared" si="19"/>
        <v/>
      </c>
      <c r="L156" s="333" t="str">
        <f t="shared" si="20"/>
        <v/>
      </c>
      <c r="M156" s="333" t="str">
        <f t="shared" si="21"/>
        <v/>
      </c>
      <c r="N156" s="333">
        <f t="shared" si="22"/>
        <v>66</v>
      </c>
    </row>
    <row r="157" spans="1:14" ht="13.5" customHeight="1" x14ac:dyDescent="0.25">
      <c r="A157" s="332" t="str">
        <f t="shared" si="17"/>
        <v>Auxiliar4</v>
      </c>
      <c r="B157" s="332"/>
      <c r="C157" s="174"/>
      <c r="D157" s="332" t="str">
        <f t="shared" si="23"/>
        <v>AA67</v>
      </c>
      <c r="E157" s="332" t="str">
        <f>IF(N157="",IF(J157="j",_xlfn.CONCAT("Load"," ",filename_cont,"1.sim"),IF(K157="k",_xlfn.CONCAT("Load"," ",Data!W57,".sim"),"")),"Get Data")</f>
        <v>Get Data</v>
      </c>
      <c r="F157" s="88" t="str">
        <f>CVD_Script_Table!$H$25</f>
        <v>Line</v>
      </c>
      <c r="G157" s="332"/>
      <c r="H157" s="332"/>
      <c r="I157" s="332" t="str">
        <f t="shared" si="24"/>
        <v>attachmenttype[67]</v>
      </c>
      <c r="J157" s="333">
        <f t="shared" si="18"/>
        <v>67</v>
      </c>
      <c r="K157" s="333" t="str">
        <f t="shared" si="19"/>
        <v/>
      </c>
      <c r="L157" s="333" t="str">
        <f t="shared" si="20"/>
        <v/>
      </c>
      <c r="M157" s="333" t="str">
        <f t="shared" si="21"/>
        <v/>
      </c>
      <c r="N157" s="333">
        <f t="shared" si="22"/>
        <v>67</v>
      </c>
    </row>
    <row r="158" spans="1:14" ht="13.5" customHeight="1" x14ac:dyDescent="0.25">
      <c r="A158" s="332" t="str">
        <f t="shared" si="17"/>
        <v>Auxiliar4</v>
      </c>
      <c r="B158" s="332"/>
      <c r="C158" s="174"/>
      <c r="D158" s="332" t="str">
        <f t="shared" si="23"/>
        <v>AA68</v>
      </c>
      <c r="E158" s="332" t="str">
        <f>IF(N158="",IF(J158="j",_xlfn.CONCAT("Load"," ",filename_cont,"1.sim"),IF(K158="k",_xlfn.CONCAT("Load"," ",Data!W57,".sim"),"")),"Get Data")</f>
        <v>Get Data</v>
      </c>
      <c r="F158" s="88" t="str">
        <f>CVD_Script_Table!$H$25</f>
        <v>Line</v>
      </c>
      <c r="G158" s="332"/>
      <c r="H158" s="332"/>
      <c r="I158" s="332" t="str">
        <f t="shared" si="24"/>
        <v>attachmenttype[68]</v>
      </c>
      <c r="J158" s="333">
        <f t="shared" si="18"/>
        <v>68</v>
      </c>
      <c r="K158" s="333" t="str">
        <f t="shared" si="19"/>
        <v/>
      </c>
      <c r="L158" s="333" t="str">
        <f t="shared" si="20"/>
        <v/>
      </c>
      <c r="M158" s="333" t="str">
        <f t="shared" si="21"/>
        <v/>
      </c>
      <c r="N158" s="333">
        <f t="shared" si="22"/>
        <v>68</v>
      </c>
    </row>
    <row r="159" spans="1:14" ht="13.5" customHeight="1" x14ac:dyDescent="0.25">
      <c r="A159" s="332" t="str">
        <f t="shared" si="17"/>
        <v>Auxiliar4</v>
      </c>
      <c r="B159" s="332"/>
      <c r="C159" s="174"/>
      <c r="D159" s="332" t="str">
        <f t="shared" si="23"/>
        <v>AA69</v>
      </c>
      <c r="E159" s="332" t="str">
        <f>IF(N159="",IF(J159="j",_xlfn.CONCAT("Load"," ",filename_cont,"1.sim"),IF(K159="k",_xlfn.CONCAT("Load"," ",Data!W57,".sim"),"")),"Get Data")</f>
        <v>Get Data</v>
      </c>
      <c r="F159" s="88" t="str">
        <f>CVD_Script_Table!$H$25</f>
        <v>Line</v>
      </c>
      <c r="G159" s="332"/>
      <c r="H159" s="332"/>
      <c r="I159" s="332" t="str">
        <f t="shared" si="24"/>
        <v>attachmenttype[69]</v>
      </c>
      <c r="J159" s="333">
        <f t="shared" si="18"/>
        <v>69</v>
      </c>
      <c r="K159" s="333" t="str">
        <f t="shared" si="19"/>
        <v/>
      </c>
      <c r="L159" s="333" t="str">
        <f t="shared" si="20"/>
        <v/>
      </c>
      <c r="M159" s="333" t="str">
        <f t="shared" si="21"/>
        <v/>
      </c>
      <c r="N159" s="333">
        <f t="shared" si="22"/>
        <v>69</v>
      </c>
    </row>
    <row r="160" spans="1:14" ht="13.5" customHeight="1" x14ac:dyDescent="0.25">
      <c r="A160" s="332" t="str">
        <f t="shared" si="17"/>
        <v>Auxiliar4</v>
      </c>
      <c r="B160" s="332"/>
      <c r="C160" s="174"/>
      <c r="D160" s="332" t="str">
        <f t="shared" si="23"/>
        <v>AA70</v>
      </c>
      <c r="E160" s="332" t="str">
        <f>IF(N160="",IF(J160="j",_xlfn.CONCAT("Load"," ",filename_cont,"1.sim"),IF(K160="k",_xlfn.CONCAT("Load"," ",Data!W57,".sim"),"")),"Get Data")</f>
        <v>Get Data</v>
      </c>
      <c r="F160" s="88" t="str">
        <f>CVD_Script_Table!$H$25</f>
        <v>Line</v>
      </c>
      <c r="G160" s="332"/>
      <c r="H160" s="332"/>
      <c r="I160" s="332" t="str">
        <f t="shared" si="24"/>
        <v>attachmenttype[70]</v>
      </c>
      <c r="J160" s="333">
        <f t="shared" si="18"/>
        <v>70</v>
      </c>
      <c r="K160" s="333" t="str">
        <f t="shared" si="19"/>
        <v/>
      </c>
      <c r="L160" s="333" t="str">
        <f t="shared" si="20"/>
        <v/>
      </c>
      <c r="M160" s="333" t="str">
        <f t="shared" si="21"/>
        <v/>
      </c>
      <c r="N160" s="333">
        <f t="shared" si="22"/>
        <v>70</v>
      </c>
    </row>
    <row r="161" spans="1:14" ht="13.5" customHeight="1" x14ac:dyDescent="0.25">
      <c r="A161" s="332" t="str">
        <f t="shared" si="17"/>
        <v>Auxiliar4</v>
      </c>
      <c r="B161" s="332"/>
      <c r="C161" s="174"/>
      <c r="D161" s="332" t="str">
        <f t="shared" si="23"/>
        <v>AA71</v>
      </c>
      <c r="E161" s="332" t="str">
        <f>IF(N161="",IF(J161="j",_xlfn.CONCAT("Load"," ",filename_cont,"1.sim"),IF(K161="k",_xlfn.CONCAT("Load"," ",Data!W57,".sim"),"")),"Get Data")</f>
        <v>Get Data</v>
      </c>
      <c r="F161" s="88" t="str">
        <f>CVD_Script_Table!$H$25</f>
        <v>Line</v>
      </c>
      <c r="G161" s="332"/>
      <c r="H161" s="332"/>
      <c r="I161" s="332" t="str">
        <f t="shared" si="24"/>
        <v>attachmenttype[71]</v>
      </c>
      <c r="J161" s="333">
        <f t="shared" si="18"/>
        <v>71</v>
      </c>
      <c r="K161" s="333" t="str">
        <f t="shared" si="19"/>
        <v/>
      </c>
      <c r="L161" s="333" t="str">
        <f t="shared" si="20"/>
        <v/>
      </c>
      <c r="M161" s="333" t="str">
        <f t="shared" si="21"/>
        <v/>
      </c>
      <c r="N161" s="333">
        <f t="shared" si="22"/>
        <v>71</v>
      </c>
    </row>
    <row r="162" spans="1:14" ht="13.5" customHeight="1" x14ac:dyDescent="0.25">
      <c r="A162" s="332" t="str">
        <f t="shared" si="17"/>
        <v>Auxiliar4</v>
      </c>
      <c r="B162" s="332"/>
      <c r="C162" s="174"/>
      <c r="D162" s="332" t="str">
        <f t="shared" si="23"/>
        <v>AA72</v>
      </c>
      <c r="E162" s="332" t="str">
        <f>IF(N162="",IF(J162="j",_xlfn.CONCAT("Load"," ",filename_cont,"1.sim"),IF(K162="k",_xlfn.CONCAT("Load"," ",Data!W57,".sim"),"")),"Get Data")</f>
        <v>Get Data</v>
      </c>
      <c r="F162" s="88" t="str">
        <f>CVD_Script_Table!$H$25</f>
        <v>Line</v>
      </c>
      <c r="G162" s="332"/>
      <c r="H162" s="332"/>
      <c r="I162" s="332" t="str">
        <f t="shared" si="24"/>
        <v>attachmenttype[72]</v>
      </c>
      <c r="J162" s="333">
        <f t="shared" si="18"/>
        <v>72</v>
      </c>
      <c r="K162" s="333" t="str">
        <f t="shared" si="19"/>
        <v/>
      </c>
      <c r="L162" s="333" t="str">
        <f t="shared" si="20"/>
        <v/>
      </c>
      <c r="M162" s="333" t="str">
        <f t="shared" si="21"/>
        <v/>
      </c>
      <c r="N162" s="333">
        <f t="shared" si="22"/>
        <v>72</v>
      </c>
    </row>
    <row r="163" spans="1:14" ht="13.5" customHeight="1" x14ac:dyDescent="0.25">
      <c r="A163" s="332" t="str">
        <f t="shared" si="17"/>
        <v>Auxiliar4</v>
      </c>
      <c r="B163" s="332"/>
      <c r="C163" s="174"/>
      <c r="D163" s="332" t="str">
        <f t="shared" si="23"/>
        <v>AA73</v>
      </c>
      <c r="E163" s="332" t="str">
        <f>IF(N163="",IF(J163="j",_xlfn.CONCAT("Load"," ",filename_cont,"1.sim"),IF(K163="k",_xlfn.CONCAT("Load"," ",Data!W57,".sim"),"")),"Get Data")</f>
        <v>Get Data</v>
      </c>
      <c r="F163" s="88" t="str">
        <f>CVD_Script_Table!$H$25</f>
        <v>Line</v>
      </c>
      <c r="G163" s="332"/>
      <c r="H163" s="332"/>
      <c r="I163" s="332" t="str">
        <f t="shared" si="24"/>
        <v>attachmenttype[73]</v>
      </c>
      <c r="J163" s="333">
        <f t="shared" si="18"/>
        <v>73</v>
      </c>
      <c r="K163" s="333" t="str">
        <f t="shared" si="19"/>
        <v/>
      </c>
      <c r="L163" s="333" t="str">
        <f t="shared" si="20"/>
        <v/>
      </c>
      <c r="M163" s="333" t="str">
        <f t="shared" si="21"/>
        <v/>
      </c>
      <c r="N163" s="333">
        <f t="shared" si="22"/>
        <v>73</v>
      </c>
    </row>
    <row r="164" spans="1:14" ht="13.5" customHeight="1" x14ac:dyDescent="0.25">
      <c r="A164" s="332" t="str">
        <f t="shared" si="17"/>
        <v>Auxiliar4</v>
      </c>
      <c r="B164" s="332"/>
      <c r="C164" s="174"/>
      <c r="D164" s="332" t="str">
        <f t="shared" si="23"/>
        <v>AA74</v>
      </c>
      <c r="E164" s="332" t="str">
        <f>IF(N164="",IF(J164="j",_xlfn.CONCAT("Load"," ",filename_cont,"1.sim"),IF(K164="k",_xlfn.CONCAT("Load"," ",Data!W57,".sim"),"")),"Get Data")</f>
        <v>Get Data</v>
      </c>
      <c r="F164" s="88" t="str">
        <f>CVD_Script_Table!$H$25</f>
        <v>Line</v>
      </c>
      <c r="G164" s="332"/>
      <c r="H164" s="332"/>
      <c r="I164" s="332" t="str">
        <f t="shared" si="24"/>
        <v>attachmenttype[74]</v>
      </c>
      <c r="J164" s="333">
        <f t="shared" si="18"/>
        <v>74</v>
      </c>
      <c r="K164" s="333" t="str">
        <f t="shared" si="19"/>
        <v/>
      </c>
      <c r="L164" s="333" t="str">
        <f t="shared" si="20"/>
        <v/>
      </c>
      <c r="M164" s="333" t="str">
        <f t="shared" si="21"/>
        <v/>
      </c>
      <c r="N164" s="333">
        <f t="shared" si="22"/>
        <v>74</v>
      </c>
    </row>
    <row r="165" spans="1:14" ht="13.5" customHeight="1" x14ac:dyDescent="0.25">
      <c r="A165" s="332" t="str">
        <f t="shared" si="17"/>
        <v>Auxiliar4</v>
      </c>
      <c r="B165" s="332"/>
      <c r="C165" s="174"/>
      <c r="D165" s="332" t="str">
        <f t="shared" si="23"/>
        <v>AA75</v>
      </c>
      <c r="E165" s="332" t="str">
        <f>IF(N165="",IF(J165="j",_xlfn.CONCAT("Load"," ",filename_cont,"1.sim"),IF(K165="k",_xlfn.CONCAT("Load"," ",Data!W57,".sim"),"")),"Get Data")</f>
        <v>Get Data</v>
      </c>
      <c r="F165" s="88" t="str">
        <f>CVD_Script_Table!$H$25</f>
        <v>Line</v>
      </c>
      <c r="G165" s="332"/>
      <c r="H165" s="332"/>
      <c r="I165" s="332" t="str">
        <f t="shared" si="24"/>
        <v>attachmenttype[75]</v>
      </c>
      <c r="J165" s="333">
        <f t="shared" si="18"/>
        <v>75</v>
      </c>
      <c r="K165" s="333" t="str">
        <f t="shared" si="19"/>
        <v/>
      </c>
      <c r="L165" s="333" t="str">
        <f t="shared" si="20"/>
        <v/>
      </c>
      <c r="M165" s="333" t="str">
        <f t="shared" si="21"/>
        <v/>
      </c>
      <c r="N165" s="333">
        <f t="shared" si="22"/>
        <v>75</v>
      </c>
    </row>
    <row r="166" spans="1:14" ht="13.5" customHeight="1" x14ac:dyDescent="0.25">
      <c r="A166" s="332" t="str">
        <f t="shared" si="17"/>
        <v>Auxiliar4</v>
      </c>
      <c r="B166" s="332"/>
      <c r="C166" s="174"/>
      <c r="D166" s="332" t="str">
        <f t="shared" si="23"/>
        <v>AA76</v>
      </c>
      <c r="E166" s="332" t="str">
        <f>IF(N166="",IF(J166="j",_xlfn.CONCAT("Load"," ",filename_cont,"1.sim"),IF(K166="k",_xlfn.CONCAT("Load"," ",Data!W57,".sim"),"")),"Get Data")</f>
        <v>Get Data</v>
      </c>
      <c r="F166" s="88" t="str">
        <f>CVD_Script_Table!$H$25</f>
        <v>Line</v>
      </c>
      <c r="G166" s="332"/>
      <c r="H166" s="332"/>
      <c r="I166" s="332" t="str">
        <f t="shared" si="24"/>
        <v>attachmenttype[76]</v>
      </c>
      <c r="J166" s="333">
        <f t="shared" si="18"/>
        <v>76</v>
      </c>
      <c r="K166" s="333" t="str">
        <f t="shared" si="19"/>
        <v/>
      </c>
      <c r="L166" s="333" t="str">
        <f t="shared" si="20"/>
        <v/>
      </c>
      <c r="M166" s="333" t="str">
        <f t="shared" si="21"/>
        <v/>
      </c>
      <c r="N166" s="333">
        <f t="shared" si="22"/>
        <v>76</v>
      </c>
    </row>
    <row r="167" spans="1:14" ht="13.5" customHeight="1" x14ac:dyDescent="0.25">
      <c r="A167" s="332" t="str">
        <f t="shared" si="17"/>
        <v>Auxiliar4</v>
      </c>
      <c r="B167" s="332"/>
      <c r="C167" s="174"/>
      <c r="D167" s="332" t="str">
        <f t="shared" si="23"/>
        <v>AA77</v>
      </c>
      <c r="E167" s="332" t="str">
        <f>IF(N167="",IF(J167="j",_xlfn.CONCAT("Load"," ",filename_cont,"1.sim"),IF(K167="k",_xlfn.CONCAT("Load"," ",Data!W57,".sim"),"")),"Get Data")</f>
        <v>Get Data</v>
      </c>
      <c r="F167" s="88" t="str">
        <f>CVD_Script_Table!$H$25</f>
        <v>Line</v>
      </c>
      <c r="G167" s="332"/>
      <c r="H167" s="332"/>
      <c r="I167" s="332" t="str">
        <f t="shared" si="24"/>
        <v>attachmenttype[77]</v>
      </c>
      <c r="J167" s="333">
        <f t="shared" si="18"/>
        <v>77</v>
      </c>
      <c r="K167" s="333" t="str">
        <f t="shared" si="19"/>
        <v/>
      </c>
      <c r="L167" s="333" t="str">
        <f t="shared" si="20"/>
        <v/>
      </c>
      <c r="M167" s="333" t="str">
        <f t="shared" si="21"/>
        <v/>
      </c>
      <c r="N167" s="333">
        <f t="shared" si="22"/>
        <v>77</v>
      </c>
    </row>
    <row r="168" spans="1:14" ht="13.5" customHeight="1" x14ac:dyDescent="0.25">
      <c r="A168" s="332" t="str">
        <f t="shared" si="17"/>
        <v>Auxiliar4</v>
      </c>
      <c r="B168" s="332"/>
      <c r="C168" s="174"/>
      <c r="D168" s="332" t="str">
        <f t="shared" si="23"/>
        <v>AA78</v>
      </c>
      <c r="E168" s="332" t="str">
        <f>IF(N168="",IF(J168="j",_xlfn.CONCAT("Load"," ",filename_cont,"1.sim"),IF(K168="k",_xlfn.CONCAT("Load"," ",Data!W57,".sim"),"")),"Get Data")</f>
        <v>Get Data</v>
      </c>
      <c r="F168" s="88" t="str">
        <f>CVD_Script_Table!$H$25</f>
        <v>Line</v>
      </c>
      <c r="G168" s="332"/>
      <c r="H168" s="332"/>
      <c r="I168" s="332" t="str">
        <f t="shared" si="24"/>
        <v>attachmenttype[78]</v>
      </c>
      <c r="J168" s="333">
        <f t="shared" si="18"/>
        <v>78</v>
      </c>
      <c r="K168" s="333" t="str">
        <f t="shared" si="19"/>
        <v/>
      </c>
      <c r="L168" s="333" t="str">
        <f t="shared" si="20"/>
        <v/>
      </c>
      <c r="M168" s="333" t="str">
        <f t="shared" si="21"/>
        <v/>
      </c>
      <c r="N168" s="333">
        <f t="shared" si="22"/>
        <v>78</v>
      </c>
    </row>
    <row r="169" spans="1:14" ht="13.5" customHeight="1" x14ac:dyDescent="0.25">
      <c r="A169" s="332" t="str">
        <f t="shared" si="17"/>
        <v>Auxiliar4</v>
      </c>
      <c r="B169" s="332"/>
      <c r="C169" s="174"/>
      <c r="D169" s="332" t="str">
        <f t="shared" si="23"/>
        <v>AA79</v>
      </c>
      <c r="E169" s="332" t="str">
        <f>IF(N169="",IF(J169="j",_xlfn.CONCAT("Load"," ",filename_cont,"1.sim"),IF(K169="k",_xlfn.CONCAT("Load"," ",Data!W57,".sim"),"")),"Get Data")</f>
        <v>Get Data</v>
      </c>
      <c r="F169" s="88" t="str">
        <f>CVD_Script_Table!$H$25</f>
        <v>Line</v>
      </c>
      <c r="G169" s="332"/>
      <c r="H169" s="332"/>
      <c r="I169" s="332" t="str">
        <f t="shared" si="24"/>
        <v>attachmenttype[79]</v>
      </c>
      <c r="J169" s="333">
        <f t="shared" si="18"/>
        <v>79</v>
      </c>
      <c r="K169" s="333" t="str">
        <f t="shared" si="19"/>
        <v/>
      </c>
      <c r="L169" s="333" t="str">
        <f t="shared" si="20"/>
        <v/>
      </c>
      <c r="M169" s="333" t="str">
        <f t="shared" si="21"/>
        <v/>
      </c>
      <c r="N169" s="333">
        <f t="shared" si="22"/>
        <v>79</v>
      </c>
    </row>
    <row r="170" spans="1:14" ht="13.5" customHeight="1" x14ac:dyDescent="0.25">
      <c r="A170" s="332" t="str">
        <f t="shared" si="17"/>
        <v>Auxiliar4</v>
      </c>
      <c r="B170" s="332"/>
      <c r="C170" s="174"/>
      <c r="D170" s="332" t="str">
        <f t="shared" si="23"/>
        <v>AA80</v>
      </c>
      <c r="E170" s="332" t="str">
        <f>IF(N170="",IF(J170="j",_xlfn.CONCAT("Load"," ",filename_cont,"1.sim"),IF(K170="k",_xlfn.CONCAT("Load"," ",Data!W57,".sim"),"")),"Get Data")</f>
        <v>Get Data</v>
      </c>
      <c r="F170" s="88" t="str">
        <f>CVD_Script_Table!$H$25</f>
        <v>Line</v>
      </c>
      <c r="G170" s="332"/>
      <c r="H170" s="332"/>
      <c r="I170" s="332" t="str">
        <f t="shared" si="24"/>
        <v>attachmenttype[80]</v>
      </c>
      <c r="J170" s="333">
        <f t="shared" si="18"/>
        <v>80</v>
      </c>
      <c r="K170" s="333" t="str">
        <f t="shared" si="19"/>
        <v/>
      </c>
      <c r="L170" s="333" t="str">
        <f t="shared" si="20"/>
        <v/>
      </c>
      <c r="M170" s="333" t="str">
        <f t="shared" si="21"/>
        <v/>
      </c>
      <c r="N170" s="333">
        <f t="shared" si="22"/>
        <v>80</v>
      </c>
    </row>
    <row r="171" spans="1:14" ht="13.5" customHeight="1" x14ac:dyDescent="0.25">
      <c r="A171" s="332" t="str">
        <f t="shared" si="17"/>
        <v>Auxiliar4</v>
      </c>
      <c r="B171" s="332"/>
      <c r="C171" s="174"/>
      <c r="D171" s="332" t="str">
        <f t="shared" si="23"/>
        <v>AA81</v>
      </c>
      <c r="E171" s="332" t="str">
        <f>IF(N171="",IF(J171="j",_xlfn.CONCAT("Load"," ",filename_cont,"1.sim"),IF(K171="k",_xlfn.CONCAT("Load"," ",Data!W57,".sim"),"")),"Get Data")</f>
        <v>Get Data</v>
      </c>
      <c r="F171" s="88" t="str">
        <f>CVD_Script_Table!$H$25</f>
        <v>Line</v>
      </c>
      <c r="G171" s="332"/>
      <c r="H171" s="332"/>
      <c r="I171" s="332" t="str">
        <f t="shared" si="24"/>
        <v>attachmenttype[81]</v>
      </c>
      <c r="J171" s="333">
        <f t="shared" si="18"/>
        <v>81</v>
      </c>
      <c r="K171" s="333" t="str">
        <f t="shared" si="19"/>
        <v/>
      </c>
      <c r="L171" s="333" t="str">
        <f t="shared" si="20"/>
        <v/>
      </c>
      <c r="M171" s="333" t="str">
        <f t="shared" si="21"/>
        <v/>
      </c>
      <c r="N171" s="333">
        <f t="shared" si="22"/>
        <v>81</v>
      </c>
    </row>
    <row r="172" spans="1:14" ht="13.5" customHeight="1" x14ac:dyDescent="0.25">
      <c r="A172" s="332" t="str">
        <f t="shared" si="17"/>
        <v>Auxiliar4</v>
      </c>
      <c r="B172" s="332"/>
      <c r="C172" s="174"/>
      <c r="D172" s="332" t="str">
        <f t="shared" si="23"/>
        <v>AA82</v>
      </c>
      <c r="E172" s="332" t="str">
        <f>IF(N172="",IF(J172="j",_xlfn.CONCAT("Load"," ",filename_cont,"1.sim"),IF(K172="k",_xlfn.CONCAT("Load"," ",Data!W57,".sim"),"")),"Get Data")</f>
        <v>Get Data</v>
      </c>
      <c r="F172" s="88" t="str">
        <f>CVD_Script_Table!$H$25</f>
        <v>Line</v>
      </c>
      <c r="G172" s="332"/>
      <c r="H172" s="332"/>
      <c r="I172" s="332" t="str">
        <f t="shared" si="24"/>
        <v>attachmenttype[82]</v>
      </c>
      <c r="J172" s="333">
        <f t="shared" si="18"/>
        <v>82</v>
      </c>
      <c r="K172" s="333" t="str">
        <f t="shared" si="19"/>
        <v/>
      </c>
      <c r="L172" s="333" t="str">
        <f t="shared" si="20"/>
        <v/>
      </c>
      <c r="M172" s="333" t="str">
        <f t="shared" si="21"/>
        <v/>
      </c>
      <c r="N172" s="333">
        <f t="shared" si="22"/>
        <v>82</v>
      </c>
    </row>
    <row r="173" spans="1:14" ht="13.5" customHeight="1" x14ac:dyDescent="0.25">
      <c r="A173" s="332" t="str">
        <f t="shared" si="17"/>
        <v>Auxiliar4</v>
      </c>
      <c r="B173" s="332"/>
      <c r="C173" s="174"/>
      <c r="D173" s="332" t="str">
        <f t="shared" si="23"/>
        <v>AA83</v>
      </c>
      <c r="E173" s="332" t="str">
        <f>IF(N173="",IF(J173="j",_xlfn.CONCAT("Load"," ",filename_cont,"1.sim"),IF(K173="k",_xlfn.CONCAT("Load"," ",Data!W57,".sim"),"")),"Get Data")</f>
        <v>Get Data</v>
      </c>
      <c r="F173" s="88" t="str">
        <f>CVD_Script_Table!$H$25</f>
        <v>Line</v>
      </c>
      <c r="G173" s="332"/>
      <c r="H173" s="332"/>
      <c r="I173" s="332" t="str">
        <f t="shared" si="24"/>
        <v>attachmenttype[83]</v>
      </c>
      <c r="J173" s="333">
        <f t="shared" si="18"/>
        <v>83</v>
      </c>
      <c r="K173" s="333" t="str">
        <f t="shared" si="19"/>
        <v/>
      </c>
      <c r="L173" s="333" t="str">
        <f t="shared" si="20"/>
        <v/>
      </c>
      <c r="M173" s="333" t="str">
        <f t="shared" si="21"/>
        <v/>
      </c>
      <c r="N173" s="333">
        <f t="shared" si="22"/>
        <v>83</v>
      </c>
    </row>
    <row r="174" spans="1:14" ht="13.5" customHeight="1" x14ac:dyDescent="0.25">
      <c r="A174" s="332" t="str">
        <f t="shared" si="17"/>
        <v>Auxiliar4</v>
      </c>
      <c r="B174" s="332"/>
      <c r="C174" s="174"/>
      <c r="D174" s="332" t="str">
        <f t="shared" si="23"/>
        <v>AA84</v>
      </c>
      <c r="E174" s="332" t="str">
        <f>IF(N174="",IF(J174="j",_xlfn.CONCAT("Load"," ",filename_cont,"1.sim"),IF(K174="k",_xlfn.CONCAT("Load"," ",Data!W57,".sim"),"")),"Get Data")</f>
        <v>Get Data</v>
      </c>
      <c r="F174" s="88" t="str">
        <f>CVD_Script_Table!$H$25</f>
        <v>Line</v>
      </c>
      <c r="G174" s="332"/>
      <c r="H174" s="332"/>
      <c r="I174" s="332" t="str">
        <f t="shared" si="24"/>
        <v>attachmenttype[84]</v>
      </c>
      <c r="J174" s="333">
        <f t="shared" si="18"/>
        <v>84</v>
      </c>
      <c r="K174" s="333" t="str">
        <f t="shared" si="19"/>
        <v/>
      </c>
      <c r="L174" s="333" t="str">
        <f t="shared" si="20"/>
        <v/>
      </c>
      <c r="M174" s="333" t="str">
        <f t="shared" si="21"/>
        <v/>
      </c>
      <c r="N174" s="333">
        <f t="shared" si="22"/>
        <v>84</v>
      </c>
    </row>
    <row r="175" spans="1:14" ht="13.5" customHeight="1" x14ac:dyDescent="0.25">
      <c r="A175" s="332" t="str">
        <f t="shared" si="17"/>
        <v>Auxiliar4</v>
      </c>
      <c r="B175" s="332"/>
      <c r="C175" s="174"/>
      <c r="D175" s="332" t="str">
        <f t="shared" si="23"/>
        <v>AA85</v>
      </c>
      <c r="E175" s="332" t="str">
        <f>IF(N175="",IF(J175="j",_xlfn.CONCAT("Load"," ",filename_cont,"1.sim"),IF(K175="k",_xlfn.CONCAT("Load"," ",Data!W57,".sim"),"")),"Get Data")</f>
        <v>Get Data</v>
      </c>
      <c r="F175" s="88" t="str">
        <f>CVD_Script_Table!$H$25</f>
        <v>Line</v>
      </c>
      <c r="G175" s="332"/>
      <c r="H175" s="332"/>
      <c r="I175" s="332" t="str">
        <f t="shared" si="24"/>
        <v>attachmenttype[85]</v>
      </c>
      <c r="J175" s="333">
        <f t="shared" si="18"/>
        <v>85</v>
      </c>
      <c r="K175" s="333" t="str">
        <f t="shared" si="19"/>
        <v/>
      </c>
      <c r="L175" s="333" t="str">
        <f t="shared" si="20"/>
        <v/>
      </c>
      <c r="M175" s="333" t="str">
        <f t="shared" si="21"/>
        <v/>
      </c>
      <c r="N175" s="333">
        <f t="shared" si="22"/>
        <v>85</v>
      </c>
    </row>
    <row r="176" spans="1:14" ht="13.5" customHeight="1" x14ac:dyDescent="0.25">
      <c r="A176" s="332" t="str">
        <f t="shared" si="17"/>
        <v>Auxiliar4</v>
      </c>
      <c r="B176" s="332"/>
      <c r="C176" s="174"/>
      <c r="D176" s="332" t="str">
        <f t="shared" si="23"/>
        <v>AA86</v>
      </c>
      <c r="E176" s="332" t="str">
        <f>IF(N176="",IF(J176="j",_xlfn.CONCAT("Load"," ",filename_cont,"1.sim"),IF(K176="k",_xlfn.CONCAT("Load"," ",Data!W57,".sim"),"")),"Get Data")</f>
        <v>Get Data</v>
      </c>
      <c r="F176" s="88" t="str">
        <f>CVD_Script_Table!$H$25</f>
        <v>Line</v>
      </c>
      <c r="G176" s="332"/>
      <c r="H176" s="332"/>
      <c r="I176" s="332" t="str">
        <f t="shared" si="24"/>
        <v>attachmenttype[86]</v>
      </c>
      <c r="J176" s="333">
        <f t="shared" si="18"/>
        <v>86</v>
      </c>
      <c r="K176" s="333" t="str">
        <f t="shared" si="19"/>
        <v/>
      </c>
      <c r="L176" s="333" t="str">
        <f t="shared" si="20"/>
        <v/>
      </c>
      <c r="M176" s="333" t="str">
        <f t="shared" si="21"/>
        <v/>
      </c>
      <c r="N176" s="333">
        <f t="shared" si="22"/>
        <v>86</v>
      </c>
    </row>
    <row r="177" spans="1:14" ht="13.5" customHeight="1" x14ac:dyDescent="0.25">
      <c r="A177" s="332" t="str">
        <f t="shared" si="17"/>
        <v>Auxiliar4</v>
      </c>
      <c r="B177" s="332"/>
      <c r="C177" s="174"/>
      <c r="D177" s="332" t="str">
        <f t="shared" si="23"/>
        <v>AA87</v>
      </c>
      <c r="E177" s="332" t="str">
        <f>IF(N177="",IF(J177="j",_xlfn.CONCAT("Load"," ",filename_cont,"1.sim"),IF(K177="k",_xlfn.CONCAT("Load"," ",Data!W57,".sim"),"")),"Get Data")</f>
        <v>Get Data</v>
      </c>
      <c r="F177" s="88" t="str">
        <f>CVD_Script_Table!$H$25</f>
        <v>Line</v>
      </c>
      <c r="G177" s="332"/>
      <c r="H177" s="332"/>
      <c r="I177" s="332" t="str">
        <f t="shared" si="24"/>
        <v>attachmenttype[87]</v>
      </c>
      <c r="J177" s="333">
        <f t="shared" si="18"/>
        <v>87</v>
      </c>
      <c r="K177" s="333" t="str">
        <f t="shared" si="19"/>
        <v/>
      </c>
      <c r="L177" s="333" t="str">
        <f t="shared" si="20"/>
        <v/>
      </c>
      <c r="M177" s="333" t="str">
        <f t="shared" si="21"/>
        <v/>
      </c>
      <c r="N177" s="333">
        <f t="shared" si="22"/>
        <v>87</v>
      </c>
    </row>
    <row r="178" spans="1:14" ht="13.5" customHeight="1" x14ac:dyDescent="0.25">
      <c r="A178" s="332" t="str">
        <f t="shared" si="17"/>
        <v>Auxiliar4</v>
      </c>
      <c r="B178" s="332"/>
      <c r="C178" s="174"/>
      <c r="D178" s="332" t="str">
        <f t="shared" si="23"/>
        <v>AA88</v>
      </c>
      <c r="E178" s="332" t="str">
        <f>IF(N178="",IF(J178="j",_xlfn.CONCAT("Load"," ",filename_cont,"1.sim"),IF(K178="k",_xlfn.CONCAT("Load"," ",Data!W57,".sim"),"")),"Get Data")</f>
        <v>Get Data</v>
      </c>
      <c r="F178" s="88" t="str">
        <f>CVD_Script_Table!$H$25</f>
        <v>Line</v>
      </c>
      <c r="G178" s="332"/>
      <c r="H178" s="332"/>
      <c r="I178" s="332" t="str">
        <f t="shared" si="24"/>
        <v>attachmenttype[88]</v>
      </c>
      <c r="J178" s="333">
        <f t="shared" si="18"/>
        <v>88</v>
      </c>
      <c r="K178" s="333" t="str">
        <f t="shared" si="19"/>
        <v/>
      </c>
      <c r="L178" s="333" t="str">
        <f t="shared" si="20"/>
        <v/>
      </c>
      <c r="M178" s="333" t="str">
        <f t="shared" si="21"/>
        <v/>
      </c>
      <c r="N178" s="333">
        <f t="shared" si="22"/>
        <v>88</v>
      </c>
    </row>
    <row r="179" spans="1:14" ht="13.5" customHeight="1" x14ac:dyDescent="0.25">
      <c r="A179" s="332" t="str">
        <f t="shared" si="17"/>
        <v>Auxiliar4</v>
      </c>
      <c r="B179" s="332"/>
      <c r="C179" s="174"/>
      <c r="D179" s="332" t="str">
        <f t="shared" si="23"/>
        <v>AA89</v>
      </c>
      <c r="E179" s="332" t="str">
        <f>IF(N179="",IF(J179="j",_xlfn.CONCAT("Load"," ",filename_cont,"1.sim"),IF(K179="k",_xlfn.CONCAT("Load"," ",Data!W57,".sim"),"")),"Get Data")</f>
        <v>Get Data</v>
      </c>
      <c r="F179" s="88" t="str">
        <f>CVD_Script_Table!$H$25</f>
        <v>Line</v>
      </c>
      <c r="G179" s="332"/>
      <c r="H179" s="332"/>
      <c r="I179" s="332" t="str">
        <f t="shared" si="24"/>
        <v>attachmenttype[89]</v>
      </c>
      <c r="J179" s="333">
        <f t="shared" si="18"/>
        <v>89</v>
      </c>
      <c r="K179" s="333" t="str">
        <f t="shared" si="19"/>
        <v/>
      </c>
      <c r="L179" s="333" t="str">
        <f t="shared" si="20"/>
        <v/>
      </c>
      <c r="M179" s="333" t="str">
        <f t="shared" si="21"/>
        <v/>
      </c>
      <c r="N179" s="333">
        <f t="shared" si="22"/>
        <v>89</v>
      </c>
    </row>
    <row r="180" spans="1:14" ht="13.5" customHeight="1" x14ac:dyDescent="0.25">
      <c r="A180" s="332" t="str">
        <f t="shared" si="17"/>
        <v>Auxiliar4</v>
      </c>
      <c r="B180" s="332"/>
      <c r="C180" s="174"/>
      <c r="D180" s="332" t="str">
        <f t="shared" si="23"/>
        <v>AA90</v>
      </c>
      <c r="E180" s="332" t="str">
        <f>IF(N180="",IF(J180="j",_xlfn.CONCAT("Load"," ",filename_cont,"1.sim"),IF(K180="k",_xlfn.CONCAT("Load"," ",Data!W57,".sim"),"")),"Get Data")</f>
        <v>Get Data</v>
      </c>
      <c r="F180" s="88" t="str">
        <f>CVD_Script_Table!$H$25</f>
        <v>Line</v>
      </c>
      <c r="G180" s="332"/>
      <c r="H180" s="332"/>
      <c r="I180" s="332" t="str">
        <f t="shared" si="24"/>
        <v>attachmenttype[90]</v>
      </c>
      <c r="J180" s="333">
        <f t="shared" si="18"/>
        <v>90</v>
      </c>
      <c r="K180" s="333" t="str">
        <f t="shared" si="19"/>
        <v/>
      </c>
      <c r="L180" s="333" t="str">
        <f t="shared" si="20"/>
        <v/>
      </c>
      <c r="M180" s="333" t="str">
        <f t="shared" si="21"/>
        <v/>
      </c>
      <c r="N180" s="333">
        <f t="shared" si="22"/>
        <v>90</v>
      </c>
    </row>
    <row r="181" spans="1:14" ht="13.5" customHeight="1" x14ac:dyDescent="0.25">
      <c r="A181" s="332" t="str">
        <f t="shared" si="17"/>
        <v>Auxiliar4</v>
      </c>
      <c r="B181" s="332"/>
      <c r="C181" s="174"/>
      <c r="D181" s="332" t="str">
        <f t="shared" si="23"/>
        <v>AA91</v>
      </c>
      <c r="E181" s="332" t="str">
        <f>IF(N181="",IF(J181="j",_xlfn.CONCAT("Load"," ",filename_cont,"1.sim"),IF(K181="k",_xlfn.CONCAT("Load"," ",Data!W57,".sim"),"")),"Get Data")</f>
        <v>Get Data</v>
      </c>
      <c r="F181" s="88" t="str">
        <f>CVD_Script_Table!$H$25</f>
        <v>Line</v>
      </c>
      <c r="G181" s="332"/>
      <c r="H181" s="332"/>
      <c r="I181" s="332" t="str">
        <f t="shared" si="24"/>
        <v>attachmenttype[91]</v>
      </c>
      <c r="J181" s="333">
        <f t="shared" si="18"/>
        <v>91</v>
      </c>
      <c r="K181" s="333" t="str">
        <f t="shared" si="19"/>
        <v/>
      </c>
      <c r="L181" s="333" t="str">
        <f t="shared" si="20"/>
        <v/>
      </c>
      <c r="M181" s="333" t="str">
        <f t="shared" si="21"/>
        <v/>
      </c>
      <c r="N181" s="333">
        <f t="shared" si="22"/>
        <v>91</v>
      </c>
    </row>
    <row r="182" spans="1:14" ht="13.5" customHeight="1" x14ac:dyDescent="0.25">
      <c r="A182" s="332" t="str">
        <f t="shared" si="17"/>
        <v>Auxiliar4</v>
      </c>
      <c r="B182" s="332"/>
      <c r="C182" s="174"/>
      <c r="D182" s="332" t="str">
        <f t="shared" si="23"/>
        <v>AA92</v>
      </c>
      <c r="E182" s="332" t="str">
        <f>IF(N182="",IF(J182="j",_xlfn.CONCAT("Load"," ",filename_cont,"1.sim"),IF(K182="k",_xlfn.CONCAT("Load"," ",Data!W57,".sim"),"")),"Get Data")</f>
        <v>Get Data</v>
      </c>
      <c r="F182" s="88" t="str">
        <f>CVD_Script_Table!$H$25</f>
        <v>Line</v>
      </c>
      <c r="G182" s="332"/>
      <c r="H182" s="332"/>
      <c r="I182" s="332" t="str">
        <f t="shared" si="24"/>
        <v>attachmenttype[92]</v>
      </c>
      <c r="J182" s="333">
        <f t="shared" si="18"/>
        <v>92</v>
      </c>
      <c r="K182" s="333" t="str">
        <f t="shared" si="19"/>
        <v/>
      </c>
      <c r="L182" s="333" t="str">
        <f t="shared" si="20"/>
        <v/>
      </c>
      <c r="M182" s="333" t="str">
        <f t="shared" si="21"/>
        <v/>
      </c>
      <c r="N182" s="333">
        <f t="shared" si="22"/>
        <v>92</v>
      </c>
    </row>
    <row r="183" spans="1:14" ht="13.5" customHeight="1" x14ac:dyDescent="0.25">
      <c r="A183" s="332" t="str">
        <f t="shared" si="17"/>
        <v>Auxiliar4</v>
      </c>
      <c r="B183" s="332"/>
      <c r="C183" s="174"/>
      <c r="D183" s="332" t="str">
        <f t="shared" si="23"/>
        <v>AA93</v>
      </c>
      <c r="E183" s="332" t="str">
        <f>IF(N183="",IF(J183="j",_xlfn.CONCAT("Load"," ",filename_cont,"1.sim"),IF(K183="k",_xlfn.CONCAT("Load"," ",Data!W57,".sim"),"")),"Get Data")</f>
        <v>Get Data</v>
      </c>
      <c r="F183" s="88" t="str">
        <f>CVD_Script_Table!$H$25</f>
        <v>Line</v>
      </c>
      <c r="G183" s="332"/>
      <c r="H183" s="332"/>
      <c r="I183" s="332" t="str">
        <f t="shared" si="24"/>
        <v>attachmenttype[93]</v>
      </c>
      <c r="J183" s="333">
        <f t="shared" si="18"/>
        <v>93</v>
      </c>
      <c r="K183" s="333" t="str">
        <f t="shared" si="19"/>
        <v/>
      </c>
      <c r="L183" s="333" t="str">
        <f t="shared" si="20"/>
        <v/>
      </c>
      <c r="M183" s="333" t="str">
        <f t="shared" si="21"/>
        <v/>
      </c>
      <c r="N183" s="333">
        <f t="shared" si="22"/>
        <v>93</v>
      </c>
    </row>
    <row r="184" spans="1:14" ht="13.5" customHeight="1" x14ac:dyDescent="0.25">
      <c r="A184" s="332" t="str">
        <f t="shared" si="17"/>
        <v>Auxiliar4</v>
      </c>
      <c r="B184" s="332"/>
      <c r="C184" s="174"/>
      <c r="D184" s="332" t="str">
        <f t="shared" si="23"/>
        <v>AA94</v>
      </c>
      <c r="E184" s="332" t="str">
        <f>IF(N184="",IF(J184="j",_xlfn.CONCAT("Load"," ",filename_cont,"1.sim"),IF(K184="k",_xlfn.CONCAT("Load"," ",Data!W57,".sim"),"")),"Get Data")</f>
        <v>Get Data</v>
      </c>
      <c r="F184" s="88" t="str">
        <f>CVD_Script_Table!$H$25</f>
        <v>Line</v>
      </c>
      <c r="G184" s="332"/>
      <c r="H184" s="332"/>
      <c r="I184" s="332" t="str">
        <f t="shared" si="24"/>
        <v>attachmenttype[94]</v>
      </c>
      <c r="J184" s="333">
        <f t="shared" si="18"/>
        <v>94</v>
      </c>
      <c r="K184" s="333" t="str">
        <f t="shared" si="19"/>
        <v/>
      </c>
      <c r="L184" s="333" t="str">
        <f t="shared" si="20"/>
        <v/>
      </c>
      <c r="M184" s="333" t="str">
        <f t="shared" si="21"/>
        <v/>
      </c>
      <c r="N184" s="333">
        <f t="shared" si="22"/>
        <v>94</v>
      </c>
    </row>
    <row r="185" spans="1:14" ht="13.5" customHeight="1" x14ac:dyDescent="0.25">
      <c r="A185" s="332" t="str">
        <f t="shared" si="17"/>
        <v>Auxiliar4</v>
      </c>
      <c r="B185" s="332"/>
      <c r="C185" s="174"/>
      <c r="D185" s="332" t="str">
        <f t="shared" si="23"/>
        <v>AA95</v>
      </c>
      <c r="E185" s="332" t="str">
        <f>IF(N185="",IF(J185="j",_xlfn.CONCAT("Load"," ",filename_cont,"1.sim"),IF(K185="k",_xlfn.CONCAT("Load"," ",Data!W57,".sim"),"")),"Get Data")</f>
        <v>Get Data</v>
      </c>
      <c r="F185" s="88" t="str">
        <f>CVD_Script_Table!$H$25</f>
        <v>Line</v>
      </c>
      <c r="G185" s="332"/>
      <c r="H185" s="332"/>
      <c r="I185" s="332" t="str">
        <f t="shared" si="24"/>
        <v>attachmenttype[95]</v>
      </c>
      <c r="J185" s="333">
        <f t="shared" si="18"/>
        <v>95</v>
      </c>
      <c r="K185" s="333" t="str">
        <f t="shared" si="19"/>
        <v/>
      </c>
      <c r="L185" s="333" t="str">
        <f t="shared" si="20"/>
        <v/>
      </c>
      <c r="M185" s="333" t="str">
        <f t="shared" si="21"/>
        <v/>
      </c>
      <c r="N185" s="333">
        <f t="shared" si="22"/>
        <v>95</v>
      </c>
    </row>
    <row r="186" spans="1:14" ht="13.5" customHeight="1" x14ac:dyDescent="0.25">
      <c r="A186" s="332" t="str">
        <f t="shared" si="17"/>
        <v>Auxiliar4</v>
      </c>
      <c r="B186" s="332"/>
      <c r="C186" s="174"/>
      <c r="D186" s="332" t="str">
        <f t="shared" si="23"/>
        <v>AA96</v>
      </c>
      <c r="E186" s="332" t="str">
        <f>IF(N186="",IF(J186="j",_xlfn.CONCAT("Load"," ",filename_cont,"1.sim"),IF(K186="k",_xlfn.CONCAT("Load"," ",Data!W57,".sim"),"")),"Get Data")</f>
        <v>Get Data</v>
      </c>
      <c r="F186" s="88" t="str">
        <f>CVD_Script_Table!$H$25</f>
        <v>Line</v>
      </c>
      <c r="G186" s="332"/>
      <c r="H186" s="332"/>
      <c r="I186" s="332" t="str">
        <f t="shared" si="24"/>
        <v>attachmenttype[96]</v>
      </c>
      <c r="J186" s="333">
        <f t="shared" si="18"/>
        <v>96</v>
      </c>
      <c r="K186" s="333" t="str">
        <f t="shared" si="19"/>
        <v/>
      </c>
      <c r="L186" s="333" t="str">
        <f t="shared" si="20"/>
        <v/>
      </c>
      <c r="M186" s="333" t="str">
        <f t="shared" si="21"/>
        <v/>
      </c>
      <c r="N186" s="333">
        <f t="shared" si="22"/>
        <v>96</v>
      </c>
    </row>
    <row r="187" spans="1:14" ht="13.5" customHeight="1" x14ac:dyDescent="0.25">
      <c r="A187" s="332" t="str">
        <f t="shared" si="17"/>
        <v>Auxiliar4</v>
      </c>
      <c r="B187" s="332"/>
      <c r="C187" s="174"/>
      <c r="D187" s="332" t="str">
        <f t="shared" si="23"/>
        <v>AA97</v>
      </c>
      <c r="E187" s="332" t="str">
        <f>IF(N187="",IF(J187="j",_xlfn.CONCAT("Load"," ",filename_cont,"1.sim"),IF(K187="k",_xlfn.CONCAT("Load"," ",Data!W57,".sim"),"")),"Get Data")</f>
        <v>Get Data</v>
      </c>
      <c r="F187" s="88" t="str">
        <f>CVD_Script_Table!$H$25</f>
        <v>Line</v>
      </c>
      <c r="G187" s="332"/>
      <c r="H187" s="332"/>
      <c r="I187" s="332" t="str">
        <f t="shared" si="24"/>
        <v>attachmenttype[97]</v>
      </c>
      <c r="J187" s="333">
        <f t="shared" si="18"/>
        <v>97</v>
      </c>
      <c r="K187" s="333" t="str">
        <f t="shared" si="19"/>
        <v/>
      </c>
      <c r="L187" s="333" t="str">
        <f t="shared" si="20"/>
        <v/>
      </c>
      <c r="M187" s="333" t="str">
        <f t="shared" ref="M187:M218" si="25">IF(OR(L187="l",L187="ll"),IFERROR(IF(M186="",2,IF(M186=J$9,"m",M186+1)),"mm"),"")</f>
        <v/>
      </c>
      <c r="N187" s="333">
        <f t="shared" si="22"/>
        <v>97</v>
      </c>
    </row>
    <row r="188" spans="1:14" ht="13.5" customHeight="1" x14ac:dyDescent="0.25">
      <c r="A188" s="332" t="str">
        <f t="shared" si="17"/>
        <v>Auxiliar4</v>
      </c>
      <c r="B188" s="332"/>
      <c r="C188" s="174"/>
      <c r="D188" s="332" t="str">
        <f t="shared" si="23"/>
        <v>AA98</v>
      </c>
      <c r="E188" s="332" t="str">
        <f>IF(N188="",IF(J188="j",_xlfn.CONCAT("Load"," ",filename_cont,"1.sim"),IF(K188="k",_xlfn.CONCAT("Load"," ",Data!W57,".sim"),"")),"Get Data")</f>
        <v>Get Data</v>
      </c>
      <c r="F188" s="88" t="str">
        <f>CVD_Script_Table!$H$25</f>
        <v>Line</v>
      </c>
      <c r="G188" s="332"/>
      <c r="H188" s="332"/>
      <c r="I188" s="332" t="str">
        <f t="shared" si="24"/>
        <v>attachmenttype[98]</v>
      </c>
      <c r="J188" s="333">
        <f t="shared" si="18"/>
        <v>98</v>
      </c>
      <c r="K188" s="333" t="str">
        <f t="shared" si="19"/>
        <v/>
      </c>
      <c r="L188" s="333" t="str">
        <f t="shared" si="20"/>
        <v/>
      </c>
      <c r="M188" s="333" t="str">
        <f t="shared" si="25"/>
        <v/>
      </c>
      <c r="N188" s="333">
        <f t="shared" si="22"/>
        <v>98</v>
      </c>
    </row>
    <row r="189" spans="1:14" ht="13.5" customHeight="1" x14ac:dyDescent="0.25">
      <c r="A189" s="332" t="str">
        <f t="shared" si="17"/>
        <v>Auxiliar4</v>
      </c>
      <c r="B189" s="332"/>
      <c r="C189" s="174"/>
      <c r="D189" s="332" t="str">
        <f t="shared" si="23"/>
        <v>AA99</v>
      </c>
      <c r="E189" s="332" t="str">
        <f>IF(N189="",IF(J189="j",_xlfn.CONCAT("Load"," ",filename_cont,"1.sim"),IF(K189="k",_xlfn.CONCAT("Load"," ",Data!W57,".sim"),"")),"Get Data")</f>
        <v>Get Data</v>
      </c>
      <c r="F189" s="88" t="str">
        <f>CVD_Script_Table!$H$25</f>
        <v>Line</v>
      </c>
      <c r="G189" s="332"/>
      <c r="H189" s="332"/>
      <c r="I189" s="332" t="str">
        <f t="shared" si="24"/>
        <v>attachmenttype[99]</v>
      </c>
      <c r="J189" s="333">
        <f t="shared" si="18"/>
        <v>99</v>
      </c>
      <c r="K189" s="333" t="str">
        <f t="shared" si="19"/>
        <v/>
      </c>
      <c r="L189" s="333" t="str">
        <f t="shared" si="20"/>
        <v/>
      </c>
      <c r="M189" s="333" t="str">
        <f t="shared" si="25"/>
        <v/>
      </c>
      <c r="N189" s="333">
        <f t="shared" si="22"/>
        <v>99</v>
      </c>
    </row>
    <row r="190" spans="1:14" ht="13.5" customHeight="1" x14ac:dyDescent="0.25">
      <c r="A190" s="332" t="str">
        <f t="shared" si="17"/>
        <v>Auxiliar4</v>
      </c>
      <c r="B190" s="332"/>
      <c r="C190" s="174"/>
      <c r="D190" s="332" t="str">
        <f t="shared" si="23"/>
        <v>AA100</v>
      </c>
      <c r="E190" s="332" t="str">
        <f>IF(N190="",IF(J190="j",_xlfn.CONCAT("Load"," ",filename_cont,"1.sim"),IF(K190="k",_xlfn.CONCAT("Load"," ",Data!W57,".sim"),"")),"Get Data")</f>
        <v>Get Data</v>
      </c>
      <c r="F190" s="88" t="str">
        <f>CVD_Script_Table!$H$25</f>
        <v>Line</v>
      </c>
      <c r="G190" s="332"/>
      <c r="H190" s="332"/>
      <c r="I190" s="332" t="str">
        <f t="shared" si="24"/>
        <v>attachmenttype[100]</v>
      </c>
      <c r="J190" s="333">
        <f t="shared" si="18"/>
        <v>100</v>
      </c>
      <c r="K190" s="333" t="str">
        <f t="shared" si="19"/>
        <v/>
      </c>
      <c r="L190" s="333" t="str">
        <f t="shared" si="20"/>
        <v/>
      </c>
      <c r="M190" s="333" t="str">
        <f t="shared" si="25"/>
        <v/>
      </c>
      <c r="N190" s="333">
        <f t="shared" si="22"/>
        <v>100</v>
      </c>
    </row>
    <row r="191" spans="1:14" ht="13.5" customHeight="1" x14ac:dyDescent="0.25">
      <c r="A191" s="332" t="str">
        <f t="shared" si="17"/>
        <v>Auxiliar4</v>
      </c>
      <c r="B191" s="332"/>
      <c r="C191" s="174"/>
      <c r="D191" s="332" t="str">
        <f t="shared" si="23"/>
        <v>AA101</v>
      </c>
      <c r="E191" s="332" t="str">
        <f>IF(N191="",IF(J191="j",_xlfn.CONCAT("Load"," ",filename_cont,"1.sim"),IF(K191="k",_xlfn.CONCAT("Load"," ",Data!W57,".sim"),"")),"Get Data")</f>
        <v>Get Data</v>
      </c>
      <c r="F191" s="88" t="str">
        <f>CVD_Script_Table!$H$25</f>
        <v>Line</v>
      </c>
      <c r="G191" s="332"/>
      <c r="H191" s="332"/>
      <c r="I191" s="332" t="str">
        <f t="shared" si="24"/>
        <v>attachmenttype[101]</v>
      </c>
      <c r="J191" s="333">
        <f t="shared" si="18"/>
        <v>101</v>
      </c>
      <c r="K191" s="333" t="str">
        <f t="shared" si="19"/>
        <v/>
      </c>
      <c r="L191" s="333" t="str">
        <f t="shared" si="20"/>
        <v/>
      </c>
      <c r="M191" s="333" t="str">
        <f t="shared" si="25"/>
        <v/>
      </c>
      <c r="N191" s="333">
        <f t="shared" si="22"/>
        <v>101</v>
      </c>
    </row>
    <row r="192" spans="1:14" ht="13.5" customHeight="1" x14ac:dyDescent="0.25">
      <c r="A192" s="332" t="str">
        <f t="shared" si="17"/>
        <v>Auxiliar4</v>
      </c>
      <c r="B192" s="332"/>
      <c r="C192" s="174"/>
      <c r="D192" s="332" t="str">
        <f t="shared" si="23"/>
        <v>AA102</v>
      </c>
      <c r="E192" s="332" t="str">
        <f>IF(N192="",IF(J192="j",_xlfn.CONCAT("Load"," ",filename_cont,"1.sim"),IF(K192="k",_xlfn.CONCAT("Load"," ",Data!W57,".sim"),"")),"Get Data")</f>
        <v>Get Data</v>
      </c>
      <c r="F192" s="88" t="str">
        <f>CVD_Script_Table!$H$25</f>
        <v>Line</v>
      </c>
      <c r="G192" s="332"/>
      <c r="H192" s="332"/>
      <c r="I192" s="332" t="str">
        <f t="shared" si="24"/>
        <v>attachmenttype[102]</v>
      </c>
      <c r="J192" s="333">
        <f t="shared" si="18"/>
        <v>102</v>
      </c>
      <c r="K192" s="333" t="str">
        <f t="shared" si="19"/>
        <v/>
      </c>
      <c r="L192" s="333" t="str">
        <f t="shared" si="20"/>
        <v/>
      </c>
      <c r="M192" s="333" t="str">
        <f t="shared" si="25"/>
        <v/>
      </c>
      <c r="N192" s="333">
        <f t="shared" si="22"/>
        <v>102</v>
      </c>
    </row>
    <row r="193" spans="1:14" ht="13.5" customHeight="1" x14ac:dyDescent="0.25">
      <c r="A193" s="332" t="str">
        <f t="shared" si="17"/>
        <v>Auxiliar4</v>
      </c>
      <c r="B193" s="332"/>
      <c r="C193" s="174"/>
      <c r="D193" s="332" t="str">
        <f t="shared" si="23"/>
        <v>AA103</v>
      </c>
      <c r="E193" s="332" t="str">
        <f>IF(N193="",IF(J193="j",_xlfn.CONCAT("Load"," ",filename_cont,"1.sim"),IF(K193="k",_xlfn.CONCAT("Load"," ",Data!W57,".sim"),"")),"Get Data")</f>
        <v>Get Data</v>
      </c>
      <c r="F193" s="88" t="str">
        <f>CVD_Script_Table!$H$25</f>
        <v>Line</v>
      </c>
      <c r="G193" s="332"/>
      <c r="H193" s="332"/>
      <c r="I193" s="332" t="str">
        <f t="shared" si="24"/>
        <v>attachmenttype[103]</v>
      </c>
      <c r="J193" s="333">
        <f t="shared" si="18"/>
        <v>103</v>
      </c>
      <c r="K193" s="333" t="str">
        <f t="shared" si="19"/>
        <v/>
      </c>
      <c r="L193" s="333" t="str">
        <f t="shared" si="20"/>
        <v/>
      </c>
      <c r="M193" s="333" t="str">
        <f t="shared" si="25"/>
        <v/>
      </c>
      <c r="N193" s="333">
        <f t="shared" si="22"/>
        <v>103</v>
      </c>
    </row>
    <row r="194" spans="1:14" ht="13.5" customHeight="1" x14ac:dyDescent="0.25">
      <c r="A194" s="332" t="str">
        <f t="shared" si="17"/>
        <v>Auxiliar4</v>
      </c>
      <c r="B194" s="332"/>
      <c r="C194" s="174"/>
      <c r="D194" s="332" t="str">
        <f t="shared" si="23"/>
        <v>AA104</v>
      </c>
      <c r="E194" s="332" t="str">
        <f>IF(N194="",IF(J194="j",_xlfn.CONCAT("Load"," ",filename_cont,"1.sim"),IF(K194="k",_xlfn.CONCAT("Load"," ",Data!W57,".sim"),"")),"Get Data")</f>
        <v>Get Data</v>
      </c>
      <c r="F194" s="88" t="str">
        <f>CVD_Script_Table!$H$25</f>
        <v>Line</v>
      </c>
      <c r="G194" s="332"/>
      <c r="H194" s="332"/>
      <c r="I194" s="332" t="str">
        <f t="shared" si="24"/>
        <v>attachmenttype[104]</v>
      </c>
      <c r="J194" s="333">
        <f t="shared" si="18"/>
        <v>104</v>
      </c>
      <c r="K194" s="333" t="str">
        <f t="shared" si="19"/>
        <v/>
      </c>
      <c r="L194" s="333" t="str">
        <f t="shared" si="20"/>
        <v/>
      </c>
      <c r="M194" s="333" t="str">
        <f t="shared" si="25"/>
        <v/>
      </c>
      <c r="N194" s="333">
        <f t="shared" si="22"/>
        <v>104</v>
      </c>
    </row>
    <row r="195" spans="1:14" ht="13.5" customHeight="1" x14ac:dyDescent="0.25">
      <c r="A195" s="332" t="str">
        <f t="shared" si="17"/>
        <v>Auxiliar4</v>
      </c>
      <c r="B195" s="332"/>
      <c r="C195" s="174"/>
      <c r="D195" s="332" t="str">
        <f t="shared" si="23"/>
        <v>AA105</v>
      </c>
      <c r="E195" s="332" t="str">
        <f>IF(N195="",IF(J195="j",_xlfn.CONCAT("Load"," ",filename_cont,"1.sim"),IF(K195="k",_xlfn.CONCAT("Load"," ",Data!W57,".sim"),"")),"Get Data")</f>
        <v>Get Data</v>
      </c>
      <c r="F195" s="88" t="str">
        <f>CVD_Script_Table!$H$25</f>
        <v>Line</v>
      </c>
      <c r="G195" s="332"/>
      <c r="H195" s="332"/>
      <c r="I195" s="332" t="str">
        <f t="shared" si="24"/>
        <v>attachmenttype[105]</v>
      </c>
      <c r="J195" s="333">
        <f t="shared" si="18"/>
        <v>105</v>
      </c>
      <c r="K195" s="333" t="str">
        <f t="shared" si="19"/>
        <v/>
      </c>
      <c r="L195" s="333" t="str">
        <f t="shared" si="20"/>
        <v/>
      </c>
      <c r="M195" s="333" t="str">
        <f t="shared" si="25"/>
        <v/>
      </c>
      <c r="N195" s="333">
        <f t="shared" si="22"/>
        <v>105</v>
      </c>
    </row>
    <row r="196" spans="1:14" ht="13.5" customHeight="1" x14ac:dyDescent="0.25">
      <c r="A196" s="332" t="str">
        <f t="shared" si="17"/>
        <v>Auxiliar4</v>
      </c>
      <c r="B196" s="332"/>
      <c r="C196" s="174"/>
      <c r="D196" s="332" t="str">
        <f t="shared" si="23"/>
        <v>AA106</v>
      </c>
      <c r="E196" s="332" t="str">
        <f>IF(N196="",IF(J196="j",_xlfn.CONCAT("Load"," ",filename_cont,"1.sim"),IF(K196="k",_xlfn.CONCAT("Load"," ",Data!W57,".sim"),"")),"Get Data")</f>
        <v>Get Data</v>
      </c>
      <c r="F196" s="88" t="str">
        <f>CVD_Script_Table!$H$25</f>
        <v>Line</v>
      </c>
      <c r="G196" s="332"/>
      <c r="H196" s="332"/>
      <c r="I196" s="332" t="str">
        <f t="shared" si="24"/>
        <v>attachmenttype[106]</v>
      </c>
      <c r="J196" s="333">
        <f t="shared" si="18"/>
        <v>106</v>
      </c>
      <c r="K196" s="333" t="str">
        <f t="shared" si="19"/>
        <v/>
      </c>
      <c r="L196" s="333" t="str">
        <f t="shared" si="20"/>
        <v/>
      </c>
      <c r="M196" s="333" t="str">
        <f t="shared" si="25"/>
        <v/>
      </c>
      <c r="N196" s="333">
        <f t="shared" si="22"/>
        <v>106</v>
      </c>
    </row>
    <row r="197" spans="1:14" ht="13.5" customHeight="1" x14ac:dyDescent="0.25">
      <c r="A197" s="332" t="str">
        <f t="shared" si="17"/>
        <v>Auxiliar4</v>
      </c>
      <c r="B197" s="332"/>
      <c r="C197" s="174"/>
      <c r="D197" s="332" t="str">
        <f t="shared" si="23"/>
        <v>AA107</v>
      </c>
      <c r="E197" s="332" t="str">
        <f>IF(N197="",IF(J197="j",_xlfn.CONCAT("Load"," ",filename_cont,"1.sim"),IF(K197="k",_xlfn.CONCAT("Load"," ",Data!W57,".sim"),"")),"Get Data")</f>
        <v>Get Data</v>
      </c>
      <c r="F197" s="88" t="str">
        <f>CVD_Script_Table!$H$25</f>
        <v>Line</v>
      </c>
      <c r="G197" s="332"/>
      <c r="H197" s="332"/>
      <c r="I197" s="332" t="str">
        <f t="shared" si="24"/>
        <v>attachmenttype[107]</v>
      </c>
      <c r="J197" s="333">
        <f t="shared" si="18"/>
        <v>107</v>
      </c>
      <c r="K197" s="333" t="str">
        <f t="shared" si="19"/>
        <v/>
      </c>
      <c r="L197" s="333" t="str">
        <f t="shared" si="20"/>
        <v/>
      </c>
      <c r="M197" s="333" t="str">
        <f t="shared" si="25"/>
        <v/>
      </c>
      <c r="N197" s="333">
        <f t="shared" si="22"/>
        <v>107</v>
      </c>
    </row>
    <row r="198" spans="1:14" ht="13.5" customHeight="1" x14ac:dyDescent="0.25">
      <c r="A198" s="332" t="str">
        <f t="shared" si="17"/>
        <v>Auxiliar4</v>
      </c>
      <c r="B198" s="332"/>
      <c r="C198" s="174"/>
      <c r="D198" s="332" t="str">
        <f t="shared" si="23"/>
        <v>AA108</v>
      </c>
      <c r="E198" s="332" t="str">
        <f>IF(N198="",IF(J198="j",_xlfn.CONCAT("Load"," ",filename_cont,"1.sim"),IF(K198="k",_xlfn.CONCAT("Load"," ",Data!W57,".sim"),"")),"Get Data")</f>
        <v>Get Data</v>
      </c>
      <c r="F198" s="88" t="str">
        <f>CVD_Script_Table!$H$25</f>
        <v>Line</v>
      </c>
      <c r="G198" s="332"/>
      <c r="H198" s="332"/>
      <c r="I198" s="332" t="str">
        <f t="shared" si="24"/>
        <v>attachmenttype[108]</v>
      </c>
      <c r="J198" s="333">
        <f t="shared" si="18"/>
        <v>108</v>
      </c>
      <c r="K198" s="333" t="str">
        <f t="shared" si="19"/>
        <v/>
      </c>
      <c r="L198" s="333" t="str">
        <f t="shared" si="20"/>
        <v/>
      </c>
      <c r="M198" s="333" t="str">
        <f t="shared" si="25"/>
        <v/>
      </c>
      <c r="N198" s="333">
        <f t="shared" si="22"/>
        <v>108</v>
      </c>
    </row>
    <row r="199" spans="1:14" ht="13.5" customHeight="1" x14ac:dyDescent="0.25">
      <c r="A199" s="332" t="str">
        <f t="shared" si="17"/>
        <v>Auxiliar4</v>
      </c>
      <c r="B199" s="332"/>
      <c r="C199" s="174"/>
      <c r="D199" s="332" t="str">
        <f t="shared" si="23"/>
        <v>AA109</v>
      </c>
      <c r="E199" s="332" t="str">
        <f>IF(N199="",IF(J199="j",_xlfn.CONCAT("Load"," ",filename_cont,"1.sim"),IF(K199="k",_xlfn.CONCAT("Load"," ",Data!W57,".sim"),"")),"Get Data")</f>
        <v>Get Data</v>
      </c>
      <c r="F199" s="88" t="str">
        <f>CVD_Script_Table!$H$25</f>
        <v>Line</v>
      </c>
      <c r="G199" s="332"/>
      <c r="H199" s="332"/>
      <c r="I199" s="332" t="str">
        <f t="shared" si="24"/>
        <v>attachmenttype[109]</v>
      </c>
      <c r="J199" s="333">
        <f t="shared" si="18"/>
        <v>109</v>
      </c>
      <c r="K199" s="333" t="str">
        <f t="shared" si="19"/>
        <v/>
      </c>
      <c r="L199" s="333" t="str">
        <f t="shared" si="20"/>
        <v/>
      </c>
      <c r="M199" s="333" t="str">
        <f t="shared" si="25"/>
        <v/>
      </c>
      <c r="N199" s="333">
        <f t="shared" si="22"/>
        <v>109</v>
      </c>
    </row>
    <row r="200" spans="1:14" ht="13.5" customHeight="1" x14ac:dyDescent="0.25">
      <c r="A200" s="332" t="str">
        <f t="shared" si="17"/>
        <v>Auxiliar4</v>
      </c>
      <c r="B200" s="332"/>
      <c r="C200" s="174"/>
      <c r="D200" s="332" t="str">
        <f t="shared" si="23"/>
        <v>AA110</v>
      </c>
      <c r="E200" s="332" t="str">
        <f>IF(N200="",IF(J200="j",_xlfn.CONCAT("Load"," ",filename_cont,"1.sim"),IF(K200="k",_xlfn.CONCAT("Load"," ",Data!W57,".sim"),"")),"Get Data")</f>
        <v>Get Data</v>
      </c>
      <c r="F200" s="88" t="str">
        <f>CVD_Script_Table!$H$25</f>
        <v>Line</v>
      </c>
      <c r="G200" s="332"/>
      <c r="H200" s="332"/>
      <c r="I200" s="332" t="str">
        <f t="shared" si="24"/>
        <v>attachmenttype[110]</v>
      </c>
      <c r="J200" s="333">
        <f t="shared" si="18"/>
        <v>110</v>
      </c>
      <c r="K200" s="333" t="str">
        <f t="shared" si="19"/>
        <v/>
      </c>
      <c r="L200" s="333" t="str">
        <f t="shared" si="20"/>
        <v/>
      </c>
      <c r="M200" s="333" t="str">
        <f t="shared" si="25"/>
        <v/>
      </c>
      <c r="N200" s="333">
        <f t="shared" si="22"/>
        <v>110</v>
      </c>
    </row>
    <row r="201" spans="1:14" ht="13.5" customHeight="1" x14ac:dyDescent="0.25">
      <c r="A201" s="332" t="str">
        <f t="shared" si="17"/>
        <v>Auxiliar4</v>
      </c>
      <c r="B201" s="332"/>
      <c r="C201" s="174"/>
      <c r="D201" s="332" t="str">
        <f t="shared" si="23"/>
        <v>AA111</v>
      </c>
      <c r="E201" s="332" t="str">
        <f>IF(N201="",IF(J201="j",_xlfn.CONCAT("Load"," ",filename_cont,"1.sim"),IF(K201="k",_xlfn.CONCAT("Load"," ",Data!W57,".sim"),"")),"Get Data")</f>
        <v>Get Data</v>
      </c>
      <c r="F201" s="88" t="str">
        <f>CVD_Script_Table!$H$25</f>
        <v>Line</v>
      </c>
      <c r="G201" s="332"/>
      <c r="H201" s="332"/>
      <c r="I201" s="332" t="str">
        <f t="shared" si="24"/>
        <v>attachmenttype[111]</v>
      </c>
      <c r="J201" s="333">
        <f t="shared" si="18"/>
        <v>111</v>
      </c>
      <c r="K201" s="333" t="str">
        <f t="shared" si="19"/>
        <v/>
      </c>
      <c r="L201" s="333" t="str">
        <f t="shared" si="20"/>
        <v/>
      </c>
      <c r="M201" s="333" t="str">
        <f t="shared" si="25"/>
        <v/>
      </c>
      <c r="N201" s="333">
        <f t="shared" si="22"/>
        <v>111</v>
      </c>
    </row>
    <row r="202" spans="1:14" ht="13.5" customHeight="1" x14ac:dyDescent="0.25">
      <c r="A202" s="332" t="str">
        <f t="shared" si="17"/>
        <v>Auxiliar4</v>
      </c>
      <c r="B202" s="332"/>
      <c r="C202" s="174"/>
      <c r="D202" s="332" t="str">
        <f t="shared" si="23"/>
        <v>AA112</v>
      </c>
      <c r="E202" s="332" t="str">
        <f>IF(N202="",IF(J202="j",_xlfn.CONCAT("Load"," ",filename_cont,"1.sim"),IF(K202="k",_xlfn.CONCAT("Load"," ",Data!W57,".sim"),"")),"Get Data")</f>
        <v>Get Data</v>
      </c>
      <c r="F202" s="88" t="str">
        <f>CVD_Script_Table!$H$25</f>
        <v>Line</v>
      </c>
      <c r="G202" s="332"/>
      <c r="H202" s="332"/>
      <c r="I202" s="332" t="str">
        <f t="shared" si="24"/>
        <v>attachmenttype[112]</v>
      </c>
      <c r="J202" s="333">
        <f t="shared" si="18"/>
        <v>112</v>
      </c>
      <c r="K202" s="333" t="str">
        <f t="shared" si="19"/>
        <v/>
      </c>
      <c r="L202" s="333" t="str">
        <f t="shared" si="20"/>
        <v/>
      </c>
      <c r="M202" s="333" t="str">
        <f t="shared" si="25"/>
        <v/>
      </c>
      <c r="N202" s="333">
        <f t="shared" si="22"/>
        <v>112</v>
      </c>
    </row>
    <row r="203" spans="1:14" ht="13.5" customHeight="1" x14ac:dyDescent="0.25">
      <c r="A203" s="332" t="str">
        <f t="shared" si="17"/>
        <v>Auxiliar4</v>
      </c>
      <c r="B203" s="332"/>
      <c r="C203" s="174"/>
      <c r="D203" s="332" t="str">
        <f t="shared" si="23"/>
        <v>AA113</v>
      </c>
      <c r="E203" s="332" t="str">
        <f>IF(N203="",IF(J203="j",_xlfn.CONCAT("Load"," ",filename_cont,"1.sim"),IF(K203="k",_xlfn.CONCAT("Load"," ",Data!W57,".sim"),"")),"Get Data")</f>
        <v>Get Data</v>
      </c>
      <c r="F203" s="88" t="str">
        <f>CVD_Script_Table!$H$25</f>
        <v>Line</v>
      </c>
      <c r="G203" s="332"/>
      <c r="H203" s="332"/>
      <c r="I203" s="332" t="str">
        <f t="shared" si="24"/>
        <v>attachmenttype[113]</v>
      </c>
      <c r="J203" s="333">
        <f t="shared" si="18"/>
        <v>113</v>
      </c>
      <c r="K203" s="333" t="str">
        <f t="shared" si="19"/>
        <v/>
      </c>
      <c r="L203" s="333" t="str">
        <f t="shared" si="20"/>
        <v/>
      </c>
      <c r="M203" s="333" t="str">
        <f t="shared" si="25"/>
        <v/>
      </c>
      <c r="N203" s="333">
        <f t="shared" si="22"/>
        <v>113</v>
      </c>
    </row>
    <row r="204" spans="1:14" ht="13.5" customHeight="1" x14ac:dyDescent="0.25">
      <c r="A204" s="332" t="str">
        <f t="shared" si="17"/>
        <v>Auxiliar4</v>
      </c>
      <c r="B204" s="332"/>
      <c r="C204" s="174"/>
      <c r="D204" s="332" t="str">
        <f t="shared" si="23"/>
        <v>AA114</v>
      </c>
      <c r="E204" s="332" t="str">
        <f>IF(N204="",IF(J204="j",_xlfn.CONCAT("Load"," ",filename_cont,"1.sim"),IF(K204="k",_xlfn.CONCAT("Load"," ",Data!W57,".sim"),"")),"Get Data")</f>
        <v>Get Data</v>
      </c>
      <c r="F204" s="88" t="str">
        <f>CVD_Script_Table!$H$25</f>
        <v>Line</v>
      </c>
      <c r="G204" s="332"/>
      <c r="H204" s="332"/>
      <c r="I204" s="332" t="str">
        <f t="shared" si="24"/>
        <v>attachmenttype[114]</v>
      </c>
      <c r="J204" s="333">
        <f t="shared" si="18"/>
        <v>114</v>
      </c>
      <c r="K204" s="333" t="str">
        <f t="shared" si="19"/>
        <v/>
      </c>
      <c r="L204" s="333" t="str">
        <f t="shared" si="20"/>
        <v/>
      </c>
      <c r="M204" s="333" t="str">
        <f t="shared" si="25"/>
        <v/>
      </c>
      <c r="N204" s="333">
        <f t="shared" si="22"/>
        <v>114</v>
      </c>
    </row>
    <row r="205" spans="1:14" ht="13.5" customHeight="1" x14ac:dyDescent="0.25">
      <c r="A205" s="332" t="str">
        <f t="shared" si="17"/>
        <v>Auxiliar4</v>
      </c>
      <c r="B205" s="332"/>
      <c r="C205" s="174"/>
      <c r="D205" s="332" t="str">
        <f t="shared" si="23"/>
        <v>AA115</v>
      </c>
      <c r="E205" s="332" t="str">
        <f>IF(N205="",IF(J205="j",_xlfn.CONCAT("Load"," ",filename_cont,"1.sim"),IF(K205="k",_xlfn.CONCAT("Load"," ",Data!W57,".sim"),"")),"Get Data")</f>
        <v>Get Data</v>
      </c>
      <c r="F205" s="88" t="str">
        <f>CVD_Script_Table!$H$25</f>
        <v>Line</v>
      </c>
      <c r="G205" s="332"/>
      <c r="H205" s="332"/>
      <c r="I205" s="332" t="str">
        <f t="shared" si="24"/>
        <v>attachmenttype[115]</v>
      </c>
      <c r="J205" s="333">
        <f t="shared" si="18"/>
        <v>115</v>
      </c>
      <c r="K205" s="333" t="str">
        <f t="shared" si="19"/>
        <v/>
      </c>
      <c r="L205" s="333" t="str">
        <f t="shared" si="20"/>
        <v/>
      </c>
      <c r="M205" s="333" t="str">
        <f t="shared" si="25"/>
        <v/>
      </c>
      <c r="N205" s="333">
        <f t="shared" si="22"/>
        <v>115</v>
      </c>
    </row>
    <row r="206" spans="1:14" ht="13.5" customHeight="1" x14ac:dyDescent="0.25">
      <c r="A206" s="332" t="str">
        <f t="shared" si="17"/>
        <v>Auxiliar4</v>
      </c>
      <c r="B206" s="332"/>
      <c r="C206" s="174"/>
      <c r="D206" s="332" t="str">
        <f t="shared" si="23"/>
        <v>AA116</v>
      </c>
      <c r="E206" s="332" t="str">
        <f>IF(N206="",IF(J206="j",_xlfn.CONCAT("Load"," ",filename_cont,"1.sim"),IF(K206="k",_xlfn.CONCAT("Load"," ",Data!W57,".sim"),"")),"Get Data")</f>
        <v>Get Data</v>
      </c>
      <c r="F206" s="88" t="str">
        <f>CVD_Script_Table!$H$25</f>
        <v>Line</v>
      </c>
      <c r="G206" s="332"/>
      <c r="H206" s="332"/>
      <c r="I206" s="332" t="str">
        <f t="shared" si="24"/>
        <v>attachmenttype[116]</v>
      </c>
      <c r="J206" s="333">
        <f t="shared" si="18"/>
        <v>116</v>
      </c>
      <c r="K206" s="333" t="str">
        <f t="shared" si="19"/>
        <v/>
      </c>
      <c r="L206" s="333" t="str">
        <f t="shared" si="20"/>
        <v/>
      </c>
      <c r="M206" s="333" t="str">
        <f t="shared" si="25"/>
        <v/>
      </c>
      <c r="N206" s="333">
        <f t="shared" si="22"/>
        <v>116</v>
      </c>
    </row>
    <row r="207" spans="1:14" ht="13.5" customHeight="1" x14ac:dyDescent="0.25">
      <c r="A207" s="332" t="str">
        <f t="shared" si="17"/>
        <v>Auxiliar4</v>
      </c>
      <c r="B207" s="332"/>
      <c r="C207" s="174"/>
      <c r="D207" s="332" t="str">
        <f t="shared" si="23"/>
        <v>AA117</v>
      </c>
      <c r="E207" s="332" t="str">
        <f>IF(N207="",IF(J207="j",_xlfn.CONCAT("Load"," ",filename_cont,"1.sim"),IF(K207="k",_xlfn.CONCAT("Load"," ",Data!W57,".sim"),"")),"Get Data")</f>
        <v>Get Data</v>
      </c>
      <c r="F207" s="88" t="str">
        <f>CVD_Script_Table!$H$25</f>
        <v>Line</v>
      </c>
      <c r="G207" s="332"/>
      <c r="H207" s="332"/>
      <c r="I207" s="332" t="str">
        <f t="shared" si="24"/>
        <v>attachmenttype[117]</v>
      </c>
      <c r="J207" s="333">
        <f t="shared" si="18"/>
        <v>117</v>
      </c>
      <c r="K207" s="333" t="str">
        <f t="shared" si="19"/>
        <v/>
      </c>
      <c r="L207" s="333" t="str">
        <f t="shared" si="20"/>
        <v/>
      </c>
      <c r="M207" s="333" t="str">
        <f t="shared" si="25"/>
        <v/>
      </c>
      <c r="N207" s="333">
        <f t="shared" si="22"/>
        <v>117</v>
      </c>
    </row>
    <row r="208" spans="1:14" ht="13.5" customHeight="1" x14ac:dyDescent="0.25">
      <c r="A208" s="332" t="str">
        <f t="shared" si="17"/>
        <v>Auxiliar4</v>
      </c>
      <c r="B208" s="332"/>
      <c r="C208" s="174"/>
      <c r="D208" s="332" t="str">
        <f t="shared" si="23"/>
        <v>AA118</v>
      </c>
      <c r="E208" s="332" t="str">
        <f>IF(N208="",IF(J208="j",_xlfn.CONCAT("Load"," ",filename_cont,"1.sim"),IF(K208="k",_xlfn.CONCAT("Load"," ",Data!W57,".sim"),"")),"Get Data")</f>
        <v>Get Data</v>
      </c>
      <c r="F208" s="88" t="str">
        <f>CVD_Script_Table!$H$25</f>
        <v>Line</v>
      </c>
      <c r="G208" s="332"/>
      <c r="H208" s="332"/>
      <c r="I208" s="332" t="str">
        <f t="shared" si="24"/>
        <v>attachmenttype[118]</v>
      </c>
      <c r="J208" s="333">
        <f t="shared" si="18"/>
        <v>118</v>
      </c>
      <c r="K208" s="333" t="str">
        <f t="shared" si="19"/>
        <v/>
      </c>
      <c r="L208" s="333" t="str">
        <f t="shared" si="20"/>
        <v/>
      </c>
      <c r="M208" s="333" t="str">
        <f t="shared" si="25"/>
        <v/>
      </c>
      <c r="N208" s="333">
        <f t="shared" si="22"/>
        <v>118</v>
      </c>
    </row>
    <row r="209" spans="1:14" ht="13.5" customHeight="1" x14ac:dyDescent="0.25">
      <c r="A209" s="332" t="str">
        <f t="shared" si="17"/>
        <v>Auxiliar4</v>
      </c>
      <c r="B209" s="332"/>
      <c r="C209" s="174"/>
      <c r="D209" s="332" t="str">
        <f t="shared" si="23"/>
        <v>AA119</v>
      </c>
      <c r="E209" s="332" t="str">
        <f>IF(N209="",IF(J209="j",_xlfn.CONCAT("Load"," ",filename_cont,"1.sim"),IF(K209="k",_xlfn.CONCAT("Load"," ",Data!W57,".sim"),"")),"Get Data")</f>
        <v>Get Data</v>
      </c>
      <c r="F209" s="88" t="str">
        <f>CVD_Script_Table!$H$25</f>
        <v>Line</v>
      </c>
      <c r="G209" s="332"/>
      <c r="H209" s="332"/>
      <c r="I209" s="332" t="str">
        <f t="shared" si="24"/>
        <v>attachmenttype[119]</v>
      </c>
      <c r="J209" s="333">
        <f t="shared" si="18"/>
        <v>119</v>
      </c>
      <c r="K209" s="333" t="str">
        <f t="shared" si="19"/>
        <v/>
      </c>
      <c r="L209" s="333" t="str">
        <f t="shared" si="20"/>
        <v/>
      </c>
      <c r="M209" s="333" t="str">
        <f t="shared" si="25"/>
        <v/>
      </c>
      <c r="N209" s="333">
        <f t="shared" si="22"/>
        <v>119</v>
      </c>
    </row>
    <row r="210" spans="1:14" ht="13.5" customHeight="1" x14ac:dyDescent="0.25">
      <c r="A210" s="332" t="str">
        <f t="shared" si="17"/>
        <v>Auxiliar4</v>
      </c>
      <c r="B210" s="332"/>
      <c r="C210" s="174"/>
      <c r="D210" s="332" t="str">
        <f t="shared" si="23"/>
        <v>AA120</v>
      </c>
      <c r="E210" s="332" t="str">
        <f>IF(N210="",IF(J210="j",_xlfn.CONCAT("Load"," ",filename_cont,"1.sim"),IF(K210="k",_xlfn.CONCAT("Load"," ",Data!W57,".sim"),"")),"Get Data")</f>
        <v>Get Data</v>
      </c>
      <c r="F210" s="88" t="str">
        <f>CVD_Script_Table!$H$25</f>
        <v>Line</v>
      </c>
      <c r="G210" s="332"/>
      <c r="H210" s="332"/>
      <c r="I210" s="332" t="str">
        <f t="shared" si="24"/>
        <v>attachmenttype[120]</v>
      </c>
      <c r="J210" s="333">
        <f t="shared" si="18"/>
        <v>120</v>
      </c>
      <c r="K210" s="333" t="str">
        <f t="shared" si="19"/>
        <v/>
      </c>
      <c r="L210" s="333" t="str">
        <f t="shared" si="20"/>
        <v/>
      </c>
      <c r="M210" s="333" t="str">
        <f t="shared" si="25"/>
        <v/>
      </c>
      <c r="N210" s="333">
        <f t="shared" si="22"/>
        <v>120</v>
      </c>
    </row>
    <row r="211" spans="1:14" ht="13.5" customHeight="1" x14ac:dyDescent="0.25">
      <c r="A211" s="332" t="str">
        <f t="shared" si="17"/>
        <v>Auxiliar4</v>
      </c>
      <c r="B211" s="332"/>
      <c r="C211" s="174"/>
      <c r="D211" s="332" t="str">
        <f t="shared" si="23"/>
        <v>AA121</v>
      </c>
      <c r="E211" s="332" t="str">
        <f>IF(N211="",IF(J211="j",_xlfn.CONCAT("Load"," ",filename_cont,"1.sim"),IF(K211="k",_xlfn.CONCAT("Load"," ",Data!W57,".sim"),"")),"Get Data")</f>
        <v>Get Data</v>
      </c>
      <c r="F211" s="88" t="str">
        <f>CVD_Script_Table!$H$25</f>
        <v>Line</v>
      </c>
      <c r="G211" s="332"/>
      <c r="H211" s="332"/>
      <c r="I211" s="332" t="str">
        <f t="shared" si="24"/>
        <v>attachmenttype[121]</v>
      </c>
      <c r="J211" s="333">
        <f t="shared" si="18"/>
        <v>121</v>
      </c>
      <c r="K211" s="333" t="str">
        <f t="shared" si="19"/>
        <v/>
      </c>
      <c r="L211" s="333" t="str">
        <f t="shared" si="20"/>
        <v/>
      </c>
      <c r="M211" s="333" t="str">
        <f t="shared" si="25"/>
        <v/>
      </c>
      <c r="N211" s="333">
        <f t="shared" si="22"/>
        <v>121</v>
      </c>
    </row>
    <row r="212" spans="1:14" ht="13.5" customHeight="1" x14ac:dyDescent="0.25">
      <c r="A212" s="332" t="str">
        <f t="shared" si="17"/>
        <v>Auxiliar4</v>
      </c>
      <c r="B212" s="332"/>
      <c r="C212" s="174"/>
      <c r="D212" s="332" t="str">
        <f t="shared" si="23"/>
        <v>AA122</v>
      </c>
      <c r="E212" s="332" t="str">
        <f>IF(N212="",IF(J212="j",_xlfn.CONCAT("Load"," ",filename_cont,"1.sim"),IF(K212="k",_xlfn.CONCAT("Load"," ",Data!W57,".sim"),"")),"Get Data")</f>
        <v>Get Data</v>
      </c>
      <c r="F212" s="88" t="str">
        <f>CVD_Script_Table!$H$25</f>
        <v>Line</v>
      </c>
      <c r="G212" s="332"/>
      <c r="H212" s="332"/>
      <c r="I212" s="332" t="str">
        <f t="shared" si="24"/>
        <v>attachmenttype[122]</v>
      </c>
      <c r="J212" s="333">
        <f t="shared" si="18"/>
        <v>122</v>
      </c>
      <c r="K212" s="333" t="str">
        <f t="shared" si="19"/>
        <v/>
      </c>
      <c r="L212" s="333" t="str">
        <f t="shared" si="20"/>
        <v/>
      </c>
      <c r="M212" s="333" t="str">
        <f t="shared" si="25"/>
        <v/>
      </c>
      <c r="N212" s="333">
        <f t="shared" si="22"/>
        <v>122</v>
      </c>
    </row>
    <row r="213" spans="1:14" ht="13.5" customHeight="1" x14ac:dyDescent="0.25">
      <c r="A213" s="332" t="str">
        <f t="shared" si="17"/>
        <v>Auxiliar4</v>
      </c>
      <c r="B213" s="332"/>
      <c r="C213" s="174"/>
      <c r="D213" s="332" t="str">
        <f t="shared" si="23"/>
        <v>AA123</v>
      </c>
      <c r="E213" s="332" t="str">
        <f>IF(N213="",IF(J213="j",_xlfn.CONCAT("Load"," ",filename_cont,"1.sim"),IF(K213="k",_xlfn.CONCAT("Load"," ",Data!W57,".sim"),"")),"Get Data")</f>
        <v>Get Data</v>
      </c>
      <c r="F213" s="88" t="str">
        <f>CVD_Script_Table!$H$25</f>
        <v>Line</v>
      </c>
      <c r="G213" s="332"/>
      <c r="H213" s="332"/>
      <c r="I213" s="332" t="str">
        <f t="shared" si="24"/>
        <v>attachmenttype[123]</v>
      </c>
      <c r="J213" s="333">
        <f t="shared" si="18"/>
        <v>123</v>
      </c>
      <c r="K213" s="333" t="str">
        <f t="shared" si="19"/>
        <v/>
      </c>
      <c r="L213" s="333" t="str">
        <f t="shared" si="20"/>
        <v/>
      </c>
      <c r="M213" s="333" t="str">
        <f t="shared" si="25"/>
        <v/>
      </c>
      <c r="N213" s="333">
        <f t="shared" si="22"/>
        <v>123</v>
      </c>
    </row>
    <row r="214" spans="1:14" ht="13.5" customHeight="1" x14ac:dyDescent="0.25">
      <c r="A214" s="332" t="str">
        <f t="shared" si="17"/>
        <v>Auxiliar4</v>
      </c>
      <c r="B214" s="332"/>
      <c r="C214" s="174"/>
      <c r="D214" s="332" t="str">
        <f t="shared" si="23"/>
        <v>AA124</v>
      </c>
      <c r="E214" s="332" t="str">
        <f>IF(N214="",IF(J214="j",_xlfn.CONCAT("Load"," ",filename_cont,"1.sim"),IF(K214="k",_xlfn.CONCAT("Load"," ",Data!W57,".sim"),"")),"Get Data")</f>
        <v>Get Data</v>
      </c>
      <c r="F214" s="88" t="str">
        <f>CVD_Script_Table!$H$25</f>
        <v>Line</v>
      </c>
      <c r="G214" s="332"/>
      <c r="H214" s="332"/>
      <c r="I214" s="332" t="str">
        <f t="shared" si="24"/>
        <v>attachmenttype[124]</v>
      </c>
      <c r="J214" s="333">
        <f t="shared" si="18"/>
        <v>124</v>
      </c>
      <c r="K214" s="333" t="str">
        <f t="shared" si="19"/>
        <v/>
      </c>
      <c r="L214" s="333" t="str">
        <f t="shared" si="20"/>
        <v/>
      </c>
      <c r="M214" s="333" t="str">
        <f t="shared" si="25"/>
        <v/>
      </c>
      <c r="N214" s="333">
        <f t="shared" si="22"/>
        <v>124</v>
      </c>
    </row>
    <row r="215" spans="1:14" ht="13.5" customHeight="1" x14ac:dyDescent="0.25">
      <c r="A215" s="332" t="str">
        <f t="shared" si="17"/>
        <v>Auxiliar4</v>
      </c>
      <c r="B215" s="332"/>
      <c r="C215" s="174"/>
      <c r="D215" s="332" t="str">
        <f t="shared" si="23"/>
        <v>AA125</v>
      </c>
      <c r="E215" s="332" t="str">
        <f>IF(N215="",IF(J215="j",_xlfn.CONCAT("Load"," ",filename_cont,"1.sim"),IF(K215="k",_xlfn.CONCAT("Load"," ",Data!W57,".sim"),"")),"Get Data")</f>
        <v>Get Data</v>
      </c>
      <c r="F215" s="88" t="str">
        <f>CVD_Script_Table!$H$25</f>
        <v>Line</v>
      </c>
      <c r="G215" s="332"/>
      <c r="H215" s="332"/>
      <c r="I215" s="332" t="str">
        <f t="shared" si="24"/>
        <v>attachmenttype[125]</v>
      </c>
      <c r="J215" s="333">
        <f t="shared" si="18"/>
        <v>125</v>
      </c>
      <c r="K215" s="333" t="str">
        <f t="shared" si="19"/>
        <v/>
      </c>
      <c r="L215" s="333" t="str">
        <f t="shared" si="20"/>
        <v/>
      </c>
      <c r="M215" s="333" t="str">
        <f t="shared" si="25"/>
        <v/>
      </c>
      <c r="N215" s="333">
        <f t="shared" si="22"/>
        <v>125</v>
      </c>
    </row>
    <row r="216" spans="1:14" ht="13.5" customHeight="1" x14ac:dyDescent="0.25">
      <c r="A216" s="332" t="str">
        <f t="shared" si="17"/>
        <v>Auxiliar4</v>
      </c>
      <c r="B216" s="332"/>
      <c r="C216" s="174"/>
      <c r="D216" s="332" t="str">
        <f t="shared" si="23"/>
        <v>AA126</v>
      </c>
      <c r="E216" s="332" t="str">
        <f>IF(N216="",IF(J216="j",_xlfn.CONCAT("Load"," ",filename_cont,"1.sim"),IF(K216="k",_xlfn.CONCAT("Load"," ",Data!W57,".sim"),"")),"Get Data")</f>
        <v>Get Data</v>
      </c>
      <c r="F216" s="88" t="str">
        <f>CVD_Script_Table!$H$25</f>
        <v>Line</v>
      </c>
      <c r="G216" s="332"/>
      <c r="H216" s="332"/>
      <c r="I216" s="332" t="str">
        <f t="shared" si="24"/>
        <v>attachmenttype[126]</v>
      </c>
      <c r="J216" s="333">
        <f t="shared" si="18"/>
        <v>126</v>
      </c>
      <c r="K216" s="333" t="str">
        <f t="shared" si="19"/>
        <v/>
      </c>
      <c r="L216" s="333" t="str">
        <f t="shared" si="20"/>
        <v/>
      </c>
      <c r="M216" s="333" t="str">
        <f t="shared" si="25"/>
        <v/>
      </c>
      <c r="N216" s="333">
        <f t="shared" si="22"/>
        <v>126</v>
      </c>
    </row>
    <row r="217" spans="1:14" ht="13.5" customHeight="1" x14ac:dyDescent="0.25">
      <c r="A217" s="332" t="str">
        <f t="shared" si="17"/>
        <v>Auxiliar4</v>
      </c>
      <c r="B217" s="332"/>
      <c r="C217" s="174"/>
      <c r="D217" s="332" t="str">
        <f t="shared" si="23"/>
        <v>AA127</v>
      </c>
      <c r="E217" s="332" t="str">
        <f>IF(N217="",IF(J217="j",_xlfn.CONCAT("Load"," ",filename_cont,"1.sim"),IF(K217="k",_xlfn.CONCAT("Load"," ",Data!W57,".sim"),"")),"Get Data")</f>
        <v>Get Data</v>
      </c>
      <c r="F217" s="88" t="str">
        <f>CVD_Script_Table!$H$25</f>
        <v>Line</v>
      </c>
      <c r="G217" s="332"/>
      <c r="H217" s="332"/>
      <c r="I217" s="332" t="str">
        <f t="shared" si="24"/>
        <v>attachmenttype[127]</v>
      </c>
      <c r="J217" s="333">
        <f t="shared" si="18"/>
        <v>127</v>
      </c>
      <c r="K217" s="333" t="str">
        <f t="shared" si="19"/>
        <v/>
      </c>
      <c r="L217" s="333" t="str">
        <f t="shared" si="20"/>
        <v/>
      </c>
      <c r="M217" s="333" t="str">
        <f t="shared" si="25"/>
        <v/>
      </c>
      <c r="N217" s="333">
        <f t="shared" si="22"/>
        <v>127</v>
      </c>
    </row>
    <row r="218" spans="1:14" ht="13.5" customHeight="1" x14ac:dyDescent="0.25">
      <c r="A218" s="332" t="str">
        <f t="shared" si="17"/>
        <v>Auxiliar4</v>
      </c>
      <c r="B218" s="332"/>
      <c r="C218" s="174"/>
      <c r="D218" s="332" t="str">
        <f t="shared" si="23"/>
        <v>AA128</v>
      </c>
      <c r="E218" s="332" t="str">
        <f>IF(N218="",IF(J218="j",_xlfn.CONCAT("Load"," ",filename_cont,"1.sim"),IF(K218="k",_xlfn.CONCAT("Load"," ",Data!W57,".sim"),"")),"Get Data")</f>
        <v>Get Data</v>
      </c>
      <c r="F218" s="88" t="str">
        <f>CVD_Script_Table!$H$25</f>
        <v>Line</v>
      </c>
      <c r="G218" s="332"/>
      <c r="H218" s="332"/>
      <c r="I218" s="332" t="str">
        <f t="shared" si="24"/>
        <v>attachmenttype[128]</v>
      </c>
      <c r="J218" s="333">
        <f t="shared" si="18"/>
        <v>128</v>
      </c>
      <c r="K218" s="333" t="str">
        <f t="shared" si="19"/>
        <v/>
      </c>
      <c r="L218" s="333" t="str">
        <f t="shared" si="20"/>
        <v/>
      </c>
      <c r="M218" s="333" t="str">
        <f t="shared" si="25"/>
        <v/>
      </c>
      <c r="N218" s="333">
        <f t="shared" si="22"/>
        <v>128</v>
      </c>
    </row>
    <row r="219" spans="1:14" ht="13.5" customHeight="1" x14ac:dyDescent="0.25">
      <c r="A219" s="332" t="str">
        <f t="shared" ref="A219:A282" si="26">IF(N219="","",IF(ISNUMBER(J219),"Auxiliar4",IF(ISNUMBER(K219),"Auxiliar3",IF(ISNUMBER(L219),"Auxiliar2",IF(ISNUMBER(M219),"Auxiliar2")))))</f>
        <v>Auxiliar4</v>
      </c>
      <c r="B219" s="332"/>
      <c r="C219" s="174"/>
      <c r="D219" s="332" t="str">
        <f t="shared" si="23"/>
        <v>AA129</v>
      </c>
      <c r="E219" s="332" t="str">
        <f>IF(N219="",IF(J219="j",_xlfn.CONCAT("Load"," ",filename_cont,"1.sim"),IF(K219="k",_xlfn.CONCAT("Load"," ",Data!W57,".sim"),"")),"Get Data")</f>
        <v>Get Data</v>
      </c>
      <c r="F219" s="88" t="str">
        <f>CVD_Script_Table!$H$25</f>
        <v>Line</v>
      </c>
      <c r="G219" s="332"/>
      <c r="H219" s="332"/>
      <c r="I219" s="332" t="str">
        <f t="shared" si="24"/>
        <v>attachmenttype[129]</v>
      </c>
      <c r="J219" s="333">
        <f t="shared" ref="J219:J282" si="27">IFERROR(IF(J218="",J$9+1,IF(J218=J$88,"j",J218+1)),"jj")</f>
        <v>129</v>
      </c>
      <c r="K219" s="333" t="str">
        <f t="shared" ref="K219:K282" si="28">IF((J219="jj"),IFERROR(IF(K218="",J$9+1,IF(K218=J$80,"k",K218+1)),"kk"),"")</f>
        <v/>
      </c>
      <c r="L219" s="333" t="str">
        <f t="shared" ref="L219:L282" si="29">IF((K219="kk"),IFERROR(IF(L218="",2,IF(L218=J$9,"l",L218+1)),"ll"),"")</f>
        <v/>
      </c>
      <c r="M219" s="333" t="str">
        <f t="shared" ref="M219:M250" si="30">IF(OR(L219="l",L219="ll"),IFERROR(IF(M218="",2,IF(M218=J$9,"m",M218+1)),"mm"),"")</f>
        <v/>
      </c>
      <c r="N219" s="333">
        <f t="shared" ref="N219:N282" si="31">IF(ISNUMBER(M219),"z",IF(ISNUMBER(L219),L219,IF(ISNUMBER(K219),K219,IF(ISNUMBER(J219),J219,""))))</f>
        <v>129</v>
      </c>
    </row>
    <row r="220" spans="1:14" ht="13.5" customHeight="1" x14ac:dyDescent="0.25">
      <c r="A220" s="332" t="str">
        <f t="shared" si="26"/>
        <v>Auxiliar4</v>
      </c>
      <c r="B220" s="332"/>
      <c r="C220" s="174"/>
      <c r="D220" s="332" t="str">
        <f t="shared" ref="D220:D268" si="32">IF(N220="z",CONCATENATE("AB",M220),IF(N220="","",CONCATENATE("AA",N220)))</f>
        <v>AA130</v>
      </c>
      <c r="E220" s="332" t="str">
        <f>IF(N220="",IF(J220="j",_xlfn.CONCAT("Load"," ",filename_cont,"1.sim"),IF(K220="k",_xlfn.CONCAT("Load"," ",Data!W57,".sim"),"")),"Get Data")</f>
        <v>Get Data</v>
      </c>
      <c r="F220" s="88" t="str">
        <f>CVD_Script_Table!$H$25</f>
        <v>Line</v>
      </c>
      <c r="G220" s="332"/>
      <c r="H220" s="332"/>
      <c r="I220" s="332" t="str">
        <f t="shared" ref="I220:I268" si="33">IF(N220="z",CONCATENATE("attachmentz[",M220,"]"),IF(N220="","",CONCATENATE("attachmenttype[",N220,"]")))</f>
        <v>attachmenttype[130]</v>
      </c>
      <c r="J220" s="333">
        <f t="shared" si="27"/>
        <v>130</v>
      </c>
      <c r="K220" s="333" t="str">
        <f t="shared" si="28"/>
        <v/>
      </c>
      <c r="L220" s="333" t="str">
        <f t="shared" si="29"/>
        <v/>
      </c>
      <c r="M220" s="333" t="str">
        <f t="shared" si="30"/>
        <v/>
      </c>
      <c r="N220" s="333">
        <f t="shared" si="31"/>
        <v>130</v>
      </c>
    </row>
    <row r="221" spans="1:14" ht="13.5" customHeight="1" x14ac:dyDescent="0.25">
      <c r="A221" s="332" t="str">
        <f t="shared" si="26"/>
        <v>Auxiliar4</v>
      </c>
      <c r="B221" s="332"/>
      <c r="C221" s="174"/>
      <c r="D221" s="332" t="str">
        <f t="shared" si="32"/>
        <v>AA131</v>
      </c>
      <c r="E221" s="332" t="str">
        <f>IF(N221="",IF(J221="j",_xlfn.CONCAT("Load"," ",filename_cont,"1.sim"),IF(K221="k",_xlfn.CONCAT("Load"," ",Data!W57,".sim"),"")),"Get Data")</f>
        <v>Get Data</v>
      </c>
      <c r="F221" s="88" t="str">
        <f>CVD_Script_Table!$H$25</f>
        <v>Line</v>
      </c>
      <c r="G221" s="332"/>
      <c r="H221" s="332"/>
      <c r="I221" s="332" t="str">
        <f t="shared" si="33"/>
        <v>attachmenttype[131]</v>
      </c>
      <c r="J221" s="333">
        <f t="shared" si="27"/>
        <v>131</v>
      </c>
      <c r="K221" s="333" t="str">
        <f t="shared" si="28"/>
        <v/>
      </c>
      <c r="L221" s="333" t="str">
        <f t="shared" si="29"/>
        <v/>
      </c>
      <c r="M221" s="333" t="str">
        <f t="shared" si="30"/>
        <v/>
      </c>
      <c r="N221" s="333">
        <f t="shared" si="31"/>
        <v>131</v>
      </c>
    </row>
    <row r="222" spans="1:14" ht="13.5" customHeight="1" x14ac:dyDescent="0.25">
      <c r="A222" s="332" t="str">
        <f t="shared" si="26"/>
        <v>Auxiliar4</v>
      </c>
      <c r="B222" s="332"/>
      <c r="C222" s="174"/>
      <c r="D222" s="332" t="str">
        <f t="shared" si="32"/>
        <v>AA132</v>
      </c>
      <c r="E222" s="332" t="str">
        <f>IF(N222="",IF(J222="j",_xlfn.CONCAT("Load"," ",filename_cont,"1.sim"),IF(K222="k",_xlfn.CONCAT("Load"," ",Data!W57,".sim"),"")),"Get Data")</f>
        <v>Get Data</v>
      </c>
      <c r="F222" s="88" t="str">
        <f>CVD_Script_Table!$H$25</f>
        <v>Line</v>
      </c>
      <c r="G222" s="332"/>
      <c r="H222" s="332"/>
      <c r="I222" s="332" t="str">
        <f t="shared" si="33"/>
        <v>attachmenttype[132]</v>
      </c>
      <c r="J222" s="333">
        <f t="shared" si="27"/>
        <v>132</v>
      </c>
      <c r="K222" s="333" t="str">
        <f t="shared" si="28"/>
        <v/>
      </c>
      <c r="L222" s="333" t="str">
        <f t="shared" si="29"/>
        <v/>
      </c>
      <c r="M222" s="333" t="str">
        <f t="shared" si="30"/>
        <v/>
      </c>
      <c r="N222" s="333">
        <f t="shared" si="31"/>
        <v>132</v>
      </c>
    </row>
    <row r="223" spans="1:14" ht="13.5" customHeight="1" x14ac:dyDescent="0.25">
      <c r="A223" s="332" t="str">
        <f t="shared" si="26"/>
        <v>Auxiliar4</v>
      </c>
      <c r="B223" s="332"/>
      <c r="C223" s="174"/>
      <c r="D223" s="332" t="str">
        <f t="shared" si="32"/>
        <v>AA133</v>
      </c>
      <c r="E223" s="332" t="str">
        <f>IF(N223="",IF(J223="j",_xlfn.CONCAT("Load"," ",filename_cont,"1.sim"),IF(K223="k",_xlfn.CONCAT("Load"," ",Data!W57,".sim"),"")),"Get Data")</f>
        <v>Get Data</v>
      </c>
      <c r="F223" s="88" t="str">
        <f>CVD_Script_Table!$H$25</f>
        <v>Line</v>
      </c>
      <c r="G223" s="332"/>
      <c r="H223" s="332"/>
      <c r="I223" s="332" t="str">
        <f t="shared" si="33"/>
        <v>attachmenttype[133]</v>
      </c>
      <c r="J223" s="333">
        <f t="shared" si="27"/>
        <v>133</v>
      </c>
      <c r="K223" s="333" t="str">
        <f t="shared" si="28"/>
        <v/>
      </c>
      <c r="L223" s="333" t="str">
        <f t="shared" si="29"/>
        <v/>
      </c>
      <c r="M223" s="333" t="str">
        <f t="shared" si="30"/>
        <v/>
      </c>
      <c r="N223" s="333">
        <f t="shared" si="31"/>
        <v>133</v>
      </c>
    </row>
    <row r="224" spans="1:14" ht="13.5" customHeight="1" x14ac:dyDescent="0.25">
      <c r="A224" s="332" t="str">
        <f t="shared" si="26"/>
        <v>Auxiliar4</v>
      </c>
      <c r="B224" s="332"/>
      <c r="C224" s="174"/>
      <c r="D224" s="332" t="str">
        <f t="shared" si="32"/>
        <v>AA134</v>
      </c>
      <c r="E224" s="332" t="str">
        <f>IF(N224="",IF(J224="j",_xlfn.CONCAT("Load"," ",filename_cont,"1.sim"),IF(K224="k",_xlfn.CONCAT("Load"," ",Data!W57,".sim"),"")),"Get Data")</f>
        <v>Get Data</v>
      </c>
      <c r="F224" s="88" t="str">
        <f>CVD_Script_Table!$H$25</f>
        <v>Line</v>
      </c>
      <c r="G224" s="332"/>
      <c r="H224" s="332"/>
      <c r="I224" s="332" t="str">
        <f t="shared" si="33"/>
        <v>attachmenttype[134]</v>
      </c>
      <c r="J224" s="333">
        <f t="shared" si="27"/>
        <v>134</v>
      </c>
      <c r="K224" s="333" t="str">
        <f t="shared" si="28"/>
        <v/>
      </c>
      <c r="L224" s="333" t="str">
        <f t="shared" si="29"/>
        <v/>
      </c>
      <c r="M224" s="333" t="str">
        <f t="shared" si="30"/>
        <v/>
      </c>
      <c r="N224" s="333">
        <f t="shared" si="31"/>
        <v>134</v>
      </c>
    </row>
    <row r="225" spans="1:14" ht="13.5" customHeight="1" x14ac:dyDescent="0.25">
      <c r="A225" s="332" t="str">
        <f t="shared" si="26"/>
        <v>Auxiliar4</v>
      </c>
      <c r="B225" s="332"/>
      <c r="C225" s="174"/>
      <c r="D225" s="332" t="str">
        <f t="shared" si="32"/>
        <v>AA135</v>
      </c>
      <c r="E225" s="332" t="str">
        <f>IF(N225="",IF(J225="j",_xlfn.CONCAT("Load"," ",filename_cont,"1.sim"),IF(K225="k",_xlfn.CONCAT("Load"," ",Data!W57,".sim"),"")),"Get Data")</f>
        <v>Get Data</v>
      </c>
      <c r="F225" s="88" t="str">
        <f>CVD_Script_Table!$H$25</f>
        <v>Line</v>
      </c>
      <c r="G225" s="332"/>
      <c r="H225" s="332"/>
      <c r="I225" s="332" t="str">
        <f t="shared" si="33"/>
        <v>attachmenttype[135]</v>
      </c>
      <c r="J225" s="333">
        <f t="shared" si="27"/>
        <v>135</v>
      </c>
      <c r="K225" s="333" t="str">
        <f t="shared" si="28"/>
        <v/>
      </c>
      <c r="L225" s="333" t="str">
        <f t="shared" si="29"/>
        <v/>
      </c>
      <c r="M225" s="333" t="str">
        <f t="shared" si="30"/>
        <v/>
      </c>
      <c r="N225" s="333">
        <f t="shared" si="31"/>
        <v>135</v>
      </c>
    </row>
    <row r="226" spans="1:14" ht="13.5" customHeight="1" x14ac:dyDescent="0.25">
      <c r="A226" s="332" t="str">
        <f t="shared" si="26"/>
        <v>Auxiliar4</v>
      </c>
      <c r="B226" s="332"/>
      <c r="C226" s="174"/>
      <c r="D226" s="332" t="str">
        <f t="shared" si="32"/>
        <v>AA136</v>
      </c>
      <c r="E226" s="332" t="str">
        <f>IF(N226="",IF(J226="j",_xlfn.CONCAT("Load"," ",filename_cont,"1.sim"),IF(K226="k",_xlfn.CONCAT("Load"," ",Data!W57,".sim"),"")),"Get Data")</f>
        <v>Get Data</v>
      </c>
      <c r="F226" s="88" t="str">
        <f>CVD_Script_Table!$H$25</f>
        <v>Line</v>
      </c>
      <c r="G226" s="332"/>
      <c r="H226" s="332"/>
      <c r="I226" s="332" t="str">
        <f t="shared" si="33"/>
        <v>attachmenttype[136]</v>
      </c>
      <c r="J226" s="333">
        <f t="shared" si="27"/>
        <v>136</v>
      </c>
      <c r="K226" s="333" t="str">
        <f t="shared" si="28"/>
        <v/>
      </c>
      <c r="L226" s="333" t="str">
        <f t="shared" si="29"/>
        <v/>
      </c>
      <c r="M226" s="333" t="str">
        <f t="shared" si="30"/>
        <v/>
      </c>
      <c r="N226" s="333">
        <f t="shared" si="31"/>
        <v>136</v>
      </c>
    </row>
    <row r="227" spans="1:14" ht="13.5" customHeight="1" x14ac:dyDescent="0.25">
      <c r="A227" s="332" t="str">
        <f t="shared" si="26"/>
        <v>Auxiliar4</v>
      </c>
      <c r="B227" s="332"/>
      <c r="C227" s="174"/>
      <c r="D227" s="332" t="str">
        <f t="shared" si="32"/>
        <v>AA137</v>
      </c>
      <c r="E227" s="332" t="str">
        <f>IF(N227="",IF(J227="j",_xlfn.CONCAT("Load"," ",filename_cont,"1.sim"),IF(K227="k",_xlfn.CONCAT("Load"," ",Data!W57,".sim"),"")),"Get Data")</f>
        <v>Get Data</v>
      </c>
      <c r="F227" s="88" t="str">
        <f>CVD_Script_Table!$H$25</f>
        <v>Line</v>
      </c>
      <c r="G227" s="332"/>
      <c r="H227" s="332"/>
      <c r="I227" s="332" t="str">
        <f t="shared" si="33"/>
        <v>attachmenttype[137]</v>
      </c>
      <c r="J227" s="333">
        <f t="shared" si="27"/>
        <v>137</v>
      </c>
      <c r="K227" s="333" t="str">
        <f t="shared" si="28"/>
        <v/>
      </c>
      <c r="L227" s="333" t="str">
        <f t="shared" si="29"/>
        <v/>
      </c>
      <c r="M227" s="333" t="str">
        <f t="shared" si="30"/>
        <v/>
      </c>
      <c r="N227" s="333">
        <f t="shared" si="31"/>
        <v>137</v>
      </c>
    </row>
    <row r="228" spans="1:14" ht="13.5" customHeight="1" x14ac:dyDescent="0.25">
      <c r="A228" s="332" t="str">
        <f t="shared" si="26"/>
        <v>Auxiliar4</v>
      </c>
      <c r="B228" s="332"/>
      <c r="C228" s="174"/>
      <c r="D228" s="332" t="str">
        <f t="shared" si="32"/>
        <v>AA138</v>
      </c>
      <c r="E228" s="332" t="str">
        <f>IF(N228="",IF(J228="j",_xlfn.CONCAT("Load"," ",filename_cont,"1.sim"),IF(K228="k",_xlfn.CONCAT("Load"," ",Data!W57,".sim"),"")),"Get Data")</f>
        <v>Get Data</v>
      </c>
      <c r="F228" s="88" t="str">
        <f>CVD_Script_Table!$H$25</f>
        <v>Line</v>
      </c>
      <c r="G228" s="332"/>
      <c r="H228" s="332"/>
      <c r="I228" s="332" t="str">
        <f t="shared" si="33"/>
        <v>attachmenttype[138]</v>
      </c>
      <c r="J228" s="333">
        <f t="shared" si="27"/>
        <v>138</v>
      </c>
      <c r="K228" s="333" t="str">
        <f t="shared" si="28"/>
        <v/>
      </c>
      <c r="L228" s="333" t="str">
        <f t="shared" si="29"/>
        <v/>
      </c>
      <c r="M228" s="333" t="str">
        <f t="shared" si="30"/>
        <v/>
      </c>
      <c r="N228" s="333">
        <f t="shared" si="31"/>
        <v>138</v>
      </c>
    </row>
    <row r="229" spans="1:14" ht="13.5" customHeight="1" x14ac:dyDescent="0.25">
      <c r="A229" s="332" t="str">
        <f t="shared" si="26"/>
        <v>Auxiliar4</v>
      </c>
      <c r="B229" s="332"/>
      <c r="C229" s="174"/>
      <c r="D229" s="332" t="str">
        <f t="shared" si="32"/>
        <v>AA139</v>
      </c>
      <c r="E229" s="332" t="str">
        <f>IF(N229="",IF(J229="j",_xlfn.CONCAT("Load"," ",filename_cont,"1.sim"),IF(K229="k",_xlfn.CONCAT("Load"," ",Data!W57,".sim"),"")),"Get Data")</f>
        <v>Get Data</v>
      </c>
      <c r="F229" s="88" t="str">
        <f>CVD_Script_Table!$H$25</f>
        <v>Line</v>
      </c>
      <c r="G229" s="332"/>
      <c r="H229" s="332"/>
      <c r="I229" s="332" t="str">
        <f t="shared" si="33"/>
        <v>attachmenttype[139]</v>
      </c>
      <c r="J229" s="333">
        <f t="shared" si="27"/>
        <v>139</v>
      </c>
      <c r="K229" s="333" t="str">
        <f t="shared" si="28"/>
        <v/>
      </c>
      <c r="L229" s="333" t="str">
        <f t="shared" si="29"/>
        <v/>
      </c>
      <c r="M229" s="333" t="str">
        <f t="shared" si="30"/>
        <v/>
      </c>
      <c r="N229" s="333">
        <f t="shared" si="31"/>
        <v>139</v>
      </c>
    </row>
    <row r="230" spans="1:14" ht="13.5" customHeight="1" x14ac:dyDescent="0.25">
      <c r="A230" s="332" t="str">
        <f t="shared" si="26"/>
        <v>Auxiliar4</v>
      </c>
      <c r="B230" s="332"/>
      <c r="C230" s="174"/>
      <c r="D230" s="332" t="str">
        <f t="shared" si="32"/>
        <v>AA140</v>
      </c>
      <c r="E230" s="332" t="str">
        <f>IF(N230="",IF(J230="j",_xlfn.CONCAT("Load"," ",filename_cont,"1.sim"),IF(K230="k",_xlfn.CONCAT("Load"," ",Data!W57,".sim"),"")),"Get Data")</f>
        <v>Get Data</v>
      </c>
      <c r="F230" s="88" t="str">
        <f>CVD_Script_Table!$H$25</f>
        <v>Line</v>
      </c>
      <c r="G230" s="332"/>
      <c r="H230" s="332"/>
      <c r="I230" s="332" t="str">
        <f t="shared" si="33"/>
        <v>attachmenttype[140]</v>
      </c>
      <c r="J230" s="333">
        <f t="shared" si="27"/>
        <v>140</v>
      </c>
      <c r="K230" s="333" t="str">
        <f t="shared" si="28"/>
        <v/>
      </c>
      <c r="L230" s="333" t="str">
        <f t="shared" si="29"/>
        <v/>
      </c>
      <c r="M230" s="333" t="str">
        <f t="shared" si="30"/>
        <v/>
      </c>
      <c r="N230" s="333">
        <f t="shared" si="31"/>
        <v>140</v>
      </c>
    </row>
    <row r="231" spans="1:14" ht="13.5" customHeight="1" x14ac:dyDescent="0.25">
      <c r="A231" s="332" t="str">
        <f t="shared" si="26"/>
        <v>Auxiliar4</v>
      </c>
      <c r="B231" s="332"/>
      <c r="C231" s="174"/>
      <c r="D231" s="332" t="str">
        <f t="shared" si="32"/>
        <v>AA141</v>
      </c>
      <c r="E231" s="332" t="str">
        <f>IF(N231="",IF(J231="j",_xlfn.CONCAT("Load"," ",filename_cont,"1.sim"),IF(K231="k",_xlfn.CONCAT("Load"," ",Data!W57,".sim"),"")),"Get Data")</f>
        <v>Get Data</v>
      </c>
      <c r="F231" s="88" t="str">
        <f>CVD_Script_Table!$H$25</f>
        <v>Line</v>
      </c>
      <c r="G231" s="332"/>
      <c r="H231" s="332"/>
      <c r="I231" s="332" t="str">
        <f t="shared" si="33"/>
        <v>attachmenttype[141]</v>
      </c>
      <c r="J231" s="333">
        <f t="shared" si="27"/>
        <v>141</v>
      </c>
      <c r="K231" s="333" t="str">
        <f t="shared" si="28"/>
        <v/>
      </c>
      <c r="L231" s="333" t="str">
        <f t="shared" si="29"/>
        <v/>
      </c>
      <c r="M231" s="333" t="str">
        <f t="shared" si="30"/>
        <v/>
      </c>
      <c r="N231" s="333">
        <f t="shared" si="31"/>
        <v>141</v>
      </c>
    </row>
    <row r="232" spans="1:14" ht="13.5" customHeight="1" x14ac:dyDescent="0.25">
      <c r="A232" s="332" t="str">
        <f t="shared" si="26"/>
        <v>Auxiliar4</v>
      </c>
      <c r="B232" s="332"/>
      <c r="C232" s="174"/>
      <c r="D232" s="332" t="str">
        <f t="shared" si="32"/>
        <v>AA142</v>
      </c>
      <c r="E232" s="332" t="str">
        <f>IF(N232="",IF(J232="j",_xlfn.CONCAT("Load"," ",filename_cont,"1.sim"),IF(K232="k",_xlfn.CONCAT("Load"," ",Data!W57,".sim"),"")),"Get Data")</f>
        <v>Get Data</v>
      </c>
      <c r="F232" s="88" t="str">
        <f>CVD_Script_Table!$H$25</f>
        <v>Line</v>
      </c>
      <c r="G232" s="332"/>
      <c r="H232" s="332"/>
      <c r="I232" s="332" t="str">
        <f t="shared" si="33"/>
        <v>attachmenttype[142]</v>
      </c>
      <c r="J232" s="333">
        <f t="shared" si="27"/>
        <v>142</v>
      </c>
      <c r="K232" s="333" t="str">
        <f t="shared" si="28"/>
        <v/>
      </c>
      <c r="L232" s="333" t="str">
        <f t="shared" si="29"/>
        <v/>
      </c>
      <c r="M232" s="333" t="str">
        <f t="shared" si="30"/>
        <v/>
      </c>
      <c r="N232" s="333">
        <f t="shared" si="31"/>
        <v>142</v>
      </c>
    </row>
    <row r="233" spans="1:14" ht="13.5" customHeight="1" x14ac:dyDescent="0.25">
      <c r="A233" s="332" t="str">
        <f t="shared" si="26"/>
        <v>Auxiliar4</v>
      </c>
      <c r="B233" s="332"/>
      <c r="C233" s="174"/>
      <c r="D233" s="332" t="str">
        <f t="shared" si="32"/>
        <v>AA143</v>
      </c>
      <c r="E233" s="332" t="str">
        <f>IF(N233="",IF(J233="j",_xlfn.CONCAT("Load"," ",filename_cont,"1.sim"),IF(K233="k",_xlfn.CONCAT("Load"," ",Data!W57,".sim"),"")),"Get Data")</f>
        <v>Get Data</v>
      </c>
      <c r="F233" s="88" t="str">
        <f>CVD_Script_Table!$H$25</f>
        <v>Line</v>
      </c>
      <c r="G233" s="332"/>
      <c r="H233" s="332"/>
      <c r="I233" s="332" t="str">
        <f t="shared" si="33"/>
        <v>attachmenttype[143]</v>
      </c>
      <c r="J233" s="333">
        <f t="shared" si="27"/>
        <v>143</v>
      </c>
      <c r="K233" s="333" t="str">
        <f t="shared" si="28"/>
        <v/>
      </c>
      <c r="L233" s="333" t="str">
        <f t="shared" si="29"/>
        <v/>
      </c>
      <c r="M233" s="333" t="str">
        <f t="shared" si="30"/>
        <v/>
      </c>
      <c r="N233" s="333">
        <f t="shared" si="31"/>
        <v>143</v>
      </c>
    </row>
    <row r="234" spans="1:14" ht="13.5" customHeight="1" x14ac:dyDescent="0.25">
      <c r="A234" s="332" t="str">
        <f t="shared" si="26"/>
        <v>Auxiliar4</v>
      </c>
      <c r="B234" s="332"/>
      <c r="C234" s="174"/>
      <c r="D234" s="332" t="str">
        <f t="shared" si="32"/>
        <v>AA144</v>
      </c>
      <c r="E234" s="332" t="str">
        <f>IF(N234="",IF(J234="j",_xlfn.CONCAT("Load"," ",filename_cont,"1.sim"),IF(K234="k",_xlfn.CONCAT("Load"," ",Data!W57,".sim"),"")),"Get Data")</f>
        <v>Get Data</v>
      </c>
      <c r="F234" s="88" t="str">
        <f>CVD_Script_Table!$H$25</f>
        <v>Line</v>
      </c>
      <c r="G234" s="332"/>
      <c r="H234" s="332"/>
      <c r="I234" s="332" t="str">
        <f t="shared" si="33"/>
        <v>attachmenttype[144]</v>
      </c>
      <c r="J234" s="333">
        <f t="shared" si="27"/>
        <v>144</v>
      </c>
      <c r="K234" s="333" t="str">
        <f t="shared" si="28"/>
        <v/>
      </c>
      <c r="L234" s="333" t="str">
        <f t="shared" si="29"/>
        <v/>
      </c>
      <c r="M234" s="333" t="str">
        <f t="shared" si="30"/>
        <v/>
      </c>
      <c r="N234" s="333">
        <f t="shared" si="31"/>
        <v>144</v>
      </c>
    </row>
    <row r="235" spans="1:14" ht="13.5" customHeight="1" x14ac:dyDescent="0.25">
      <c r="A235" s="332" t="str">
        <f t="shared" si="26"/>
        <v>Auxiliar4</v>
      </c>
      <c r="B235" s="332"/>
      <c r="C235" s="174"/>
      <c r="D235" s="332" t="str">
        <f t="shared" si="32"/>
        <v>AA145</v>
      </c>
      <c r="E235" s="332" t="str">
        <f>IF(N235="",IF(J235="j",_xlfn.CONCAT("Load"," ",filename_cont,"1.sim"),IF(K235="k",_xlfn.CONCAT("Load"," ",Data!W57,".sim"),"")),"Get Data")</f>
        <v>Get Data</v>
      </c>
      <c r="F235" s="88" t="str">
        <f>CVD_Script_Table!$H$25</f>
        <v>Line</v>
      </c>
      <c r="G235" s="332"/>
      <c r="H235" s="332"/>
      <c r="I235" s="332" t="str">
        <f t="shared" si="33"/>
        <v>attachmenttype[145]</v>
      </c>
      <c r="J235" s="333">
        <f t="shared" si="27"/>
        <v>145</v>
      </c>
      <c r="K235" s="333" t="str">
        <f t="shared" si="28"/>
        <v/>
      </c>
      <c r="L235" s="333" t="str">
        <f t="shared" si="29"/>
        <v/>
      </c>
      <c r="M235" s="333" t="str">
        <f t="shared" si="30"/>
        <v/>
      </c>
      <c r="N235" s="333">
        <f t="shared" si="31"/>
        <v>145</v>
      </c>
    </row>
    <row r="236" spans="1:14" ht="13.5" customHeight="1" x14ac:dyDescent="0.25">
      <c r="A236" s="332" t="str">
        <f t="shared" si="26"/>
        <v>Auxiliar4</v>
      </c>
      <c r="B236" s="332"/>
      <c r="C236" s="174"/>
      <c r="D236" s="332" t="str">
        <f t="shared" si="32"/>
        <v>AA146</v>
      </c>
      <c r="E236" s="332" t="str">
        <f>IF(N236="",IF(J236="j",_xlfn.CONCAT("Load"," ",filename_cont,"1.sim"),IF(K236="k",_xlfn.CONCAT("Load"," ",Data!W57,".sim"),"")),"Get Data")</f>
        <v>Get Data</v>
      </c>
      <c r="F236" s="88" t="str">
        <f>CVD_Script_Table!$H$25</f>
        <v>Line</v>
      </c>
      <c r="G236" s="332"/>
      <c r="H236" s="332"/>
      <c r="I236" s="332" t="str">
        <f t="shared" si="33"/>
        <v>attachmenttype[146]</v>
      </c>
      <c r="J236" s="333">
        <f t="shared" si="27"/>
        <v>146</v>
      </c>
      <c r="K236" s="333" t="str">
        <f t="shared" si="28"/>
        <v/>
      </c>
      <c r="L236" s="333" t="str">
        <f t="shared" si="29"/>
        <v/>
      </c>
      <c r="M236" s="333" t="str">
        <f t="shared" si="30"/>
        <v/>
      </c>
      <c r="N236" s="333">
        <f t="shared" si="31"/>
        <v>146</v>
      </c>
    </row>
    <row r="237" spans="1:14" ht="13.5" customHeight="1" x14ac:dyDescent="0.25">
      <c r="A237" s="332" t="str">
        <f t="shared" si="26"/>
        <v>Auxiliar4</v>
      </c>
      <c r="B237" s="332"/>
      <c r="C237" s="174"/>
      <c r="D237" s="332" t="str">
        <f t="shared" si="32"/>
        <v>AA147</v>
      </c>
      <c r="E237" s="332" t="str">
        <f>IF(N237="",IF(J237="j",_xlfn.CONCAT("Load"," ",filename_cont,"1.sim"),IF(K237="k",_xlfn.CONCAT("Load"," ",Data!W57,".sim"),"")),"Get Data")</f>
        <v>Get Data</v>
      </c>
      <c r="F237" s="88" t="str">
        <f>CVD_Script_Table!$H$25</f>
        <v>Line</v>
      </c>
      <c r="G237" s="332"/>
      <c r="H237" s="332"/>
      <c r="I237" s="332" t="str">
        <f t="shared" si="33"/>
        <v>attachmenttype[147]</v>
      </c>
      <c r="J237" s="333">
        <f t="shared" si="27"/>
        <v>147</v>
      </c>
      <c r="K237" s="333" t="str">
        <f t="shared" si="28"/>
        <v/>
      </c>
      <c r="L237" s="333" t="str">
        <f t="shared" si="29"/>
        <v/>
      </c>
      <c r="M237" s="333" t="str">
        <f t="shared" si="30"/>
        <v/>
      </c>
      <c r="N237" s="333">
        <f t="shared" si="31"/>
        <v>147</v>
      </c>
    </row>
    <row r="238" spans="1:14" ht="13.5" customHeight="1" x14ac:dyDescent="0.25">
      <c r="A238" s="332" t="str">
        <f t="shared" si="26"/>
        <v>Auxiliar4</v>
      </c>
      <c r="B238" s="332"/>
      <c r="C238" s="174"/>
      <c r="D238" s="332" t="str">
        <f t="shared" si="32"/>
        <v>AA148</v>
      </c>
      <c r="E238" s="332" t="str">
        <f>IF(N238="",IF(J238="j",_xlfn.CONCAT("Load"," ",filename_cont,"1.sim"),IF(K238="k",_xlfn.CONCAT("Load"," ",Data!W57,".sim"),"")),"Get Data")</f>
        <v>Get Data</v>
      </c>
      <c r="F238" s="88" t="str">
        <f>CVD_Script_Table!$H$25</f>
        <v>Line</v>
      </c>
      <c r="G238" s="332"/>
      <c r="H238" s="332"/>
      <c r="I238" s="332" t="str">
        <f t="shared" si="33"/>
        <v>attachmenttype[148]</v>
      </c>
      <c r="J238" s="333">
        <f t="shared" si="27"/>
        <v>148</v>
      </c>
      <c r="K238" s="333" t="str">
        <f t="shared" si="28"/>
        <v/>
      </c>
      <c r="L238" s="333" t="str">
        <f t="shared" si="29"/>
        <v/>
      </c>
      <c r="M238" s="333" t="str">
        <f t="shared" si="30"/>
        <v/>
      </c>
      <c r="N238" s="333">
        <f t="shared" si="31"/>
        <v>148</v>
      </c>
    </row>
    <row r="239" spans="1:14" ht="13.5" customHeight="1" x14ac:dyDescent="0.25">
      <c r="A239" s="332" t="str">
        <f t="shared" si="26"/>
        <v>Auxiliar4</v>
      </c>
      <c r="B239" s="332"/>
      <c r="C239" s="174"/>
      <c r="D239" s="332" t="str">
        <f t="shared" si="32"/>
        <v>AA149</v>
      </c>
      <c r="E239" s="332" t="str">
        <f>IF(N239="",IF(J239="j",_xlfn.CONCAT("Load"," ",filename_cont,"1.sim"),IF(K239="k",_xlfn.CONCAT("Load"," ",Data!W57,".sim"),"")),"Get Data")</f>
        <v>Get Data</v>
      </c>
      <c r="F239" s="88" t="str">
        <f>CVD_Script_Table!$H$25</f>
        <v>Line</v>
      </c>
      <c r="G239" s="332"/>
      <c r="H239" s="332"/>
      <c r="I239" s="332" t="str">
        <f t="shared" si="33"/>
        <v>attachmenttype[149]</v>
      </c>
      <c r="J239" s="333">
        <f t="shared" si="27"/>
        <v>149</v>
      </c>
      <c r="K239" s="333" t="str">
        <f t="shared" si="28"/>
        <v/>
      </c>
      <c r="L239" s="333" t="str">
        <f t="shared" si="29"/>
        <v/>
      </c>
      <c r="M239" s="333" t="str">
        <f t="shared" si="30"/>
        <v/>
      </c>
      <c r="N239" s="333">
        <f t="shared" si="31"/>
        <v>149</v>
      </c>
    </row>
    <row r="240" spans="1:14" ht="13.5" customHeight="1" x14ac:dyDescent="0.25">
      <c r="A240" s="332" t="str">
        <f t="shared" si="26"/>
        <v>Auxiliar4</v>
      </c>
      <c r="B240" s="332"/>
      <c r="C240" s="174"/>
      <c r="D240" s="332" t="str">
        <f t="shared" si="32"/>
        <v>AA150</v>
      </c>
      <c r="E240" s="332" t="str">
        <f>IF(N240="",IF(J240="j",_xlfn.CONCAT("Load"," ",filename_cont,"1.sim"),IF(K240="k",_xlfn.CONCAT("Load"," ",Data!W57,".sim"),"")),"Get Data")</f>
        <v>Get Data</v>
      </c>
      <c r="F240" s="88" t="str">
        <f>CVD_Script_Table!$H$25</f>
        <v>Line</v>
      </c>
      <c r="G240" s="332"/>
      <c r="H240" s="332"/>
      <c r="I240" s="332" t="str">
        <f t="shared" si="33"/>
        <v>attachmenttype[150]</v>
      </c>
      <c r="J240" s="333">
        <f t="shared" si="27"/>
        <v>150</v>
      </c>
      <c r="K240" s="333" t="str">
        <f t="shared" si="28"/>
        <v/>
      </c>
      <c r="L240" s="333" t="str">
        <f t="shared" si="29"/>
        <v/>
      </c>
      <c r="M240" s="333" t="str">
        <f t="shared" si="30"/>
        <v/>
      </c>
      <c r="N240" s="333">
        <f t="shared" si="31"/>
        <v>150</v>
      </c>
    </row>
    <row r="241" spans="1:14" ht="13.5" customHeight="1" x14ac:dyDescent="0.25">
      <c r="A241" s="332" t="str">
        <f t="shared" si="26"/>
        <v>Auxiliar4</v>
      </c>
      <c r="B241" s="332"/>
      <c r="C241" s="174"/>
      <c r="D241" s="332" t="str">
        <f t="shared" si="32"/>
        <v>AA151</v>
      </c>
      <c r="E241" s="332" t="str">
        <f>IF(N241="",IF(J241="j",_xlfn.CONCAT("Load"," ",filename_cont,"1.sim"),IF(K241="k",_xlfn.CONCAT("Load"," ",Data!W57,".sim"),"")),"Get Data")</f>
        <v>Get Data</v>
      </c>
      <c r="F241" s="88" t="str">
        <f>CVD_Script_Table!$H$25</f>
        <v>Line</v>
      </c>
      <c r="G241" s="332"/>
      <c r="H241" s="332"/>
      <c r="I241" s="332" t="str">
        <f t="shared" si="33"/>
        <v>attachmenttype[151]</v>
      </c>
      <c r="J241" s="333">
        <f t="shared" si="27"/>
        <v>151</v>
      </c>
      <c r="K241" s="333" t="str">
        <f t="shared" si="28"/>
        <v/>
      </c>
      <c r="L241" s="333" t="str">
        <f t="shared" si="29"/>
        <v/>
      </c>
      <c r="M241" s="333" t="str">
        <f t="shared" si="30"/>
        <v/>
      </c>
      <c r="N241" s="333">
        <f t="shared" si="31"/>
        <v>151</v>
      </c>
    </row>
    <row r="242" spans="1:14" ht="13.5" customHeight="1" x14ac:dyDescent="0.25">
      <c r="A242" s="332" t="str">
        <f t="shared" si="26"/>
        <v>Auxiliar4</v>
      </c>
      <c r="B242" s="332"/>
      <c r="C242" s="174"/>
      <c r="D242" s="332" t="str">
        <f t="shared" si="32"/>
        <v>AA152</v>
      </c>
      <c r="E242" s="332" t="str">
        <f>IF(N242="",IF(J242="j",_xlfn.CONCAT("Load"," ",filename_cont,"1.sim"),IF(K242="k",_xlfn.CONCAT("Load"," ",Data!W57,".sim"),"")),"Get Data")</f>
        <v>Get Data</v>
      </c>
      <c r="F242" s="88" t="str">
        <f>CVD_Script_Table!$H$25</f>
        <v>Line</v>
      </c>
      <c r="G242" s="332"/>
      <c r="H242" s="332"/>
      <c r="I242" s="332" t="str">
        <f t="shared" si="33"/>
        <v>attachmenttype[152]</v>
      </c>
      <c r="J242" s="333">
        <f t="shared" si="27"/>
        <v>152</v>
      </c>
      <c r="K242" s="333" t="str">
        <f t="shared" si="28"/>
        <v/>
      </c>
      <c r="L242" s="333" t="str">
        <f t="shared" si="29"/>
        <v/>
      </c>
      <c r="M242" s="333" t="str">
        <f t="shared" si="30"/>
        <v/>
      </c>
      <c r="N242" s="333">
        <f t="shared" si="31"/>
        <v>152</v>
      </c>
    </row>
    <row r="243" spans="1:14" ht="13.5" customHeight="1" x14ac:dyDescent="0.25">
      <c r="A243" s="332" t="str">
        <f t="shared" si="26"/>
        <v>Auxiliar4</v>
      </c>
      <c r="B243" s="332"/>
      <c r="C243" s="174"/>
      <c r="D243" s="332" t="str">
        <f t="shared" si="32"/>
        <v>AA153</v>
      </c>
      <c r="E243" s="332" t="str">
        <f>IF(N243="",IF(J243="j",_xlfn.CONCAT("Load"," ",filename_cont,"1.sim"),IF(K243="k",_xlfn.CONCAT("Load"," ",Data!W57,".sim"),"")),"Get Data")</f>
        <v>Get Data</v>
      </c>
      <c r="F243" s="88" t="str">
        <f>CVD_Script_Table!$H$25</f>
        <v>Line</v>
      </c>
      <c r="G243" s="332"/>
      <c r="H243" s="332"/>
      <c r="I243" s="332" t="str">
        <f t="shared" si="33"/>
        <v>attachmenttype[153]</v>
      </c>
      <c r="J243" s="333">
        <f t="shared" si="27"/>
        <v>153</v>
      </c>
      <c r="K243" s="333" t="str">
        <f t="shared" si="28"/>
        <v/>
      </c>
      <c r="L243" s="333" t="str">
        <f t="shared" si="29"/>
        <v/>
      </c>
      <c r="M243" s="333" t="str">
        <f t="shared" si="30"/>
        <v/>
      </c>
      <c r="N243" s="333">
        <f t="shared" si="31"/>
        <v>153</v>
      </c>
    </row>
    <row r="244" spans="1:14" ht="13.5" customHeight="1" x14ac:dyDescent="0.25">
      <c r="A244" s="332" t="str">
        <f t="shared" si="26"/>
        <v>Auxiliar4</v>
      </c>
      <c r="B244" s="332"/>
      <c r="C244" s="174"/>
      <c r="D244" s="332" t="str">
        <f t="shared" si="32"/>
        <v>AA154</v>
      </c>
      <c r="E244" s="332" t="str">
        <f>IF(N244="",IF(J244="j",_xlfn.CONCAT("Load"," ",filename_cont,"1.sim"),IF(K244="k",_xlfn.CONCAT("Load"," ",Data!W57,".sim"),"")),"Get Data")</f>
        <v>Get Data</v>
      </c>
      <c r="F244" s="88" t="str">
        <f>CVD_Script_Table!$H$25</f>
        <v>Line</v>
      </c>
      <c r="G244" s="332"/>
      <c r="H244" s="332"/>
      <c r="I244" s="332" t="str">
        <f t="shared" si="33"/>
        <v>attachmenttype[154]</v>
      </c>
      <c r="J244" s="333">
        <f t="shared" si="27"/>
        <v>154</v>
      </c>
      <c r="K244" s="333" t="str">
        <f t="shared" si="28"/>
        <v/>
      </c>
      <c r="L244" s="333" t="str">
        <f t="shared" si="29"/>
        <v/>
      </c>
      <c r="M244" s="333" t="str">
        <f t="shared" si="30"/>
        <v/>
      </c>
      <c r="N244" s="333">
        <f t="shared" si="31"/>
        <v>154</v>
      </c>
    </row>
    <row r="245" spans="1:14" ht="13.5" customHeight="1" x14ac:dyDescent="0.25">
      <c r="A245" s="332" t="str">
        <f t="shared" si="26"/>
        <v>Auxiliar4</v>
      </c>
      <c r="B245" s="332"/>
      <c r="C245" s="174"/>
      <c r="D245" s="332" t="str">
        <f t="shared" si="32"/>
        <v>AA155</v>
      </c>
      <c r="E245" s="332" t="str">
        <f>IF(N245="",IF(J245="j",_xlfn.CONCAT("Load"," ",filename_cont,"1.sim"),IF(K245="k",_xlfn.CONCAT("Load"," ",Data!W57,".sim"),"")),"Get Data")</f>
        <v>Get Data</v>
      </c>
      <c r="F245" s="88" t="str">
        <f>CVD_Script_Table!$H$25</f>
        <v>Line</v>
      </c>
      <c r="G245" s="332"/>
      <c r="H245" s="332"/>
      <c r="I245" s="332" t="str">
        <f t="shared" si="33"/>
        <v>attachmenttype[155]</v>
      </c>
      <c r="J245" s="333">
        <f t="shared" si="27"/>
        <v>155</v>
      </c>
      <c r="K245" s="333" t="str">
        <f t="shared" si="28"/>
        <v/>
      </c>
      <c r="L245" s="333" t="str">
        <f t="shared" si="29"/>
        <v/>
      </c>
      <c r="M245" s="333" t="str">
        <f t="shared" si="30"/>
        <v/>
      </c>
      <c r="N245" s="333">
        <f t="shared" si="31"/>
        <v>155</v>
      </c>
    </row>
    <row r="246" spans="1:14" ht="13.5" customHeight="1" x14ac:dyDescent="0.25">
      <c r="A246" s="332" t="str">
        <f t="shared" si="26"/>
        <v>Auxiliar4</v>
      </c>
      <c r="B246" s="332"/>
      <c r="C246" s="174"/>
      <c r="D246" s="332" t="str">
        <f t="shared" si="32"/>
        <v>AA156</v>
      </c>
      <c r="E246" s="332" t="str">
        <f>IF(N246="",IF(J246="j",_xlfn.CONCAT("Load"," ",filename_cont,"1.sim"),IF(K246="k",_xlfn.CONCAT("Load"," ",Data!W57,".sim"),"")),"Get Data")</f>
        <v>Get Data</v>
      </c>
      <c r="F246" s="88" t="str">
        <f>CVD_Script_Table!$H$25</f>
        <v>Line</v>
      </c>
      <c r="G246" s="332"/>
      <c r="H246" s="332"/>
      <c r="I246" s="332" t="str">
        <f t="shared" si="33"/>
        <v>attachmenttype[156]</v>
      </c>
      <c r="J246" s="333">
        <f t="shared" si="27"/>
        <v>156</v>
      </c>
      <c r="K246" s="333" t="str">
        <f t="shared" si="28"/>
        <v/>
      </c>
      <c r="L246" s="333" t="str">
        <f t="shared" si="29"/>
        <v/>
      </c>
      <c r="M246" s="333" t="str">
        <f t="shared" si="30"/>
        <v/>
      </c>
      <c r="N246" s="333">
        <f t="shared" si="31"/>
        <v>156</v>
      </c>
    </row>
    <row r="247" spans="1:14" ht="13.5" customHeight="1" x14ac:dyDescent="0.25">
      <c r="A247" s="332" t="str">
        <f t="shared" si="26"/>
        <v>Auxiliar4</v>
      </c>
      <c r="B247" s="332"/>
      <c r="C247" s="174"/>
      <c r="D247" s="332" t="str">
        <f t="shared" si="32"/>
        <v>AA157</v>
      </c>
      <c r="E247" s="332" t="str">
        <f>IF(N247="",IF(J247="j",_xlfn.CONCAT("Load"," ",filename_cont,"1.sim"),IF(K247="k",_xlfn.CONCAT("Load"," ",Data!W57,".sim"),"")),"Get Data")</f>
        <v>Get Data</v>
      </c>
      <c r="F247" s="88" t="str">
        <f>CVD_Script_Table!$H$25</f>
        <v>Line</v>
      </c>
      <c r="G247" s="332"/>
      <c r="H247" s="332"/>
      <c r="I247" s="332" t="str">
        <f t="shared" si="33"/>
        <v>attachmenttype[157]</v>
      </c>
      <c r="J247" s="333">
        <f t="shared" si="27"/>
        <v>157</v>
      </c>
      <c r="K247" s="333" t="str">
        <f t="shared" si="28"/>
        <v/>
      </c>
      <c r="L247" s="333" t="str">
        <f t="shared" si="29"/>
        <v/>
      </c>
      <c r="M247" s="333" t="str">
        <f t="shared" si="30"/>
        <v/>
      </c>
      <c r="N247" s="333">
        <f t="shared" si="31"/>
        <v>157</v>
      </c>
    </row>
    <row r="248" spans="1:14" ht="13.5" customHeight="1" x14ac:dyDescent="0.25">
      <c r="A248" s="332" t="str">
        <f t="shared" si="26"/>
        <v>Auxiliar4</v>
      </c>
      <c r="B248" s="332"/>
      <c r="C248" s="174"/>
      <c r="D248" s="332" t="str">
        <f t="shared" si="32"/>
        <v>AA158</v>
      </c>
      <c r="E248" s="332" t="str">
        <f>IF(N248="",IF(J248="j",_xlfn.CONCAT("Load"," ",filename_cont,"1.sim"),IF(K248="k",_xlfn.CONCAT("Load"," ",Data!W57,".sim"),"")),"Get Data")</f>
        <v>Get Data</v>
      </c>
      <c r="F248" s="88" t="str">
        <f>CVD_Script_Table!$H$25</f>
        <v>Line</v>
      </c>
      <c r="G248" s="332"/>
      <c r="H248" s="332"/>
      <c r="I248" s="332" t="str">
        <f t="shared" si="33"/>
        <v>attachmenttype[158]</v>
      </c>
      <c r="J248" s="333">
        <f t="shared" si="27"/>
        <v>158</v>
      </c>
      <c r="K248" s="333" t="str">
        <f t="shared" si="28"/>
        <v/>
      </c>
      <c r="L248" s="333" t="str">
        <f t="shared" si="29"/>
        <v/>
      </c>
      <c r="M248" s="333" t="str">
        <f t="shared" si="30"/>
        <v/>
      </c>
      <c r="N248" s="333">
        <f t="shared" si="31"/>
        <v>158</v>
      </c>
    </row>
    <row r="249" spans="1:14" ht="13.5" customHeight="1" x14ac:dyDescent="0.25">
      <c r="A249" s="332" t="str">
        <f t="shared" si="26"/>
        <v>Auxiliar4</v>
      </c>
      <c r="B249" s="332"/>
      <c r="C249" s="174"/>
      <c r="D249" s="332" t="str">
        <f t="shared" si="32"/>
        <v>AA159</v>
      </c>
      <c r="E249" s="332" t="str">
        <f>IF(N249="",IF(J249="j",_xlfn.CONCAT("Load"," ",filename_cont,"1.sim"),IF(K249="k",_xlfn.CONCAT("Load"," ",Data!W57,".sim"),"")),"Get Data")</f>
        <v>Get Data</v>
      </c>
      <c r="F249" s="88" t="str">
        <f>CVD_Script_Table!$H$25</f>
        <v>Line</v>
      </c>
      <c r="G249" s="332"/>
      <c r="H249" s="332"/>
      <c r="I249" s="332" t="str">
        <f t="shared" si="33"/>
        <v>attachmenttype[159]</v>
      </c>
      <c r="J249" s="333">
        <f t="shared" si="27"/>
        <v>159</v>
      </c>
      <c r="K249" s="333" t="str">
        <f t="shared" si="28"/>
        <v/>
      </c>
      <c r="L249" s="333" t="str">
        <f t="shared" si="29"/>
        <v/>
      </c>
      <c r="M249" s="333" t="str">
        <f t="shared" si="30"/>
        <v/>
      </c>
      <c r="N249" s="333">
        <f t="shared" si="31"/>
        <v>159</v>
      </c>
    </row>
    <row r="250" spans="1:14" ht="13.5" customHeight="1" x14ac:dyDescent="0.25">
      <c r="A250" s="332" t="str">
        <f t="shared" si="26"/>
        <v>Auxiliar4</v>
      </c>
      <c r="B250" s="332"/>
      <c r="C250" s="174"/>
      <c r="D250" s="332" t="str">
        <f t="shared" si="32"/>
        <v>AA160</v>
      </c>
      <c r="E250" s="332" t="str">
        <f>IF(N250="",IF(J250="j",_xlfn.CONCAT("Load"," ",filename_cont,"1.sim"),IF(K250="k",_xlfn.CONCAT("Load"," ",Data!W57,".sim"),"")),"Get Data")</f>
        <v>Get Data</v>
      </c>
      <c r="F250" s="88" t="str">
        <f>CVD_Script_Table!$H$25</f>
        <v>Line</v>
      </c>
      <c r="G250" s="332"/>
      <c r="H250" s="332"/>
      <c r="I250" s="332" t="str">
        <f t="shared" si="33"/>
        <v>attachmenttype[160]</v>
      </c>
      <c r="J250" s="333">
        <f t="shared" si="27"/>
        <v>160</v>
      </c>
      <c r="K250" s="333" t="str">
        <f t="shared" si="28"/>
        <v/>
      </c>
      <c r="L250" s="333" t="str">
        <f t="shared" si="29"/>
        <v/>
      </c>
      <c r="M250" s="333" t="str">
        <f t="shared" si="30"/>
        <v/>
      </c>
      <c r="N250" s="333">
        <f t="shared" si="31"/>
        <v>160</v>
      </c>
    </row>
    <row r="251" spans="1:14" ht="13.5" customHeight="1" x14ac:dyDescent="0.25">
      <c r="A251" s="332" t="str">
        <f t="shared" si="26"/>
        <v>Auxiliar4</v>
      </c>
      <c r="B251" s="332"/>
      <c r="C251" s="174"/>
      <c r="D251" s="332" t="str">
        <f t="shared" si="32"/>
        <v>AA161</v>
      </c>
      <c r="E251" s="332" t="str">
        <f>IF(N251="",IF(J251="j",_xlfn.CONCAT("Load"," ",filename_cont,"1.sim"),IF(K251="k",_xlfn.CONCAT("Load"," ",Data!W57,".sim"),"")),"Get Data")</f>
        <v>Get Data</v>
      </c>
      <c r="F251" s="88" t="str">
        <f>CVD_Script_Table!$H$25</f>
        <v>Line</v>
      </c>
      <c r="G251" s="332"/>
      <c r="H251" s="332"/>
      <c r="I251" s="332" t="str">
        <f t="shared" si="33"/>
        <v>attachmenttype[161]</v>
      </c>
      <c r="J251" s="333">
        <f t="shared" si="27"/>
        <v>161</v>
      </c>
      <c r="K251" s="333" t="str">
        <f t="shared" si="28"/>
        <v/>
      </c>
      <c r="L251" s="333" t="str">
        <f t="shared" si="29"/>
        <v/>
      </c>
      <c r="M251" s="333" t="str">
        <f t="shared" ref="M251:M282" si="34">IF(OR(L251="l",L251="ll"),IFERROR(IF(M250="",2,IF(M250=J$9,"m",M250+1)),"mm"),"")</f>
        <v/>
      </c>
      <c r="N251" s="333">
        <f t="shared" si="31"/>
        <v>161</v>
      </c>
    </row>
    <row r="252" spans="1:14" ht="13.5" customHeight="1" x14ac:dyDescent="0.25">
      <c r="A252" s="332" t="str">
        <f t="shared" si="26"/>
        <v>Auxiliar4</v>
      </c>
      <c r="B252" s="332"/>
      <c r="C252" s="174"/>
      <c r="D252" s="332" t="str">
        <f t="shared" si="32"/>
        <v>AA162</v>
      </c>
      <c r="E252" s="332" t="str">
        <f>IF(N252="",IF(J252="j",_xlfn.CONCAT("Load"," ",filename_cont,"1.sim"),IF(K252="k",_xlfn.CONCAT("Load"," ",Data!W57,".sim"),"")),"Get Data")</f>
        <v>Get Data</v>
      </c>
      <c r="F252" s="88" t="str">
        <f>CVD_Script_Table!$H$25</f>
        <v>Line</v>
      </c>
      <c r="G252" s="332"/>
      <c r="H252" s="332"/>
      <c r="I252" s="332" t="str">
        <f t="shared" si="33"/>
        <v>attachmenttype[162]</v>
      </c>
      <c r="J252" s="333">
        <f t="shared" si="27"/>
        <v>162</v>
      </c>
      <c r="K252" s="333" t="str">
        <f t="shared" si="28"/>
        <v/>
      </c>
      <c r="L252" s="333" t="str">
        <f t="shared" si="29"/>
        <v/>
      </c>
      <c r="M252" s="333" t="str">
        <f t="shared" si="34"/>
        <v/>
      </c>
      <c r="N252" s="333">
        <f t="shared" si="31"/>
        <v>162</v>
      </c>
    </row>
    <row r="253" spans="1:14" ht="13.5" customHeight="1" x14ac:dyDescent="0.25">
      <c r="A253" s="332" t="str">
        <f t="shared" si="26"/>
        <v>Auxiliar4</v>
      </c>
      <c r="B253" s="332"/>
      <c r="C253" s="174"/>
      <c r="D253" s="332" t="str">
        <f t="shared" si="32"/>
        <v>AA163</v>
      </c>
      <c r="E253" s="332" t="str">
        <f>IF(N253="",IF(J253="j",_xlfn.CONCAT("Load"," ",filename_cont,"1.sim"),IF(K253="k",_xlfn.CONCAT("Load"," ",Data!W57,".sim"),"")),"Get Data")</f>
        <v>Get Data</v>
      </c>
      <c r="F253" s="88" t="str">
        <f>CVD_Script_Table!$H$25</f>
        <v>Line</v>
      </c>
      <c r="G253" s="332"/>
      <c r="H253" s="332"/>
      <c r="I253" s="332" t="str">
        <f t="shared" si="33"/>
        <v>attachmenttype[163]</v>
      </c>
      <c r="J253" s="333">
        <f t="shared" si="27"/>
        <v>163</v>
      </c>
      <c r="K253" s="333" t="str">
        <f t="shared" si="28"/>
        <v/>
      </c>
      <c r="L253" s="333" t="str">
        <f t="shared" si="29"/>
        <v/>
      </c>
      <c r="M253" s="333" t="str">
        <f t="shared" si="34"/>
        <v/>
      </c>
      <c r="N253" s="333">
        <f t="shared" si="31"/>
        <v>163</v>
      </c>
    </row>
    <row r="254" spans="1:14" ht="13.5" customHeight="1" x14ac:dyDescent="0.25">
      <c r="A254" s="332" t="str">
        <f t="shared" si="26"/>
        <v>Auxiliar4</v>
      </c>
      <c r="B254" s="332"/>
      <c r="C254" s="174"/>
      <c r="D254" s="332" t="str">
        <f t="shared" si="32"/>
        <v>AA164</v>
      </c>
      <c r="E254" s="332" t="str">
        <f>IF(N254="",IF(J254="j",_xlfn.CONCAT("Load"," ",filename_cont,"1.sim"),IF(K254="k",_xlfn.CONCAT("Load"," ",Data!W57,".sim"),"")),"Get Data")</f>
        <v>Get Data</v>
      </c>
      <c r="F254" s="88" t="str">
        <f>CVD_Script_Table!$H$25</f>
        <v>Line</v>
      </c>
      <c r="G254" s="332"/>
      <c r="H254" s="332"/>
      <c r="I254" s="332" t="str">
        <f t="shared" si="33"/>
        <v>attachmenttype[164]</v>
      </c>
      <c r="J254" s="333">
        <f t="shared" si="27"/>
        <v>164</v>
      </c>
      <c r="K254" s="333" t="str">
        <f t="shared" si="28"/>
        <v/>
      </c>
      <c r="L254" s="333" t="str">
        <f t="shared" si="29"/>
        <v/>
      </c>
      <c r="M254" s="333" t="str">
        <f t="shared" si="34"/>
        <v/>
      </c>
      <c r="N254" s="333">
        <f t="shared" si="31"/>
        <v>164</v>
      </c>
    </row>
    <row r="255" spans="1:14" ht="13.5" customHeight="1" x14ac:dyDescent="0.25">
      <c r="A255" s="332" t="str">
        <f t="shared" si="26"/>
        <v>Auxiliar4</v>
      </c>
      <c r="B255" s="332"/>
      <c r="C255" s="174"/>
      <c r="D255" s="332" t="str">
        <f t="shared" si="32"/>
        <v>AA165</v>
      </c>
      <c r="E255" s="332" t="str">
        <f>IF(N255="",IF(J255="j",_xlfn.CONCAT("Load"," ",filename_cont,"1.sim"),IF(K255="k",_xlfn.CONCAT("Load"," ",Data!W57,".sim"),"")),"Get Data")</f>
        <v>Get Data</v>
      </c>
      <c r="F255" s="88" t="str">
        <f>CVD_Script_Table!$H$25</f>
        <v>Line</v>
      </c>
      <c r="G255" s="332"/>
      <c r="H255" s="332"/>
      <c r="I255" s="332" t="str">
        <f t="shared" si="33"/>
        <v>attachmenttype[165]</v>
      </c>
      <c r="J255" s="333">
        <f t="shared" si="27"/>
        <v>165</v>
      </c>
      <c r="K255" s="333" t="str">
        <f t="shared" si="28"/>
        <v/>
      </c>
      <c r="L255" s="333" t="str">
        <f t="shared" si="29"/>
        <v/>
      </c>
      <c r="M255" s="333" t="str">
        <f t="shared" si="34"/>
        <v/>
      </c>
      <c r="N255" s="333">
        <f t="shared" si="31"/>
        <v>165</v>
      </c>
    </row>
    <row r="256" spans="1:14" ht="13.5" customHeight="1" x14ac:dyDescent="0.25">
      <c r="A256" s="332" t="str">
        <f t="shared" si="26"/>
        <v>Auxiliar4</v>
      </c>
      <c r="B256" s="332"/>
      <c r="C256" s="174"/>
      <c r="D256" s="332" t="str">
        <f t="shared" si="32"/>
        <v>AA166</v>
      </c>
      <c r="E256" s="332" t="str">
        <f>IF(N256="",IF(J256="j",_xlfn.CONCAT("Load"," ",filename_cont,"1.sim"),IF(K256="k",_xlfn.CONCAT("Load"," ",Data!W57,".sim"),"")),"Get Data")</f>
        <v>Get Data</v>
      </c>
      <c r="F256" s="88" t="str">
        <f>CVD_Script_Table!$H$25</f>
        <v>Line</v>
      </c>
      <c r="G256" s="332"/>
      <c r="H256" s="332"/>
      <c r="I256" s="332" t="str">
        <f t="shared" si="33"/>
        <v>attachmenttype[166]</v>
      </c>
      <c r="J256" s="333">
        <f t="shared" si="27"/>
        <v>166</v>
      </c>
      <c r="K256" s="333" t="str">
        <f t="shared" si="28"/>
        <v/>
      </c>
      <c r="L256" s="333" t="str">
        <f t="shared" si="29"/>
        <v/>
      </c>
      <c r="M256" s="333" t="str">
        <f t="shared" si="34"/>
        <v/>
      </c>
      <c r="N256" s="333">
        <f t="shared" si="31"/>
        <v>166</v>
      </c>
    </row>
    <row r="257" spans="1:14" ht="13.5" customHeight="1" x14ac:dyDescent="0.25">
      <c r="A257" s="332" t="str">
        <f t="shared" si="26"/>
        <v>Auxiliar4</v>
      </c>
      <c r="B257" s="332"/>
      <c r="C257" s="174"/>
      <c r="D257" s="332" t="str">
        <f t="shared" si="32"/>
        <v>AA167</v>
      </c>
      <c r="E257" s="332" t="str">
        <f>IF(N257="",IF(J257="j",_xlfn.CONCAT("Load"," ",filename_cont,"1.sim"),IF(K257="k",_xlfn.CONCAT("Load"," ",Data!W57,".sim"),"")),"Get Data")</f>
        <v>Get Data</v>
      </c>
      <c r="F257" s="88" t="str">
        <f>CVD_Script_Table!$H$25</f>
        <v>Line</v>
      </c>
      <c r="G257" s="332"/>
      <c r="H257" s="332"/>
      <c r="I257" s="332" t="str">
        <f t="shared" si="33"/>
        <v>attachmenttype[167]</v>
      </c>
      <c r="J257" s="333">
        <f t="shared" si="27"/>
        <v>167</v>
      </c>
      <c r="K257" s="333" t="str">
        <f t="shared" si="28"/>
        <v/>
      </c>
      <c r="L257" s="333" t="str">
        <f t="shared" si="29"/>
        <v/>
      </c>
      <c r="M257" s="333" t="str">
        <f t="shared" si="34"/>
        <v/>
      </c>
      <c r="N257" s="333">
        <f t="shared" si="31"/>
        <v>167</v>
      </c>
    </row>
    <row r="258" spans="1:14" ht="13.5" customHeight="1" x14ac:dyDescent="0.25">
      <c r="A258" s="332" t="str">
        <f t="shared" si="26"/>
        <v>Auxiliar4</v>
      </c>
      <c r="B258" s="332"/>
      <c r="C258" s="174"/>
      <c r="D258" s="332" t="str">
        <f t="shared" si="32"/>
        <v>AA168</v>
      </c>
      <c r="E258" s="332" t="str">
        <f>IF(N258="",IF(J258="j",_xlfn.CONCAT("Load"," ",filename_cont,"1.sim"),IF(K258="k",_xlfn.CONCAT("Load"," ",Data!W57,".sim"),"")),"Get Data")</f>
        <v>Get Data</v>
      </c>
      <c r="F258" s="88" t="str">
        <f>CVD_Script_Table!$H$25</f>
        <v>Line</v>
      </c>
      <c r="G258" s="332"/>
      <c r="H258" s="332"/>
      <c r="I258" s="332" t="str">
        <f t="shared" si="33"/>
        <v>attachmenttype[168]</v>
      </c>
      <c r="J258" s="333">
        <f t="shared" si="27"/>
        <v>168</v>
      </c>
      <c r="K258" s="333" t="str">
        <f t="shared" si="28"/>
        <v/>
      </c>
      <c r="L258" s="333" t="str">
        <f t="shared" si="29"/>
        <v/>
      </c>
      <c r="M258" s="333" t="str">
        <f t="shared" si="34"/>
        <v/>
      </c>
      <c r="N258" s="333">
        <f t="shared" si="31"/>
        <v>168</v>
      </c>
    </row>
    <row r="259" spans="1:14" ht="13.5" customHeight="1" x14ac:dyDescent="0.25">
      <c r="A259" s="332" t="str">
        <f t="shared" si="26"/>
        <v>Auxiliar4</v>
      </c>
      <c r="B259" s="332"/>
      <c r="C259" s="174"/>
      <c r="D259" s="332" t="str">
        <f t="shared" si="32"/>
        <v>AA169</v>
      </c>
      <c r="E259" s="332" t="str">
        <f>IF(N259="",IF(J259="j",_xlfn.CONCAT("Load"," ",filename_cont,"1.sim"),IF(K259="k",_xlfn.CONCAT("Load"," ",Data!W57,".sim"),"")),"Get Data")</f>
        <v>Get Data</v>
      </c>
      <c r="F259" s="88" t="str">
        <f>CVD_Script_Table!$H$25</f>
        <v>Line</v>
      </c>
      <c r="G259" s="332"/>
      <c r="H259" s="332"/>
      <c r="I259" s="332" t="str">
        <f t="shared" si="33"/>
        <v>attachmenttype[169]</v>
      </c>
      <c r="J259" s="333">
        <f t="shared" si="27"/>
        <v>169</v>
      </c>
      <c r="K259" s="333" t="str">
        <f t="shared" si="28"/>
        <v/>
      </c>
      <c r="L259" s="333" t="str">
        <f t="shared" si="29"/>
        <v/>
      </c>
      <c r="M259" s="333" t="str">
        <f t="shared" si="34"/>
        <v/>
      </c>
      <c r="N259" s="333">
        <f t="shared" si="31"/>
        <v>169</v>
      </c>
    </row>
    <row r="260" spans="1:14" ht="13.5" customHeight="1" x14ac:dyDescent="0.25">
      <c r="A260" s="332" t="str">
        <f t="shared" si="26"/>
        <v>Auxiliar4</v>
      </c>
      <c r="B260" s="332"/>
      <c r="C260" s="174"/>
      <c r="D260" s="332" t="str">
        <f t="shared" si="32"/>
        <v>AA170</v>
      </c>
      <c r="E260" s="332" t="str">
        <f>IF(N260="",IF(J260="j",_xlfn.CONCAT("Load"," ",filename_cont,"1.sim"),IF(K260="k",_xlfn.CONCAT("Load"," ",Data!W57,".sim"),"")),"Get Data")</f>
        <v>Get Data</v>
      </c>
      <c r="F260" s="88" t="str">
        <f>CVD_Script_Table!$H$25</f>
        <v>Line</v>
      </c>
      <c r="G260" s="332"/>
      <c r="H260" s="332"/>
      <c r="I260" s="332" t="str">
        <f t="shared" si="33"/>
        <v>attachmenttype[170]</v>
      </c>
      <c r="J260" s="333">
        <f t="shared" si="27"/>
        <v>170</v>
      </c>
      <c r="K260" s="333" t="str">
        <f t="shared" si="28"/>
        <v/>
      </c>
      <c r="L260" s="333" t="str">
        <f t="shared" si="29"/>
        <v/>
      </c>
      <c r="M260" s="333" t="str">
        <f t="shared" si="34"/>
        <v/>
      </c>
      <c r="N260" s="333">
        <f t="shared" si="31"/>
        <v>170</v>
      </c>
    </row>
    <row r="261" spans="1:14" ht="13.5" customHeight="1" x14ac:dyDescent="0.25">
      <c r="A261" s="332" t="str">
        <f t="shared" si="26"/>
        <v>Auxiliar4</v>
      </c>
      <c r="B261" s="332"/>
      <c r="C261" s="174"/>
      <c r="D261" s="332" t="str">
        <f t="shared" si="32"/>
        <v>AA171</v>
      </c>
      <c r="E261" s="332" t="str">
        <f>IF(N261="",IF(J261="j",_xlfn.CONCAT("Load"," ",filename_cont,"1.sim"),IF(K261="k",_xlfn.CONCAT("Load"," ",Data!W57,".sim"),"")),"Get Data")</f>
        <v>Get Data</v>
      </c>
      <c r="F261" s="88" t="str">
        <f>CVD_Script_Table!$H$25</f>
        <v>Line</v>
      </c>
      <c r="G261" s="332"/>
      <c r="H261" s="332"/>
      <c r="I261" s="332" t="str">
        <f t="shared" si="33"/>
        <v>attachmenttype[171]</v>
      </c>
      <c r="J261" s="333">
        <f t="shared" si="27"/>
        <v>171</v>
      </c>
      <c r="K261" s="333" t="str">
        <f t="shared" si="28"/>
        <v/>
      </c>
      <c r="L261" s="333" t="str">
        <f t="shared" si="29"/>
        <v/>
      </c>
      <c r="M261" s="333" t="str">
        <f t="shared" si="34"/>
        <v/>
      </c>
      <c r="N261" s="333">
        <f t="shared" si="31"/>
        <v>171</v>
      </c>
    </row>
    <row r="262" spans="1:14" ht="13.5" customHeight="1" x14ac:dyDescent="0.25">
      <c r="A262" s="332" t="str">
        <f t="shared" si="26"/>
        <v>Auxiliar4</v>
      </c>
      <c r="B262" s="332"/>
      <c r="C262" s="174"/>
      <c r="D262" s="332" t="str">
        <f t="shared" si="32"/>
        <v>AA172</v>
      </c>
      <c r="E262" s="332" t="str">
        <f>IF(N262="",IF(J262="j",_xlfn.CONCAT("Load"," ",filename_cont,"1.sim"),IF(K262="k",_xlfn.CONCAT("Load"," ",Data!W57,".sim"),"")),"Get Data")</f>
        <v>Get Data</v>
      </c>
      <c r="F262" s="88" t="str">
        <f>CVD_Script_Table!$H$25</f>
        <v>Line</v>
      </c>
      <c r="G262" s="332"/>
      <c r="H262" s="332"/>
      <c r="I262" s="332" t="str">
        <f t="shared" si="33"/>
        <v>attachmenttype[172]</v>
      </c>
      <c r="J262" s="333">
        <f t="shared" si="27"/>
        <v>172</v>
      </c>
      <c r="K262" s="333" t="str">
        <f t="shared" si="28"/>
        <v/>
      </c>
      <c r="L262" s="333" t="str">
        <f t="shared" si="29"/>
        <v/>
      </c>
      <c r="M262" s="333" t="str">
        <f t="shared" si="34"/>
        <v/>
      </c>
      <c r="N262" s="333">
        <f t="shared" si="31"/>
        <v>172</v>
      </c>
    </row>
    <row r="263" spans="1:14" ht="13.5" customHeight="1" x14ac:dyDescent="0.25">
      <c r="A263" s="332" t="str">
        <f t="shared" si="26"/>
        <v>Auxiliar4</v>
      </c>
      <c r="B263" s="332"/>
      <c r="C263" s="174"/>
      <c r="D263" s="332" t="str">
        <f t="shared" si="32"/>
        <v>AA173</v>
      </c>
      <c r="E263" s="332" t="str">
        <f>IF(N263="",IF(J263="j",_xlfn.CONCAT("Load"," ",filename_cont,"1.sim"),IF(K263="k",_xlfn.CONCAT("Load"," ",Data!W57,".sim"),"")),"Get Data")</f>
        <v>Get Data</v>
      </c>
      <c r="F263" s="88" t="str">
        <f>CVD_Script_Table!$H$25</f>
        <v>Line</v>
      </c>
      <c r="G263" s="332"/>
      <c r="H263" s="332"/>
      <c r="I263" s="332" t="str">
        <f t="shared" si="33"/>
        <v>attachmenttype[173]</v>
      </c>
      <c r="J263" s="333">
        <f t="shared" si="27"/>
        <v>173</v>
      </c>
      <c r="K263" s="333" t="str">
        <f t="shared" si="28"/>
        <v/>
      </c>
      <c r="L263" s="333" t="str">
        <f t="shared" si="29"/>
        <v/>
      </c>
      <c r="M263" s="333" t="str">
        <f t="shared" si="34"/>
        <v/>
      </c>
      <c r="N263" s="333">
        <f t="shared" si="31"/>
        <v>173</v>
      </c>
    </row>
    <row r="264" spans="1:14" ht="13.5" customHeight="1" x14ac:dyDescent="0.25">
      <c r="A264" s="332" t="str">
        <f t="shared" si="26"/>
        <v>Auxiliar4</v>
      </c>
      <c r="B264" s="332"/>
      <c r="C264" s="174"/>
      <c r="D264" s="332" t="str">
        <f t="shared" si="32"/>
        <v>AA174</v>
      </c>
      <c r="E264" s="332" t="str">
        <f>IF(N264="",IF(J264="j",_xlfn.CONCAT("Load"," ",filename_cont,"1.sim"),IF(K264="k",_xlfn.CONCAT("Load"," ",Data!W57,".sim"),"")),"Get Data")</f>
        <v>Get Data</v>
      </c>
      <c r="F264" s="88" t="str">
        <f>CVD_Script_Table!$H$25</f>
        <v>Line</v>
      </c>
      <c r="G264" s="332"/>
      <c r="H264" s="332"/>
      <c r="I264" s="332" t="str">
        <f t="shared" si="33"/>
        <v>attachmenttype[174]</v>
      </c>
      <c r="J264" s="333">
        <f t="shared" si="27"/>
        <v>174</v>
      </c>
      <c r="K264" s="333" t="str">
        <f t="shared" si="28"/>
        <v/>
      </c>
      <c r="L264" s="333" t="str">
        <f t="shared" si="29"/>
        <v/>
      </c>
      <c r="M264" s="333" t="str">
        <f t="shared" si="34"/>
        <v/>
      </c>
      <c r="N264" s="333">
        <f t="shared" si="31"/>
        <v>174</v>
      </c>
    </row>
    <row r="265" spans="1:14" ht="13.5" customHeight="1" x14ac:dyDescent="0.25">
      <c r="A265" s="332" t="str">
        <f t="shared" si="26"/>
        <v>Auxiliar4</v>
      </c>
      <c r="B265" s="332"/>
      <c r="C265" s="174"/>
      <c r="D265" s="332" t="str">
        <f t="shared" si="32"/>
        <v>AA175</v>
      </c>
      <c r="E265" s="332" t="str">
        <f>IF(N265="",IF(J265="j",_xlfn.CONCAT("Load"," ",filename_cont,"1.sim"),IF(K265="k",_xlfn.CONCAT("Load"," ",Data!W57,".sim"),"")),"Get Data")</f>
        <v>Get Data</v>
      </c>
      <c r="F265" s="88" t="str">
        <f>CVD_Script_Table!$H$25</f>
        <v>Line</v>
      </c>
      <c r="G265" s="332"/>
      <c r="H265" s="332"/>
      <c r="I265" s="332" t="str">
        <f t="shared" si="33"/>
        <v>attachmenttype[175]</v>
      </c>
      <c r="J265" s="333">
        <f t="shared" si="27"/>
        <v>175</v>
      </c>
      <c r="K265" s="333" t="str">
        <f t="shared" si="28"/>
        <v/>
      </c>
      <c r="L265" s="333" t="str">
        <f t="shared" si="29"/>
        <v/>
      </c>
      <c r="M265" s="333" t="str">
        <f t="shared" si="34"/>
        <v/>
      </c>
      <c r="N265" s="333">
        <f t="shared" si="31"/>
        <v>175</v>
      </c>
    </row>
    <row r="266" spans="1:14" ht="13.5" customHeight="1" x14ac:dyDescent="0.25">
      <c r="A266" s="332" t="str">
        <f t="shared" si="26"/>
        <v>Auxiliar4</v>
      </c>
      <c r="B266" s="332"/>
      <c r="C266" s="174"/>
      <c r="D266" s="332" t="str">
        <f t="shared" si="32"/>
        <v>AA176</v>
      </c>
      <c r="E266" s="332" t="str">
        <f>IF(N266="",IF(J266="j",_xlfn.CONCAT("Load"," ",filename_cont,"1.sim"),IF(K266="k",_xlfn.CONCAT("Load"," ",Data!W57,".sim"),"")),"Get Data")</f>
        <v>Get Data</v>
      </c>
      <c r="F266" s="88" t="str">
        <f>CVD_Script_Table!$H$25</f>
        <v>Line</v>
      </c>
      <c r="G266" s="332"/>
      <c r="H266" s="332"/>
      <c r="I266" s="332" t="str">
        <f t="shared" si="33"/>
        <v>attachmenttype[176]</v>
      </c>
      <c r="J266" s="333">
        <f t="shared" si="27"/>
        <v>176</v>
      </c>
      <c r="K266" s="333" t="str">
        <f t="shared" si="28"/>
        <v/>
      </c>
      <c r="L266" s="333" t="str">
        <f t="shared" si="29"/>
        <v/>
      </c>
      <c r="M266" s="333" t="str">
        <f t="shared" si="34"/>
        <v/>
      </c>
      <c r="N266" s="333">
        <f t="shared" si="31"/>
        <v>176</v>
      </c>
    </row>
    <row r="267" spans="1:14" ht="13.5" customHeight="1" x14ac:dyDescent="0.25">
      <c r="A267" s="332" t="str">
        <f t="shared" si="26"/>
        <v>Auxiliar4</v>
      </c>
      <c r="B267" s="332"/>
      <c r="C267" s="174"/>
      <c r="D267" s="332" t="str">
        <f t="shared" si="32"/>
        <v>AA177</v>
      </c>
      <c r="E267" s="332" t="str">
        <f>IF(N267="",IF(J267="j",_xlfn.CONCAT("Load"," ",filename_cont,"1.sim"),IF(K267="k",_xlfn.CONCAT("Load"," ",Data!W57,".sim"),"")),"Get Data")</f>
        <v>Get Data</v>
      </c>
      <c r="F267" s="88" t="str">
        <f>CVD_Script_Table!$H$25</f>
        <v>Line</v>
      </c>
      <c r="G267" s="332"/>
      <c r="H267" s="332"/>
      <c r="I267" s="332" t="str">
        <f t="shared" si="33"/>
        <v>attachmenttype[177]</v>
      </c>
      <c r="J267" s="333">
        <f t="shared" si="27"/>
        <v>177</v>
      </c>
      <c r="K267" s="333" t="str">
        <f t="shared" si="28"/>
        <v/>
      </c>
      <c r="L267" s="333" t="str">
        <f t="shared" si="29"/>
        <v/>
      </c>
      <c r="M267" s="333" t="str">
        <f t="shared" si="34"/>
        <v/>
      </c>
      <c r="N267" s="333">
        <f t="shared" si="31"/>
        <v>177</v>
      </c>
    </row>
    <row r="268" spans="1:14" ht="13.5" customHeight="1" x14ac:dyDescent="0.25">
      <c r="A268" s="332" t="str">
        <f t="shared" si="26"/>
        <v>Auxiliar4</v>
      </c>
      <c r="B268" s="332"/>
      <c r="C268" s="174"/>
      <c r="D268" s="332" t="str">
        <f t="shared" si="32"/>
        <v>AA178</v>
      </c>
      <c r="E268" s="332" t="str">
        <f>IF(N268="",IF(J268="j",_xlfn.CONCAT("Load"," ",filename_cont,"1.sim"),IF(K268="k",_xlfn.CONCAT("Load"," ",Data!W57,".sim"),"")),"Get Data")</f>
        <v>Get Data</v>
      </c>
      <c r="F268" s="88" t="str">
        <f>CVD_Script_Table!$H$25</f>
        <v>Line</v>
      </c>
      <c r="G268" s="332"/>
      <c r="H268" s="332"/>
      <c r="I268" s="332" t="str">
        <f t="shared" si="33"/>
        <v>attachmenttype[178]</v>
      </c>
      <c r="J268" s="333">
        <f t="shared" si="27"/>
        <v>178</v>
      </c>
      <c r="K268" s="333" t="str">
        <f t="shared" si="28"/>
        <v/>
      </c>
      <c r="L268" s="333" t="str">
        <f t="shared" si="29"/>
        <v/>
      </c>
      <c r="M268" s="333" t="str">
        <f t="shared" si="34"/>
        <v/>
      </c>
      <c r="N268" s="333">
        <f t="shared" si="31"/>
        <v>178</v>
      </c>
    </row>
    <row r="269" spans="1:14" ht="13.5" customHeight="1" x14ac:dyDescent="0.25">
      <c r="A269" s="332" t="str">
        <f t="shared" si="26"/>
        <v>Auxiliar4</v>
      </c>
      <c r="B269" s="332"/>
      <c r="C269" s="174"/>
      <c r="D269" s="332" t="str">
        <f>IF(N269="z",CONCATENATE("AB",M269),IF(N269="","",CONCATENATE("AA",N269)))</f>
        <v>AA179</v>
      </c>
      <c r="E269" s="332" t="str">
        <f>IF(N269="",IF(J269="j",_xlfn.CONCAT("Load"," ",filename_cont,"1.sim"),IF(K269="k",_xlfn.CONCAT("Load"," ",Data!W57,".sim"),"")),"Get Data")</f>
        <v>Get Data</v>
      </c>
      <c r="F269" s="88" t="str">
        <f>CVD_Script_Table!$H$25</f>
        <v>Line</v>
      </c>
      <c r="G269" s="332"/>
      <c r="H269" s="332"/>
      <c r="I269" s="332" t="str">
        <f>IF(N269="z",CONCATENATE("attachmentz[",M269,"]"),IF(N269="","",CONCATENATE("attachmenttype[",N269,"]")))</f>
        <v>attachmenttype[179]</v>
      </c>
      <c r="J269" s="333">
        <f t="shared" si="27"/>
        <v>179</v>
      </c>
      <c r="K269" s="333" t="str">
        <f t="shared" si="28"/>
        <v/>
      </c>
      <c r="L269" s="333" t="str">
        <f t="shared" si="29"/>
        <v/>
      </c>
      <c r="M269" s="333" t="str">
        <f t="shared" si="34"/>
        <v/>
      </c>
      <c r="N269" s="333">
        <f t="shared" si="31"/>
        <v>179</v>
      </c>
    </row>
    <row r="270" spans="1:14" ht="13.5" customHeight="1" x14ac:dyDescent="0.25">
      <c r="A270" s="332" t="str">
        <f t="shared" si="26"/>
        <v>Auxiliar4</v>
      </c>
      <c r="B270" s="332"/>
      <c r="C270" s="174"/>
      <c r="D270" s="332" t="str">
        <f t="shared" ref="D270:D320" si="35">IF(N270="z",CONCATENATE("AB",M270),IF(N270="","",CONCATENATE("AA",N270)))</f>
        <v>AA180</v>
      </c>
      <c r="E270" s="332" t="str">
        <f>IF(N270="",IF(J270="j",_xlfn.CONCAT("Load"," ",filename_cont,"1.sim"),IF(K270="k",_xlfn.CONCAT("Load"," ",Data!W57,".sim"),"")),"Get Data")</f>
        <v>Get Data</v>
      </c>
      <c r="F270" s="88" t="str">
        <f>CVD_Script_Table!$H$25</f>
        <v>Line</v>
      </c>
      <c r="G270" s="332"/>
      <c r="H270" s="332"/>
      <c r="I270" s="332" t="str">
        <f t="shared" ref="I270:I320" si="36">IF(N270="z",CONCATENATE("attachmentz[",M270,"]"),IF(N270="","",CONCATENATE("attachmenttype[",N270,"]")))</f>
        <v>attachmenttype[180]</v>
      </c>
      <c r="J270" s="333">
        <f t="shared" si="27"/>
        <v>180</v>
      </c>
      <c r="K270" s="333" t="str">
        <f t="shared" si="28"/>
        <v/>
      </c>
      <c r="L270" s="333" t="str">
        <f t="shared" si="29"/>
        <v/>
      </c>
      <c r="M270" s="333" t="str">
        <f t="shared" si="34"/>
        <v/>
      </c>
      <c r="N270" s="333">
        <f t="shared" si="31"/>
        <v>180</v>
      </c>
    </row>
    <row r="271" spans="1:14" ht="13.5" customHeight="1" x14ac:dyDescent="0.25">
      <c r="A271" s="332" t="str">
        <f t="shared" si="26"/>
        <v>Auxiliar4</v>
      </c>
      <c r="B271" s="332"/>
      <c r="C271" s="174"/>
      <c r="D271" s="332" t="str">
        <f t="shared" si="35"/>
        <v>AA181</v>
      </c>
      <c r="E271" s="332" t="str">
        <f>IF(N271="",IF(J271="j",_xlfn.CONCAT("Load"," ",filename_cont,"1.sim"),IF(K271="k",_xlfn.CONCAT("Load"," ",Data!W57,".sim"),"")),"Get Data")</f>
        <v>Get Data</v>
      </c>
      <c r="F271" s="88" t="str">
        <f>CVD_Script_Table!$H$25</f>
        <v>Line</v>
      </c>
      <c r="G271" s="332"/>
      <c r="H271" s="332"/>
      <c r="I271" s="332" t="str">
        <f t="shared" si="36"/>
        <v>attachmenttype[181]</v>
      </c>
      <c r="J271" s="333">
        <f t="shared" si="27"/>
        <v>181</v>
      </c>
      <c r="K271" s="333" t="str">
        <f t="shared" si="28"/>
        <v/>
      </c>
      <c r="L271" s="333" t="str">
        <f t="shared" si="29"/>
        <v/>
      </c>
      <c r="M271" s="333" t="str">
        <f t="shared" si="34"/>
        <v/>
      </c>
      <c r="N271" s="333">
        <f t="shared" si="31"/>
        <v>181</v>
      </c>
    </row>
    <row r="272" spans="1:14" ht="13.5" customHeight="1" x14ac:dyDescent="0.25">
      <c r="A272" s="332" t="str">
        <f t="shared" si="26"/>
        <v>Auxiliar4</v>
      </c>
      <c r="B272" s="332"/>
      <c r="C272" s="174"/>
      <c r="D272" s="332" t="str">
        <f t="shared" si="35"/>
        <v>AA182</v>
      </c>
      <c r="E272" s="332" t="str">
        <f>IF(N272="",IF(J272="j",_xlfn.CONCAT("Load"," ",filename_cont,"1.sim"),IF(K272="k",_xlfn.CONCAT("Load"," ",Data!W57,".sim"),"")),"Get Data")</f>
        <v>Get Data</v>
      </c>
      <c r="F272" s="88" t="str">
        <f>CVD_Script_Table!$H$25</f>
        <v>Line</v>
      </c>
      <c r="G272" s="332"/>
      <c r="H272" s="332"/>
      <c r="I272" s="332" t="str">
        <f t="shared" si="36"/>
        <v>attachmenttype[182]</v>
      </c>
      <c r="J272" s="333">
        <f t="shared" si="27"/>
        <v>182</v>
      </c>
      <c r="K272" s="333" t="str">
        <f t="shared" si="28"/>
        <v/>
      </c>
      <c r="L272" s="333" t="str">
        <f t="shared" si="29"/>
        <v/>
      </c>
      <c r="M272" s="333" t="str">
        <f t="shared" si="34"/>
        <v/>
      </c>
      <c r="N272" s="333">
        <f t="shared" si="31"/>
        <v>182</v>
      </c>
    </row>
    <row r="273" spans="1:14" ht="13.5" customHeight="1" x14ac:dyDescent="0.25">
      <c r="A273" s="332" t="str">
        <f t="shared" si="26"/>
        <v>Auxiliar4</v>
      </c>
      <c r="B273" s="332"/>
      <c r="C273" s="174"/>
      <c r="D273" s="332" t="str">
        <f t="shared" si="35"/>
        <v>AA183</v>
      </c>
      <c r="E273" s="332" t="str">
        <f>IF(N273="",IF(J273="j",_xlfn.CONCAT("Load"," ",filename_cont,"1.sim"),IF(K273="k",_xlfn.CONCAT("Load"," ",Data!W57,".sim"),"")),"Get Data")</f>
        <v>Get Data</v>
      </c>
      <c r="F273" s="88" t="str">
        <f>CVD_Script_Table!$H$25</f>
        <v>Line</v>
      </c>
      <c r="G273" s="332"/>
      <c r="H273" s="332"/>
      <c r="I273" s="332" t="str">
        <f t="shared" si="36"/>
        <v>attachmenttype[183]</v>
      </c>
      <c r="J273" s="333">
        <f t="shared" si="27"/>
        <v>183</v>
      </c>
      <c r="K273" s="333" t="str">
        <f t="shared" si="28"/>
        <v/>
      </c>
      <c r="L273" s="333" t="str">
        <f t="shared" si="29"/>
        <v/>
      </c>
      <c r="M273" s="333" t="str">
        <f t="shared" si="34"/>
        <v/>
      </c>
      <c r="N273" s="333">
        <f t="shared" si="31"/>
        <v>183</v>
      </c>
    </row>
    <row r="274" spans="1:14" ht="13.5" customHeight="1" x14ac:dyDescent="0.25">
      <c r="A274" s="332" t="str">
        <f t="shared" si="26"/>
        <v>Auxiliar4</v>
      </c>
      <c r="B274" s="332"/>
      <c r="C274" s="174"/>
      <c r="D274" s="332" t="str">
        <f t="shared" si="35"/>
        <v>AA184</v>
      </c>
      <c r="E274" s="332" t="str">
        <f>IF(N274="",IF(J274="j",_xlfn.CONCAT("Load"," ",filename_cont,"1.sim"),IF(K274="k",_xlfn.CONCAT("Load"," ",Data!W57,".sim"),"")),"Get Data")</f>
        <v>Get Data</v>
      </c>
      <c r="F274" s="88" t="str">
        <f>CVD_Script_Table!$H$25</f>
        <v>Line</v>
      </c>
      <c r="G274" s="332"/>
      <c r="H274" s="332"/>
      <c r="I274" s="332" t="str">
        <f t="shared" si="36"/>
        <v>attachmenttype[184]</v>
      </c>
      <c r="J274" s="333">
        <f t="shared" si="27"/>
        <v>184</v>
      </c>
      <c r="K274" s="333" t="str">
        <f t="shared" si="28"/>
        <v/>
      </c>
      <c r="L274" s="333" t="str">
        <f t="shared" si="29"/>
        <v/>
      </c>
      <c r="M274" s="333" t="str">
        <f t="shared" si="34"/>
        <v/>
      </c>
      <c r="N274" s="333">
        <f t="shared" si="31"/>
        <v>184</v>
      </c>
    </row>
    <row r="275" spans="1:14" ht="13.5" customHeight="1" x14ac:dyDescent="0.25">
      <c r="A275" s="332" t="str">
        <f t="shared" si="26"/>
        <v>Auxiliar4</v>
      </c>
      <c r="B275" s="332"/>
      <c r="C275" s="174"/>
      <c r="D275" s="332" t="str">
        <f t="shared" si="35"/>
        <v>AA185</v>
      </c>
      <c r="E275" s="332" t="str">
        <f>IF(N275="",IF(J275="j",_xlfn.CONCAT("Load"," ",filename_cont,"1.sim"),IF(K275="k",_xlfn.CONCAT("Load"," ",Data!W57,".sim"),"")),"Get Data")</f>
        <v>Get Data</v>
      </c>
      <c r="F275" s="88" t="str">
        <f>CVD_Script_Table!$H$25</f>
        <v>Line</v>
      </c>
      <c r="G275" s="332"/>
      <c r="H275" s="332"/>
      <c r="I275" s="332" t="str">
        <f t="shared" si="36"/>
        <v>attachmenttype[185]</v>
      </c>
      <c r="J275" s="333">
        <f t="shared" si="27"/>
        <v>185</v>
      </c>
      <c r="K275" s="333" t="str">
        <f t="shared" si="28"/>
        <v/>
      </c>
      <c r="L275" s="333" t="str">
        <f t="shared" si="29"/>
        <v/>
      </c>
      <c r="M275" s="333" t="str">
        <f t="shared" si="34"/>
        <v/>
      </c>
      <c r="N275" s="333">
        <f t="shared" si="31"/>
        <v>185</v>
      </c>
    </row>
    <row r="276" spans="1:14" ht="13.5" customHeight="1" x14ac:dyDescent="0.25">
      <c r="A276" s="332" t="str">
        <f t="shared" si="26"/>
        <v>Auxiliar4</v>
      </c>
      <c r="B276" s="332"/>
      <c r="C276" s="174"/>
      <c r="D276" s="332" t="str">
        <f t="shared" si="35"/>
        <v>AA186</v>
      </c>
      <c r="E276" s="332" t="str">
        <f>IF(N276="",IF(J276="j",_xlfn.CONCAT("Load"," ",filename_cont,"1.sim"),IF(K276="k",_xlfn.CONCAT("Load"," ",Data!W57,".sim"),"")),"Get Data")</f>
        <v>Get Data</v>
      </c>
      <c r="F276" s="88" t="str">
        <f>CVD_Script_Table!$H$25</f>
        <v>Line</v>
      </c>
      <c r="G276" s="332"/>
      <c r="H276" s="332"/>
      <c r="I276" s="332" t="str">
        <f t="shared" si="36"/>
        <v>attachmenttype[186]</v>
      </c>
      <c r="J276" s="333">
        <f t="shared" si="27"/>
        <v>186</v>
      </c>
      <c r="K276" s="333" t="str">
        <f t="shared" si="28"/>
        <v/>
      </c>
      <c r="L276" s="333" t="str">
        <f t="shared" si="29"/>
        <v/>
      </c>
      <c r="M276" s="333" t="str">
        <f t="shared" si="34"/>
        <v/>
      </c>
      <c r="N276" s="333">
        <f t="shared" si="31"/>
        <v>186</v>
      </c>
    </row>
    <row r="277" spans="1:14" ht="13.5" customHeight="1" x14ac:dyDescent="0.25">
      <c r="A277" s="332" t="str">
        <f t="shared" si="26"/>
        <v>Auxiliar4</v>
      </c>
      <c r="B277" s="332"/>
      <c r="C277" s="174"/>
      <c r="D277" s="332" t="str">
        <f t="shared" si="35"/>
        <v>AA187</v>
      </c>
      <c r="E277" s="332" t="str">
        <f>IF(N277="",IF(J277="j",_xlfn.CONCAT("Load"," ",filename_cont,"1.sim"),IF(K277="k",_xlfn.CONCAT("Load"," ",Data!W57,".sim"),"")),"Get Data")</f>
        <v>Get Data</v>
      </c>
      <c r="F277" s="88" t="str">
        <f>CVD_Script_Table!$H$25</f>
        <v>Line</v>
      </c>
      <c r="G277" s="332"/>
      <c r="H277" s="332"/>
      <c r="I277" s="332" t="str">
        <f t="shared" si="36"/>
        <v>attachmenttype[187]</v>
      </c>
      <c r="J277" s="333">
        <f t="shared" si="27"/>
        <v>187</v>
      </c>
      <c r="K277" s="333" t="str">
        <f t="shared" si="28"/>
        <v/>
      </c>
      <c r="L277" s="333" t="str">
        <f t="shared" si="29"/>
        <v/>
      </c>
      <c r="M277" s="333" t="str">
        <f t="shared" si="34"/>
        <v/>
      </c>
      <c r="N277" s="333">
        <f t="shared" si="31"/>
        <v>187</v>
      </c>
    </row>
    <row r="278" spans="1:14" ht="13.5" customHeight="1" x14ac:dyDescent="0.25">
      <c r="A278" s="332" t="str">
        <f t="shared" si="26"/>
        <v>Auxiliar4</v>
      </c>
      <c r="B278" s="332"/>
      <c r="C278" s="174"/>
      <c r="D278" s="332" t="str">
        <f t="shared" si="35"/>
        <v>AA188</v>
      </c>
      <c r="E278" s="332" t="str">
        <f>IF(N278="",IF(J278="j",_xlfn.CONCAT("Load"," ",filename_cont,"1.sim"),IF(K278="k",_xlfn.CONCAT("Load"," ",Data!W57,".sim"),"")),"Get Data")</f>
        <v>Get Data</v>
      </c>
      <c r="F278" s="88" t="str">
        <f>CVD_Script_Table!$H$25</f>
        <v>Line</v>
      </c>
      <c r="G278" s="332"/>
      <c r="H278" s="332"/>
      <c r="I278" s="332" t="str">
        <f t="shared" si="36"/>
        <v>attachmenttype[188]</v>
      </c>
      <c r="J278" s="333">
        <f t="shared" si="27"/>
        <v>188</v>
      </c>
      <c r="K278" s="333" t="str">
        <f t="shared" si="28"/>
        <v/>
      </c>
      <c r="L278" s="333" t="str">
        <f t="shared" si="29"/>
        <v/>
      </c>
      <c r="M278" s="333" t="str">
        <f t="shared" si="34"/>
        <v/>
      </c>
      <c r="N278" s="333">
        <f t="shared" si="31"/>
        <v>188</v>
      </c>
    </row>
    <row r="279" spans="1:14" ht="13.5" customHeight="1" x14ac:dyDescent="0.25">
      <c r="A279" s="332" t="str">
        <f t="shared" si="26"/>
        <v>Auxiliar4</v>
      </c>
      <c r="B279" s="332"/>
      <c r="C279" s="174"/>
      <c r="D279" s="332" t="str">
        <f t="shared" si="35"/>
        <v>AA189</v>
      </c>
      <c r="E279" s="332" t="str">
        <f>IF(N279="",IF(J279="j",_xlfn.CONCAT("Load"," ",filename_cont,"1.sim"),IF(K279="k",_xlfn.CONCAT("Load"," ",Data!W57,".sim"),"")),"Get Data")</f>
        <v>Get Data</v>
      </c>
      <c r="F279" s="88" t="str">
        <f>CVD_Script_Table!$H$25</f>
        <v>Line</v>
      </c>
      <c r="G279" s="332"/>
      <c r="H279" s="332"/>
      <c r="I279" s="332" t="str">
        <f t="shared" si="36"/>
        <v>attachmenttype[189]</v>
      </c>
      <c r="J279" s="333">
        <f t="shared" si="27"/>
        <v>189</v>
      </c>
      <c r="K279" s="333" t="str">
        <f t="shared" si="28"/>
        <v/>
      </c>
      <c r="L279" s="333" t="str">
        <f t="shared" si="29"/>
        <v/>
      </c>
      <c r="M279" s="333" t="str">
        <f t="shared" si="34"/>
        <v/>
      </c>
      <c r="N279" s="333">
        <f t="shared" si="31"/>
        <v>189</v>
      </c>
    </row>
    <row r="280" spans="1:14" ht="13.5" customHeight="1" x14ac:dyDescent="0.25">
      <c r="A280" s="332" t="str">
        <f t="shared" si="26"/>
        <v>Auxiliar4</v>
      </c>
      <c r="B280" s="332"/>
      <c r="C280" s="174"/>
      <c r="D280" s="332" t="str">
        <f t="shared" si="35"/>
        <v>AA190</v>
      </c>
      <c r="E280" s="332" t="str">
        <f>IF(N280="",IF(J280="j",_xlfn.CONCAT("Load"," ",filename_cont,"1.sim"),IF(K280="k",_xlfn.CONCAT("Load"," ",Data!W57,".sim"),"")),"Get Data")</f>
        <v>Get Data</v>
      </c>
      <c r="F280" s="88" t="str">
        <f>CVD_Script_Table!$H$25</f>
        <v>Line</v>
      </c>
      <c r="G280" s="332"/>
      <c r="H280" s="332"/>
      <c r="I280" s="332" t="str">
        <f t="shared" si="36"/>
        <v>attachmenttype[190]</v>
      </c>
      <c r="J280" s="333">
        <f t="shared" si="27"/>
        <v>190</v>
      </c>
      <c r="K280" s="333" t="str">
        <f t="shared" si="28"/>
        <v/>
      </c>
      <c r="L280" s="333" t="str">
        <f t="shared" si="29"/>
        <v/>
      </c>
      <c r="M280" s="333" t="str">
        <f t="shared" si="34"/>
        <v/>
      </c>
      <c r="N280" s="333">
        <f t="shared" si="31"/>
        <v>190</v>
      </c>
    </row>
    <row r="281" spans="1:14" ht="13.5" customHeight="1" x14ac:dyDescent="0.25">
      <c r="A281" s="332" t="str">
        <f t="shared" si="26"/>
        <v>Auxiliar4</v>
      </c>
      <c r="B281" s="332"/>
      <c r="C281" s="174"/>
      <c r="D281" s="332" t="str">
        <f t="shared" si="35"/>
        <v>AA191</v>
      </c>
      <c r="E281" s="332" t="str">
        <f>IF(N281="",IF(J281="j",_xlfn.CONCAT("Load"," ",filename_cont,"1.sim"),IF(K281="k",_xlfn.CONCAT("Load"," ",Data!W57,".sim"),"")),"Get Data")</f>
        <v>Get Data</v>
      </c>
      <c r="F281" s="88" t="str">
        <f>CVD_Script_Table!$H$25</f>
        <v>Line</v>
      </c>
      <c r="G281" s="332"/>
      <c r="H281" s="332"/>
      <c r="I281" s="332" t="str">
        <f t="shared" si="36"/>
        <v>attachmenttype[191]</v>
      </c>
      <c r="J281" s="333">
        <f t="shared" si="27"/>
        <v>191</v>
      </c>
      <c r="K281" s="333" t="str">
        <f t="shared" si="28"/>
        <v/>
      </c>
      <c r="L281" s="333" t="str">
        <f t="shared" si="29"/>
        <v/>
      </c>
      <c r="M281" s="333" t="str">
        <f t="shared" si="34"/>
        <v/>
      </c>
      <c r="N281" s="333">
        <f t="shared" si="31"/>
        <v>191</v>
      </c>
    </row>
    <row r="282" spans="1:14" ht="13.5" customHeight="1" x14ac:dyDescent="0.25">
      <c r="A282" s="332" t="str">
        <f t="shared" si="26"/>
        <v>Auxiliar4</v>
      </c>
      <c r="B282" s="332"/>
      <c r="C282" s="174"/>
      <c r="D282" s="332" t="str">
        <f t="shared" si="35"/>
        <v>AA192</v>
      </c>
      <c r="E282" s="332" t="str">
        <f>IF(N282="",IF(J282="j",_xlfn.CONCAT("Load"," ",filename_cont,"1.sim"),IF(K282="k",_xlfn.CONCAT("Load"," ",Data!W57,".sim"),"")),"Get Data")</f>
        <v>Get Data</v>
      </c>
      <c r="F282" s="88" t="str">
        <f>CVD_Script_Table!$H$25</f>
        <v>Line</v>
      </c>
      <c r="G282" s="332"/>
      <c r="H282" s="332"/>
      <c r="I282" s="332" t="str">
        <f t="shared" si="36"/>
        <v>attachmenttype[192]</v>
      </c>
      <c r="J282" s="333">
        <f t="shared" si="27"/>
        <v>192</v>
      </c>
      <c r="K282" s="333" t="str">
        <f t="shared" si="28"/>
        <v/>
      </c>
      <c r="L282" s="333" t="str">
        <f t="shared" si="29"/>
        <v/>
      </c>
      <c r="M282" s="333" t="str">
        <f t="shared" si="34"/>
        <v/>
      </c>
      <c r="N282" s="333">
        <f t="shared" si="31"/>
        <v>192</v>
      </c>
    </row>
    <row r="283" spans="1:14" ht="13.5" customHeight="1" x14ac:dyDescent="0.25">
      <c r="A283" s="332" t="str">
        <f t="shared" ref="A283:A320" si="37">IF(N283="","",IF(ISNUMBER(J283),"Auxiliar4",IF(ISNUMBER(K283),"Auxiliar3",IF(ISNUMBER(L283),"Auxiliar2",IF(ISNUMBER(M283),"Auxiliar2")))))</f>
        <v>Auxiliar4</v>
      </c>
      <c r="B283" s="332"/>
      <c r="C283" s="174"/>
      <c r="D283" s="332" t="str">
        <f t="shared" si="35"/>
        <v>AA193</v>
      </c>
      <c r="E283" s="332" t="str">
        <f>IF(N283="",IF(J283="j",_xlfn.CONCAT("Load"," ",filename_cont,"1.sim"),IF(K283="k",_xlfn.CONCAT("Load"," ",Data!W57,".sim"),"")),"Get Data")</f>
        <v>Get Data</v>
      </c>
      <c r="F283" s="88" t="str">
        <f>CVD_Script_Table!$H$25</f>
        <v>Line</v>
      </c>
      <c r="G283" s="332"/>
      <c r="H283" s="332"/>
      <c r="I283" s="332" t="str">
        <f t="shared" si="36"/>
        <v>attachmenttype[193]</v>
      </c>
      <c r="J283" s="333">
        <f t="shared" ref="J283:J320" si="38">IFERROR(IF(J282="",J$9+1,IF(J282=J$88,"j",J282+1)),"jj")</f>
        <v>193</v>
      </c>
      <c r="K283" s="333" t="str">
        <f t="shared" ref="K283:K320" si="39">IF((J283="jj"),IFERROR(IF(K282="",J$9+1,IF(K282=J$80,"k",K282+1)),"kk"),"")</f>
        <v/>
      </c>
      <c r="L283" s="333" t="str">
        <f t="shared" ref="L283:L320" si="40">IF((K283="kk"),IFERROR(IF(L282="",2,IF(L282=J$9,"l",L282+1)),"ll"),"")</f>
        <v/>
      </c>
      <c r="M283" s="333" t="str">
        <f>IF(OR(L283="l",L283="ll"),IFERROR(IF(M282="",2,IF(M282=J$9,"m",M282+1)),"mm"),"")</f>
        <v/>
      </c>
      <c r="N283" s="333">
        <f t="shared" ref="N283:N320" si="41">IF(ISNUMBER(M283),"z",IF(ISNUMBER(L283),L283,IF(ISNUMBER(K283),K283,IF(ISNUMBER(J283),J283,""))))</f>
        <v>193</v>
      </c>
    </row>
    <row r="284" spans="1:14" ht="13.5" customHeight="1" x14ac:dyDescent="0.25">
      <c r="A284" s="332" t="str">
        <f t="shared" si="37"/>
        <v>Auxiliar4</v>
      </c>
      <c r="B284" s="332"/>
      <c r="C284" s="174"/>
      <c r="D284" s="332" t="str">
        <f t="shared" si="35"/>
        <v>AA194</v>
      </c>
      <c r="E284" s="332" t="str">
        <f>IF(N284="",IF(J284="j",_xlfn.CONCAT("Load"," ",filename_cont,"1.sim"),IF(K284="k",_xlfn.CONCAT("Load"," ",Data!W57,".sim"),"")),"Get Data")</f>
        <v>Get Data</v>
      </c>
      <c r="F284" s="88" t="str">
        <f>CVD_Script_Table!$H$25</f>
        <v>Line</v>
      </c>
      <c r="G284" s="332"/>
      <c r="H284" s="332"/>
      <c r="I284" s="332" t="str">
        <f t="shared" si="36"/>
        <v>attachmenttype[194]</v>
      </c>
      <c r="J284" s="333">
        <f t="shared" si="38"/>
        <v>194</v>
      </c>
      <c r="K284" s="333" t="str">
        <f t="shared" si="39"/>
        <v/>
      </c>
      <c r="L284" s="333" t="str">
        <f t="shared" si="40"/>
        <v/>
      </c>
      <c r="M284" s="333" t="str">
        <f t="shared" ref="M284:M320" si="42">IF(OR(L284="l",L284="ll"),IFERROR(IF(M283="",2,IF(M283=J$9,"m",M283+1)),"mm"),"")</f>
        <v/>
      </c>
      <c r="N284" s="333">
        <f t="shared" si="41"/>
        <v>194</v>
      </c>
    </row>
    <row r="285" spans="1:14" ht="13.5" customHeight="1" x14ac:dyDescent="0.25">
      <c r="A285" s="332" t="str">
        <f t="shared" si="37"/>
        <v>Auxiliar4</v>
      </c>
      <c r="B285" s="332"/>
      <c r="C285" s="174"/>
      <c r="D285" s="332" t="str">
        <f t="shared" si="35"/>
        <v>AA195</v>
      </c>
      <c r="E285" s="332" t="str">
        <f>IF(N285="",IF(J285="j",_xlfn.CONCAT("Load"," ",filename_cont,"1.sim"),IF(K285="k",_xlfn.CONCAT("Load"," ",Data!W57,".sim"),"")),"Get Data")</f>
        <v>Get Data</v>
      </c>
      <c r="F285" s="88" t="str">
        <f>CVD_Script_Table!$H$25</f>
        <v>Line</v>
      </c>
      <c r="G285" s="332"/>
      <c r="H285" s="332"/>
      <c r="I285" s="332" t="str">
        <f t="shared" si="36"/>
        <v>attachmenttype[195]</v>
      </c>
      <c r="J285" s="333">
        <f t="shared" si="38"/>
        <v>195</v>
      </c>
      <c r="K285" s="333" t="str">
        <f t="shared" si="39"/>
        <v/>
      </c>
      <c r="L285" s="333" t="str">
        <f t="shared" si="40"/>
        <v/>
      </c>
      <c r="M285" s="333" t="str">
        <f t="shared" si="42"/>
        <v/>
      </c>
      <c r="N285" s="333">
        <f t="shared" si="41"/>
        <v>195</v>
      </c>
    </row>
    <row r="286" spans="1:14" ht="13.5" customHeight="1" x14ac:dyDescent="0.25">
      <c r="A286" s="332" t="str">
        <f t="shared" si="37"/>
        <v>Auxiliar4</v>
      </c>
      <c r="B286" s="332"/>
      <c r="C286" s="174"/>
      <c r="D286" s="332" t="str">
        <f t="shared" si="35"/>
        <v>AA196</v>
      </c>
      <c r="E286" s="332" t="str">
        <f>IF(N286="",IF(J286="j",_xlfn.CONCAT("Load"," ",filename_cont,"1.sim"),IF(K286="k",_xlfn.CONCAT("Load"," ",Data!W57,".sim"),"")),"Get Data")</f>
        <v>Get Data</v>
      </c>
      <c r="F286" s="88" t="str">
        <f>CVD_Script_Table!$H$25</f>
        <v>Line</v>
      </c>
      <c r="G286" s="332"/>
      <c r="H286" s="332"/>
      <c r="I286" s="332" t="str">
        <f t="shared" si="36"/>
        <v>attachmenttype[196]</v>
      </c>
      <c r="J286" s="333">
        <f t="shared" si="38"/>
        <v>196</v>
      </c>
      <c r="K286" s="333" t="str">
        <f t="shared" si="39"/>
        <v/>
      </c>
      <c r="L286" s="333" t="str">
        <f t="shared" si="40"/>
        <v/>
      </c>
      <c r="M286" s="333" t="str">
        <f t="shared" si="42"/>
        <v/>
      </c>
      <c r="N286" s="333">
        <f t="shared" si="41"/>
        <v>196</v>
      </c>
    </row>
    <row r="287" spans="1:14" ht="13.5" customHeight="1" x14ac:dyDescent="0.25">
      <c r="A287" s="332" t="str">
        <f t="shared" si="37"/>
        <v>Auxiliar4</v>
      </c>
      <c r="B287" s="332"/>
      <c r="C287" s="174"/>
      <c r="D287" s="332" t="str">
        <f t="shared" si="35"/>
        <v>AA197</v>
      </c>
      <c r="E287" s="332" t="str">
        <f>IF(N287="",IF(J287="j",_xlfn.CONCAT("Load"," ",filename_cont,"1.sim"),IF(K287="k",_xlfn.CONCAT("Load"," ",Data!W57,".sim"),"")),"Get Data")</f>
        <v>Get Data</v>
      </c>
      <c r="F287" s="88" t="str">
        <f>CVD_Script_Table!$H$25</f>
        <v>Line</v>
      </c>
      <c r="G287" s="332"/>
      <c r="H287" s="332"/>
      <c r="I287" s="332" t="str">
        <f t="shared" si="36"/>
        <v>attachmenttype[197]</v>
      </c>
      <c r="J287" s="333">
        <f t="shared" si="38"/>
        <v>197</v>
      </c>
      <c r="K287" s="333" t="str">
        <f t="shared" si="39"/>
        <v/>
      </c>
      <c r="L287" s="333" t="str">
        <f t="shared" si="40"/>
        <v/>
      </c>
      <c r="M287" s="333" t="str">
        <f t="shared" si="42"/>
        <v/>
      </c>
      <c r="N287" s="333">
        <f t="shared" si="41"/>
        <v>197</v>
      </c>
    </row>
    <row r="288" spans="1:14" ht="13.5" customHeight="1" x14ac:dyDescent="0.25">
      <c r="A288" s="332" t="str">
        <f t="shared" si="37"/>
        <v>Auxiliar4</v>
      </c>
      <c r="B288" s="332"/>
      <c r="C288" s="174"/>
      <c r="D288" s="332" t="str">
        <f t="shared" si="35"/>
        <v>AA198</v>
      </c>
      <c r="E288" s="332" t="str">
        <f>IF(N288="",IF(J288="j",_xlfn.CONCAT("Load"," ",filename_cont,"1.sim"),IF(K288="k",_xlfn.CONCAT("Load"," ",Data!W57,".sim"),"")),"Get Data")</f>
        <v>Get Data</v>
      </c>
      <c r="F288" s="88" t="str">
        <f>CVD_Script_Table!$H$25</f>
        <v>Line</v>
      </c>
      <c r="G288" s="332"/>
      <c r="H288" s="332"/>
      <c r="I288" s="332" t="str">
        <f t="shared" si="36"/>
        <v>attachmenttype[198]</v>
      </c>
      <c r="J288" s="333">
        <f t="shared" si="38"/>
        <v>198</v>
      </c>
      <c r="K288" s="333" t="str">
        <f t="shared" si="39"/>
        <v/>
      </c>
      <c r="L288" s="333" t="str">
        <f t="shared" si="40"/>
        <v/>
      </c>
      <c r="M288" s="333" t="str">
        <f t="shared" si="42"/>
        <v/>
      </c>
      <c r="N288" s="333">
        <f t="shared" si="41"/>
        <v>198</v>
      </c>
    </row>
    <row r="289" spans="1:14" ht="13.5" customHeight="1" x14ac:dyDescent="0.25">
      <c r="A289" s="332" t="str">
        <f t="shared" si="37"/>
        <v>Auxiliar4</v>
      </c>
      <c r="B289" s="332"/>
      <c r="C289" s="174"/>
      <c r="D289" s="332" t="str">
        <f t="shared" si="35"/>
        <v>AA199</v>
      </c>
      <c r="E289" s="332" t="str">
        <f>IF(N289="",IF(J289="j",_xlfn.CONCAT("Load"," ",filename_cont,"1.sim"),IF(K289="k",_xlfn.CONCAT("Load"," ",Data!W57,".sim"),"")),"Get Data")</f>
        <v>Get Data</v>
      </c>
      <c r="F289" s="88" t="str">
        <f>CVD_Script_Table!$H$25</f>
        <v>Line</v>
      </c>
      <c r="G289" s="332"/>
      <c r="H289" s="332"/>
      <c r="I289" s="332" t="str">
        <f t="shared" si="36"/>
        <v>attachmenttype[199]</v>
      </c>
      <c r="J289" s="333">
        <f t="shared" si="38"/>
        <v>199</v>
      </c>
      <c r="K289" s="333" t="str">
        <f t="shared" si="39"/>
        <v/>
      </c>
      <c r="L289" s="333" t="str">
        <f t="shared" si="40"/>
        <v/>
      </c>
      <c r="M289" s="333" t="str">
        <f t="shared" si="42"/>
        <v/>
      </c>
      <c r="N289" s="333">
        <f t="shared" si="41"/>
        <v>199</v>
      </c>
    </row>
    <row r="290" spans="1:14" ht="13.5" customHeight="1" x14ac:dyDescent="0.25">
      <c r="A290" s="332" t="str">
        <f t="shared" si="37"/>
        <v>Auxiliar4</v>
      </c>
      <c r="B290" s="332"/>
      <c r="C290" s="174"/>
      <c r="D290" s="332" t="str">
        <f t="shared" si="35"/>
        <v>AA200</v>
      </c>
      <c r="E290" s="332" t="str">
        <f>IF(N290="",IF(J290="j",_xlfn.CONCAT("Load"," ",filename_cont,"1.sim"),IF(K290="k",_xlfn.CONCAT("Load"," ",Data!W57,".sim"),"")),"Get Data")</f>
        <v>Get Data</v>
      </c>
      <c r="F290" s="88" t="str">
        <f>CVD_Script_Table!$H$25</f>
        <v>Line</v>
      </c>
      <c r="G290" s="332"/>
      <c r="H290" s="332"/>
      <c r="I290" s="332" t="str">
        <f t="shared" si="36"/>
        <v>attachmenttype[200]</v>
      </c>
      <c r="J290" s="333">
        <f t="shared" si="38"/>
        <v>200</v>
      </c>
      <c r="K290" s="333" t="str">
        <f t="shared" si="39"/>
        <v/>
      </c>
      <c r="L290" s="333" t="str">
        <f t="shared" si="40"/>
        <v/>
      </c>
      <c r="M290" s="333" t="str">
        <f t="shared" si="42"/>
        <v/>
      </c>
      <c r="N290" s="333">
        <f t="shared" si="41"/>
        <v>200</v>
      </c>
    </row>
    <row r="291" spans="1:14" ht="13.5" customHeight="1" x14ac:dyDescent="0.25">
      <c r="A291" s="332" t="str">
        <f t="shared" si="37"/>
        <v>Auxiliar4</v>
      </c>
      <c r="B291" s="332"/>
      <c r="C291" s="174"/>
      <c r="D291" s="332" t="str">
        <f t="shared" si="35"/>
        <v>AA201</v>
      </c>
      <c r="E291" s="332" t="str">
        <f>IF(N291="",IF(J291="j",_xlfn.CONCAT("Load"," ",filename_cont,"1.sim"),IF(K291="k",_xlfn.CONCAT("Load"," ",Data!W57,".sim"),"")),"Get Data")</f>
        <v>Get Data</v>
      </c>
      <c r="F291" s="88" t="str">
        <f>CVD_Script_Table!$H$25</f>
        <v>Line</v>
      </c>
      <c r="G291" s="332"/>
      <c r="H291" s="332"/>
      <c r="I291" s="332" t="str">
        <f t="shared" si="36"/>
        <v>attachmenttype[201]</v>
      </c>
      <c r="J291" s="333">
        <f t="shared" si="38"/>
        <v>201</v>
      </c>
      <c r="K291" s="333" t="str">
        <f t="shared" si="39"/>
        <v/>
      </c>
      <c r="L291" s="333" t="str">
        <f t="shared" si="40"/>
        <v/>
      </c>
      <c r="M291" s="333" t="str">
        <f t="shared" si="42"/>
        <v/>
      </c>
      <c r="N291" s="333">
        <f t="shared" si="41"/>
        <v>201</v>
      </c>
    </row>
    <row r="292" spans="1:14" ht="13.5" customHeight="1" x14ac:dyDescent="0.25">
      <c r="A292" s="332" t="str">
        <f t="shared" si="37"/>
        <v>Auxiliar4</v>
      </c>
      <c r="B292" s="332"/>
      <c r="C292" s="174"/>
      <c r="D292" s="332" t="str">
        <f t="shared" si="35"/>
        <v>AA202</v>
      </c>
      <c r="E292" s="332" t="str">
        <f>IF(N292="",IF(J292="j",_xlfn.CONCAT("Load"," ",filename_cont,"1.sim"),IF(K292="k",_xlfn.CONCAT("Load"," ",Data!W57,".sim"),"")),"Get Data")</f>
        <v>Get Data</v>
      </c>
      <c r="F292" s="88" t="str">
        <f>CVD_Script_Table!$H$25</f>
        <v>Line</v>
      </c>
      <c r="G292" s="332"/>
      <c r="H292" s="332"/>
      <c r="I292" s="332" t="str">
        <f t="shared" si="36"/>
        <v>attachmenttype[202]</v>
      </c>
      <c r="J292" s="333">
        <f t="shared" si="38"/>
        <v>202</v>
      </c>
      <c r="K292" s="333" t="str">
        <f t="shared" si="39"/>
        <v/>
      </c>
      <c r="L292" s="333" t="str">
        <f t="shared" si="40"/>
        <v/>
      </c>
      <c r="M292" s="333" t="str">
        <f t="shared" si="42"/>
        <v/>
      </c>
      <c r="N292" s="333">
        <f t="shared" si="41"/>
        <v>202</v>
      </c>
    </row>
    <row r="293" spans="1:14" ht="13.5" customHeight="1" x14ac:dyDescent="0.25">
      <c r="A293" s="332" t="str">
        <f t="shared" si="37"/>
        <v>Auxiliar4</v>
      </c>
      <c r="B293" s="332"/>
      <c r="C293" s="174"/>
      <c r="D293" s="332" t="str">
        <f t="shared" si="35"/>
        <v>AA203</v>
      </c>
      <c r="E293" s="332" t="str">
        <f>IF(N293="",IF(J293="j",_xlfn.CONCAT("Load"," ",filename_cont,"1.sim"),IF(K293="k",_xlfn.CONCAT("Load"," ",Data!W57,".sim"),"")),"Get Data")</f>
        <v>Get Data</v>
      </c>
      <c r="F293" s="88" t="str">
        <f>CVD_Script_Table!$H$25</f>
        <v>Line</v>
      </c>
      <c r="G293" s="332"/>
      <c r="H293" s="332"/>
      <c r="I293" s="332" t="str">
        <f t="shared" si="36"/>
        <v>attachmenttype[203]</v>
      </c>
      <c r="J293" s="333">
        <f t="shared" si="38"/>
        <v>203</v>
      </c>
      <c r="K293" s="333" t="str">
        <f t="shared" si="39"/>
        <v/>
      </c>
      <c r="L293" s="333" t="str">
        <f t="shared" si="40"/>
        <v/>
      </c>
      <c r="M293" s="333" t="str">
        <f t="shared" si="42"/>
        <v/>
      </c>
      <c r="N293" s="333">
        <f t="shared" si="41"/>
        <v>203</v>
      </c>
    </row>
    <row r="294" spans="1:14" ht="13.5" customHeight="1" x14ac:dyDescent="0.25">
      <c r="A294" s="332" t="str">
        <f t="shared" si="37"/>
        <v>Auxiliar4</v>
      </c>
      <c r="B294" s="332"/>
      <c r="C294" s="174"/>
      <c r="D294" s="332" t="str">
        <f t="shared" si="35"/>
        <v>AA204</v>
      </c>
      <c r="E294" s="332" t="str">
        <f>IF(N294="",IF(J294="j",_xlfn.CONCAT("Load"," ",filename_cont,"1.sim"),IF(K294="k",_xlfn.CONCAT("Load"," ",Data!W57,".sim"),"")),"Get Data")</f>
        <v>Get Data</v>
      </c>
      <c r="F294" s="88" t="str">
        <f>CVD_Script_Table!$H$25</f>
        <v>Line</v>
      </c>
      <c r="G294" s="332"/>
      <c r="H294" s="332"/>
      <c r="I294" s="332" t="str">
        <f t="shared" si="36"/>
        <v>attachmenttype[204]</v>
      </c>
      <c r="J294" s="333">
        <f t="shared" si="38"/>
        <v>204</v>
      </c>
      <c r="K294" s="333" t="str">
        <f t="shared" si="39"/>
        <v/>
      </c>
      <c r="L294" s="333" t="str">
        <f t="shared" si="40"/>
        <v/>
      </c>
      <c r="M294" s="333" t="str">
        <f t="shared" si="42"/>
        <v/>
      </c>
      <c r="N294" s="333">
        <f t="shared" si="41"/>
        <v>204</v>
      </c>
    </row>
    <row r="295" spans="1:14" ht="13.5" customHeight="1" x14ac:dyDescent="0.25">
      <c r="A295" s="332" t="str">
        <f t="shared" si="37"/>
        <v>Auxiliar4</v>
      </c>
      <c r="B295" s="332"/>
      <c r="C295" s="174"/>
      <c r="D295" s="332" t="str">
        <f t="shared" si="35"/>
        <v>AA205</v>
      </c>
      <c r="E295" s="332" t="str">
        <f>IF(N295="",IF(J295="j",_xlfn.CONCAT("Load"," ",filename_cont,"1.sim"),IF(K295="k",_xlfn.CONCAT("Load"," ",Data!W57,".sim"),"")),"Get Data")</f>
        <v>Get Data</v>
      </c>
      <c r="F295" s="88" t="str">
        <f>CVD_Script_Table!$H$25</f>
        <v>Line</v>
      </c>
      <c r="G295" s="332"/>
      <c r="H295" s="332"/>
      <c r="I295" s="332" t="str">
        <f t="shared" si="36"/>
        <v>attachmenttype[205]</v>
      </c>
      <c r="J295" s="333">
        <f t="shared" si="38"/>
        <v>205</v>
      </c>
      <c r="K295" s="333" t="str">
        <f t="shared" si="39"/>
        <v/>
      </c>
      <c r="L295" s="333" t="str">
        <f t="shared" si="40"/>
        <v/>
      </c>
      <c r="M295" s="333" t="str">
        <f t="shared" si="42"/>
        <v/>
      </c>
      <c r="N295" s="333">
        <f t="shared" si="41"/>
        <v>205</v>
      </c>
    </row>
    <row r="296" spans="1:14" ht="13.5" customHeight="1" x14ac:dyDescent="0.25">
      <c r="A296" s="332" t="str">
        <f t="shared" si="37"/>
        <v>Auxiliar4</v>
      </c>
      <c r="B296" s="332"/>
      <c r="C296" s="174"/>
      <c r="D296" s="332" t="str">
        <f t="shared" si="35"/>
        <v>AA206</v>
      </c>
      <c r="E296" s="332" t="str">
        <f>IF(N296="",IF(J296="j",_xlfn.CONCAT("Load"," ",filename_cont,"1.sim"),IF(K296="k",_xlfn.CONCAT("Load"," ",Data!W57,".sim"),"")),"Get Data")</f>
        <v>Get Data</v>
      </c>
      <c r="F296" s="88" t="str">
        <f>CVD_Script_Table!$H$25</f>
        <v>Line</v>
      </c>
      <c r="G296" s="332"/>
      <c r="H296" s="332"/>
      <c r="I296" s="332" t="str">
        <f t="shared" si="36"/>
        <v>attachmenttype[206]</v>
      </c>
      <c r="J296" s="333">
        <f t="shared" si="38"/>
        <v>206</v>
      </c>
      <c r="K296" s="333" t="str">
        <f t="shared" si="39"/>
        <v/>
      </c>
      <c r="L296" s="333" t="str">
        <f t="shared" si="40"/>
        <v/>
      </c>
      <c r="M296" s="333" t="str">
        <f t="shared" si="42"/>
        <v/>
      </c>
      <c r="N296" s="333">
        <f t="shared" si="41"/>
        <v>206</v>
      </c>
    </row>
    <row r="297" spans="1:14" ht="13.5" customHeight="1" x14ac:dyDescent="0.25">
      <c r="A297" s="332" t="str">
        <f t="shared" si="37"/>
        <v>Auxiliar4</v>
      </c>
      <c r="B297" s="332"/>
      <c r="C297" s="174"/>
      <c r="D297" s="332" t="str">
        <f t="shared" si="35"/>
        <v>AA207</v>
      </c>
      <c r="E297" s="332" t="str">
        <f>IF(N297="",IF(J297="j",_xlfn.CONCAT("Load"," ",filename_cont,"1.sim"),IF(K297="k",_xlfn.CONCAT("Load"," ",Data!W57,".sim"),"")),"Get Data")</f>
        <v>Get Data</v>
      </c>
      <c r="F297" s="88" t="str">
        <f>CVD_Script_Table!$H$25</f>
        <v>Line</v>
      </c>
      <c r="G297" s="332"/>
      <c r="H297" s="332"/>
      <c r="I297" s="332" t="str">
        <f t="shared" si="36"/>
        <v>attachmenttype[207]</v>
      </c>
      <c r="J297" s="333">
        <f t="shared" si="38"/>
        <v>207</v>
      </c>
      <c r="K297" s="333" t="str">
        <f t="shared" si="39"/>
        <v/>
      </c>
      <c r="L297" s="333" t="str">
        <f t="shared" si="40"/>
        <v/>
      </c>
      <c r="M297" s="333" t="str">
        <f t="shared" si="42"/>
        <v/>
      </c>
      <c r="N297" s="333">
        <f t="shared" si="41"/>
        <v>207</v>
      </c>
    </row>
    <row r="298" spans="1:14" ht="13.5" customHeight="1" x14ac:dyDescent="0.25">
      <c r="A298" s="332" t="str">
        <f t="shared" si="37"/>
        <v>Auxiliar4</v>
      </c>
      <c r="B298" s="332"/>
      <c r="C298" s="174"/>
      <c r="D298" s="332" t="str">
        <f t="shared" si="35"/>
        <v>AA208</v>
      </c>
      <c r="E298" s="332" t="str">
        <f>IF(N298="",IF(J298="j",_xlfn.CONCAT("Load"," ",filename_cont,"1.sim"),IF(K298="k",_xlfn.CONCAT("Load"," ",Data!W57,".sim"),"")),"Get Data")</f>
        <v>Get Data</v>
      </c>
      <c r="F298" s="88" t="str">
        <f>CVD_Script_Table!$H$25</f>
        <v>Line</v>
      </c>
      <c r="G298" s="332"/>
      <c r="H298" s="332"/>
      <c r="I298" s="332" t="str">
        <f t="shared" si="36"/>
        <v>attachmenttype[208]</v>
      </c>
      <c r="J298" s="333">
        <f t="shared" si="38"/>
        <v>208</v>
      </c>
      <c r="K298" s="333" t="str">
        <f t="shared" si="39"/>
        <v/>
      </c>
      <c r="L298" s="333" t="str">
        <f t="shared" si="40"/>
        <v/>
      </c>
      <c r="M298" s="333" t="str">
        <f t="shared" si="42"/>
        <v/>
      </c>
      <c r="N298" s="333">
        <f t="shared" si="41"/>
        <v>208</v>
      </c>
    </row>
    <row r="299" spans="1:14" ht="13.5" customHeight="1" x14ac:dyDescent="0.25">
      <c r="A299" s="332" t="str">
        <f t="shared" si="37"/>
        <v>Auxiliar4</v>
      </c>
      <c r="B299" s="332"/>
      <c r="C299" s="174"/>
      <c r="D299" s="332" t="str">
        <f t="shared" si="35"/>
        <v>AA209</v>
      </c>
      <c r="E299" s="332" t="str">
        <f>IF(N299="",IF(J299="j",_xlfn.CONCAT("Load"," ",filename_cont,"1.sim"),IF(K299="k",_xlfn.CONCAT("Load"," ",Data!W57,".sim"),"")),"Get Data")</f>
        <v>Get Data</v>
      </c>
      <c r="F299" s="88" t="str">
        <f>CVD_Script_Table!$H$25</f>
        <v>Line</v>
      </c>
      <c r="G299" s="332"/>
      <c r="H299" s="332"/>
      <c r="I299" s="332" t="str">
        <f t="shared" si="36"/>
        <v>attachmenttype[209]</v>
      </c>
      <c r="J299" s="333">
        <f t="shared" si="38"/>
        <v>209</v>
      </c>
      <c r="K299" s="333" t="str">
        <f t="shared" si="39"/>
        <v/>
      </c>
      <c r="L299" s="333" t="str">
        <f t="shared" si="40"/>
        <v/>
      </c>
      <c r="M299" s="333" t="str">
        <f t="shared" si="42"/>
        <v/>
      </c>
      <c r="N299" s="333">
        <f t="shared" si="41"/>
        <v>209</v>
      </c>
    </row>
    <row r="300" spans="1:14" ht="13.5" customHeight="1" x14ac:dyDescent="0.25">
      <c r="A300" s="332" t="str">
        <f t="shared" si="37"/>
        <v>Auxiliar4</v>
      </c>
      <c r="B300" s="332"/>
      <c r="C300" s="174"/>
      <c r="D300" s="332" t="str">
        <f t="shared" si="35"/>
        <v>AA210</v>
      </c>
      <c r="E300" s="332" t="str">
        <f>IF(N300="",IF(J300="j",_xlfn.CONCAT("Load"," ",filename_cont,"1.sim"),IF(K300="k",_xlfn.CONCAT("Load"," ",Data!W57,".sim"),"")),"Get Data")</f>
        <v>Get Data</v>
      </c>
      <c r="F300" s="88" t="str">
        <f>CVD_Script_Table!$H$25</f>
        <v>Line</v>
      </c>
      <c r="G300" s="332"/>
      <c r="H300" s="332"/>
      <c r="I300" s="332" t="str">
        <f t="shared" si="36"/>
        <v>attachmenttype[210]</v>
      </c>
      <c r="J300" s="333">
        <f t="shared" si="38"/>
        <v>210</v>
      </c>
      <c r="K300" s="333" t="str">
        <f t="shared" si="39"/>
        <v/>
      </c>
      <c r="L300" s="333" t="str">
        <f t="shared" si="40"/>
        <v/>
      </c>
      <c r="M300" s="333" t="str">
        <f t="shared" si="42"/>
        <v/>
      </c>
      <c r="N300" s="333">
        <f t="shared" si="41"/>
        <v>210</v>
      </c>
    </row>
    <row r="301" spans="1:14" ht="13.5" customHeight="1" x14ac:dyDescent="0.25">
      <c r="A301" s="332" t="str">
        <f t="shared" si="37"/>
        <v>Auxiliar4</v>
      </c>
      <c r="B301" s="332"/>
      <c r="C301" s="174"/>
      <c r="D301" s="332" t="str">
        <f t="shared" si="35"/>
        <v>AA211</v>
      </c>
      <c r="E301" s="332" t="str">
        <f>IF(N301="",IF(J301="j",_xlfn.CONCAT("Load"," ",filename_cont,"1.sim"),IF(K301="k",_xlfn.CONCAT("Load"," ",Data!W57,".sim"),"")),"Get Data")</f>
        <v>Get Data</v>
      </c>
      <c r="F301" s="88" t="str">
        <f>CVD_Script_Table!$H$25</f>
        <v>Line</v>
      </c>
      <c r="G301" s="332"/>
      <c r="H301" s="332"/>
      <c r="I301" s="332" t="str">
        <f t="shared" si="36"/>
        <v>attachmenttype[211]</v>
      </c>
      <c r="J301" s="333">
        <f t="shared" si="38"/>
        <v>211</v>
      </c>
      <c r="K301" s="333" t="str">
        <f t="shared" si="39"/>
        <v/>
      </c>
      <c r="L301" s="333" t="str">
        <f t="shared" si="40"/>
        <v/>
      </c>
      <c r="M301" s="333" t="str">
        <f t="shared" si="42"/>
        <v/>
      </c>
      <c r="N301" s="333">
        <f t="shared" si="41"/>
        <v>211</v>
      </c>
    </row>
    <row r="302" spans="1:14" ht="13.5" customHeight="1" x14ac:dyDescent="0.25">
      <c r="A302" s="332" t="str">
        <f t="shared" si="37"/>
        <v>Auxiliar4</v>
      </c>
      <c r="B302" s="332"/>
      <c r="C302" s="174"/>
      <c r="D302" s="332" t="str">
        <f t="shared" si="35"/>
        <v>AA212</v>
      </c>
      <c r="E302" s="332" t="str">
        <f>IF(N302="",IF(J302="j",_xlfn.CONCAT("Load"," ",filename_cont,"1.sim"),IF(K302="k",_xlfn.CONCAT("Load"," ",Data!W57,".sim"),"")),"Get Data")</f>
        <v>Get Data</v>
      </c>
      <c r="F302" s="88" t="str">
        <f>CVD_Script_Table!$H$25</f>
        <v>Line</v>
      </c>
      <c r="G302" s="332"/>
      <c r="H302" s="332"/>
      <c r="I302" s="332" t="str">
        <f t="shared" si="36"/>
        <v>attachmenttype[212]</v>
      </c>
      <c r="J302" s="333">
        <f t="shared" si="38"/>
        <v>212</v>
      </c>
      <c r="K302" s="333" t="str">
        <f t="shared" si="39"/>
        <v/>
      </c>
      <c r="L302" s="333" t="str">
        <f t="shared" si="40"/>
        <v/>
      </c>
      <c r="M302" s="333" t="str">
        <f t="shared" si="42"/>
        <v/>
      </c>
      <c r="N302" s="333">
        <f t="shared" si="41"/>
        <v>212</v>
      </c>
    </row>
    <row r="303" spans="1:14" ht="13.5" customHeight="1" x14ac:dyDescent="0.25">
      <c r="A303" s="332" t="str">
        <f t="shared" si="37"/>
        <v>Auxiliar4</v>
      </c>
      <c r="B303" s="332"/>
      <c r="C303" s="174"/>
      <c r="D303" s="332" t="str">
        <f t="shared" si="35"/>
        <v>AA213</v>
      </c>
      <c r="E303" s="332" t="str">
        <f>IF(N303="",IF(J303="j",_xlfn.CONCAT("Load"," ",filename_cont,"1.sim"),IF(K303="k",_xlfn.CONCAT("Load"," ",Data!W57,".sim"),"")),"Get Data")</f>
        <v>Get Data</v>
      </c>
      <c r="F303" s="88" t="str">
        <f>CVD_Script_Table!$H$25</f>
        <v>Line</v>
      </c>
      <c r="G303" s="332"/>
      <c r="H303" s="332"/>
      <c r="I303" s="332" t="str">
        <f t="shared" si="36"/>
        <v>attachmenttype[213]</v>
      </c>
      <c r="J303" s="333">
        <f t="shared" si="38"/>
        <v>213</v>
      </c>
      <c r="K303" s="333" t="str">
        <f t="shared" si="39"/>
        <v/>
      </c>
      <c r="L303" s="333" t="str">
        <f t="shared" si="40"/>
        <v/>
      </c>
      <c r="M303" s="333" t="str">
        <f t="shared" si="42"/>
        <v/>
      </c>
      <c r="N303" s="333">
        <f t="shared" si="41"/>
        <v>213</v>
      </c>
    </row>
    <row r="304" spans="1:14" ht="13.5" customHeight="1" x14ac:dyDescent="0.25">
      <c r="A304" s="332" t="str">
        <f t="shared" si="37"/>
        <v>Auxiliar4</v>
      </c>
      <c r="B304" s="332"/>
      <c r="C304" s="174"/>
      <c r="D304" s="332" t="str">
        <f t="shared" si="35"/>
        <v>AA214</v>
      </c>
      <c r="E304" s="332" t="str">
        <f>IF(N304="",IF(J304="j",_xlfn.CONCAT("Load"," ",filename_cont,"1.sim"),IF(K304="k",_xlfn.CONCAT("Load"," ",Data!W57,".sim"),"")),"Get Data")</f>
        <v>Get Data</v>
      </c>
      <c r="F304" s="88" t="str">
        <f>CVD_Script_Table!$H$25</f>
        <v>Line</v>
      </c>
      <c r="G304" s="332"/>
      <c r="H304" s="332"/>
      <c r="I304" s="332" t="str">
        <f t="shared" si="36"/>
        <v>attachmenttype[214]</v>
      </c>
      <c r="J304" s="333">
        <f t="shared" si="38"/>
        <v>214</v>
      </c>
      <c r="K304" s="333" t="str">
        <f t="shared" si="39"/>
        <v/>
      </c>
      <c r="L304" s="333" t="str">
        <f t="shared" si="40"/>
        <v/>
      </c>
      <c r="M304" s="333" t="str">
        <f t="shared" si="42"/>
        <v/>
      </c>
      <c r="N304" s="333">
        <f t="shared" si="41"/>
        <v>214</v>
      </c>
    </row>
    <row r="305" spans="1:14" ht="13.5" customHeight="1" x14ac:dyDescent="0.25">
      <c r="A305" s="332" t="str">
        <f t="shared" si="37"/>
        <v>Auxiliar4</v>
      </c>
      <c r="B305" s="332"/>
      <c r="C305" s="174"/>
      <c r="D305" s="332" t="str">
        <f t="shared" si="35"/>
        <v>AA215</v>
      </c>
      <c r="E305" s="332" t="str">
        <f>IF(N305="",IF(J305="j",_xlfn.CONCAT("Load"," ",filename_cont,"1.sim"),IF(K305="k",_xlfn.CONCAT("Load"," ",Data!W57,".sim"),"")),"Get Data")</f>
        <v>Get Data</v>
      </c>
      <c r="F305" s="88" t="str">
        <f>CVD_Script_Table!$H$25</f>
        <v>Line</v>
      </c>
      <c r="G305" s="332"/>
      <c r="H305" s="332"/>
      <c r="I305" s="332" t="str">
        <f t="shared" si="36"/>
        <v>attachmenttype[215]</v>
      </c>
      <c r="J305" s="333">
        <f t="shared" si="38"/>
        <v>215</v>
      </c>
      <c r="K305" s="333" t="str">
        <f t="shared" si="39"/>
        <v/>
      </c>
      <c r="L305" s="333" t="str">
        <f t="shared" si="40"/>
        <v/>
      </c>
      <c r="M305" s="333" t="str">
        <f t="shared" si="42"/>
        <v/>
      </c>
      <c r="N305" s="333">
        <f t="shared" si="41"/>
        <v>215</v>
      </c>
    </row>
    <row r="306" spans="1:14" ht="13.5" customHeight="1" x14ac:dyDescent="0.25">
      <c r="A306" s="332" t="str">
        <f t="shared" si="37"/>
        <v>Auxiliar4</v>
      </c>
      <c r="B306" s="332"/>
      <c r="C306" s="174"/>
      <c r="D306" s="332" t="str">
        <f t="shared" si="35"/>
        <v>AA216</v>
      </c>
      <c r="E306" s="332" t="str">
        <f>IF(N306="",IF(J306="j",_xlfn.CONCAT("Load"," ",filename_cont,"1.sim"),IF(K306="k",_xlfn.CONCAT("Load"," ",Data!W57,".sim"),"")),"Get Data")</f>
        <v>Get Data</v>
      </c>
      <c r="F306" s="88" t="str">
        <f>CVD_Script_Table!$H$25</f>
        <v>Line</v>
      </c>
      <c r="G306" s="332"/>
      <c r="H306" s="332"/>
      <c r="I306" s="332" t="str">
        <f t="shared" si="36"/>
        <v>attachmenttype[216]</v>
      </c>
      <c r="J306" s="333">
        <f t="shared" si="38"/>
        <v>216</v>
      </c>
      <c r="K306" s="333" t="str">
        <f t="shared" si="39"/>
        <v/>
      </c>
      <c r="L306" s="333" t="str">
        <f t="shared" si="40"/>
        <v/>
      </c>
      <c r="M306" s="333" t="str">
        <f t="shared" si="42"/>
        <v/>
      </c>
      <c r="N306" s="333">
        <f t="shared" si="41"/>
        <v>216</v>
      </c>
    </row>
    <row r="307" spans="1:14" ht="13.5" customHeight="1" x14ac:dyDescent="0.25">
      <c r="A307" s="332" t="str">
        <f t="shared" si="37"/>
        <v>Auxiliar4</v>
      </c>
      <c r="B307" s="332"/>
      <c r="C307" s="174"/>
      <c r="D307" s="332" t="str">
        <f t="shared" si="35"/>
        <v>AA217</v>
      </c>
      <c r="E307" s="332" t="str">
        <f>IF(N307="",IF(J307="j",_xlfn.CONCAT("Load"," ",filename_cont,"1.sim"),IF(K307="k",_xlfn.CONCAT("Load"," ",Data!W57,".sim"),"")),"Get Data")</f>
        <v>Get Data</v>
      </c>
      <c r="F307" s="88" t="str">
        <f>CVD_Script_Table!$H$25</f>
        <v>Line</v>
      </c>
      <c r="G307" s="332"/>
      <c r="H307" s="332"/>
      <c r="I307" s="332" t="str">
        <f t="shared" si="36"/>
        <v>attachmenttype[217]</v>
      </c>
      <c r="J307" s="333">
        <f t="shared" si="38"/>
        <v>217</v>
      </c>
      <c r="K307" s="333" t="str">
        <f t="shared" si="39"/>
        <v/>
      </c>
      <c r="L307" s="333" t="str">
        <f t="shared" si="40"/>
        <v/>
      </c>
      <c r="M307" s="333" t="str">
        <f t="shared" si="42"/>
        <v/>
      </c>
      <c r="N307" s="333">
        <f t="shared" si="41"/>
        <v>217</v>
      </c>
    </row>
    <row r="308" spans="1:14" ht="13.5" customHeight="1" x14ac:dyDescent="0.25">
      <c r="A308" s="332" t="str">
        <f t="shared" si="37"/>
        <v>Auxiliar4</v>
      </c>
      <c r="B308" s="332"/>
      <c r="C308" s="174"/>
      <c r="D308" s="332" t="str">
        <f t="shared" si="35"/>
        <v>AA218</v>
      </c>
      <c r="E308" s="332" t="str">
        <f>IF(N308="",IF(J308="j",_xlfn.CONCAT("Load"," ",filename_cont,"1.sim"),IF(K308="k",_xlfn.CONCAT("Load"," ",Data!W57,".sim"),"")),"Get Data")</f>
        <v>Get Data</v>
      </c>
      <c r="F308" s="88" t="str">
        <f>CVD_Script_Table!$H$25</f>
        <v>Line</v>
      </c>
      <c r="G308" s="332"/>
      <c r="H308" s="332"/>
      <c r="I308" s="332" t="str">
        <f t="shared" si="36"/>
        <v>attachmenttype[218]</v>
      </c>
      <c r="J308" s="333">
        <f t="shared" si="38"/>
        <v>218</v>
      </c>
      <c r="K308" s="333" t="str">
        <f t="shared" si="39"/>
        <v/>
      </c>
      <c r="L308" s="333" t="str">
        <f t="shared" si="40"/>
        <v/>
      </c>
      <c r="M308" s="333" t="str">
        <f t="shared" si="42"/>
        <v/>
      </c>
      <c r="N308" s="333">
        <f t="shared" si="41"/>
        <v>218</v>
      </c>
    </row>
    <row r="309" spans="1:14" ht="13.5" customHeight="1" x14ac:dyDescent="0.25">
      <c r="A309" s="332" t="str">
        <f t="shared" si="37"/>
        <v>Auxiliar4</v>
      </c>
      <c r="B309" s="332"/>
      <c r="C309" s="174"/>
      <c r="D309" s="332" t="str">
        <f t="shared" si="35"/>
        <v>AA219</v>
      </c>
      <c r="E309" s="332" t="str">
        <f>IF(N309="",IF(J309="j",_xlfn.CONCAT("Load"," ",filename_cont,"1.sim"),IF(K309="k",_xlfn.CONCAT("Load"," ",Data!W57,".sim"),"")),"Get Data")</f>
        <v>Get Data</v>
      </c>
      <c r="F309" s="88" t="str">
        <f>CVD_Script_Table!$H$25</f>
        <v>Line</v>
      </c>
      <c r="G309" s="332"/>
      <c r="H309" s="332"/>
      <c r="I309" s="332" t="str">
        <f t="shared" si="36"/>
        <v>attachmenttype[219]</v>
      </c>
      <c r="J309" s="333">
        <f t="shared" si="38"/>
        <v>219</v>
      </c>
      <c r="K309" s="333" t="str">
        <f t="shared" si="39"/>
        <v/>
      </c>
      <c r="L309" s="333" t="str">
        <f t="shared" si="40"/>
        <v/>
      </c>
      <c r="M309" s="333" t="str">
        <f t="shared" si="42"/>
        <v/>
      </c>
      <c r="N309" s="333">
        <f t="shared" si="41"/>
        <v>219</v>
      </c>
    </row>
    <row r="310" spans="1:14" ht="13.5" customHeight="1" x14ac:dyDescent="0.25">
      <c r="A310" s="332" t="str">
        <f t="shared" si="37"/>
        <v>Auxiliar4</v>
      </c>
      <c r="B310" s="332"/>
      <c r="C310" s="174"/>
      <c r="D310" s="332" t="str">
        <f t="shared" si="35"/>
        <v>AA220</v>
      </c>
      <c r="E310" s="332" t="str">
        <f>IF(N310="",IF(J310="j",_xlfn.CONCAT("Load"," ",filename_cont,"1.sim"),IF(K310="k",_xlfn.CONCAT("Load"," ",Data!W57,".sim"),"")),"Get Data")</f>
        <v>Get Data</v>
      </c>
      <c r="F310" s="88" t="str">
        <f>CVD_Script_Table!$H$25</f>
        <v>Line</v>
      </c>
      <c r="G310" s="332"/>
      <c r="H310" s="332"/>
      <c r="I310" s="332" t="str">
        <f t="shared" si="36"/>
        <v>attachmenttype[220]</v>
      </c>
      <c r="J310" s="333">
        <f t="shared" si="38"/>
        <v>220</v>
      </c>
      <c r="K310" s="333" t="str">
        <f t="shared" si="39"/>
        <v/>
      </c>
      <c r="L310" s="333" t="str">
        <f t="shared" si="40"/>
        <v/>
      </c>
      <c r="M310" s="333" t="str">
        <f t="shared" si="42"/>
        <v/>
      </c>
      <c r="N310" s="333">
        <f t="shared" si="41"/>
        <v>220</v>
      </c>
    </row>
    <row r="311" spans="1:14" ht="13.5" customHeight="1" x14ac:dyDescent="0.25">
      <c r="A311" s="332" t="str">
        <f t="shared" si="37"/>
        <v>Auxiliar4</v>
      </c>
      <c r="B311" s="332"/>
      <c r="C311" s="174"/>
      <c r="D311" s="332" t="str">
        <f t="shared" si="35"/>
        <v>AA221</v>
      </c>
      <c r="E311" s="332" t="str">
        <f>IF(N311="",IF(J311="j",_xlfn.CONCAT("Load"," ",filename_cont,"1.sim"),IF(K311="k",_xlfn.CONCAT("Load"," ",Data!W57,".sim"),"")),"Get Data")</f>
        <v>Get Data</v>
      </c>
      <c r="F311" s="88" t="str">
        <f>CVD_Script_Table!$H$25</f>
        <v>Line</v>
      </c>
      <c r="G311" s="332"/>
      <c r="H311" s="332"/>
      <c r="I311" s="332" t="str">
        <f t="shared" si="36"/>
        <v>attachmenttype[221]</v>
      </c>
      <c r="J311" s="333">
        <f t="shared" si="38"/>
        <v>221</v>
      </c>
      <c r="K311" s="333" t="str">
        <f t="shared" si="39"/>
        <v/>
      </c>
      <c r="L311" s="333" t="str">
        <f t="shared" si="40"/>
        <v/>
      </c>
      <c r="M311" s="333" t="str">
        <f t="shared" si="42"/>
        <v/>
      </c>
      <c r="N311" s="333">
        <f t="shared" si="41"/>
        <v>221</v>
      </c>
    </row>
    <row r="312" spans="1:14" ht="13.5" customHeight="1" x14ac:dyDescent="0.25">
      <c r="A312" s="332" t="str">
        <f t="shared" si="37"/>
        <v>Auxiliar4</v>
      </c>
      <c r="B312" s="332"/>
      <c r="C312" s="174"/>
      <c r="D312" s="332" t="str">
        <f t="shared" si="35"/>
        <v>AA222</v>
      </c>
      <c r="E312" s="332" t="str">
        <f>IF(N312="",IF(J312="j",_xlfn.CONCAT("Load"," ",filename_cont,"1.sim"),IF(K312="k",_xlfn.CONCAT("Load"," ",Data!W57,".sim"),"")),"Get Data")</f>
        <v>Get Data</v>
      </c>
      <c r="F312" s="88" t="str">
        <f>CVD_Script_Table!$H$25</f>
        <v>Line</v>
      </c>
      <c r="G312" s="332"/>
      <c r="H312" s="332"/>
      <c r="I312" s="332" t="str">
        <f t="shared" si="36"/>
        <v>attachmenttype[222]</v>
      </c>
      <c r="J312" s="333">
        <f t="shared" si="38"/>
        <v>222</v>
      </c>
      <c r="K312" s="333" t="str">
        <f t="shared" si="39"/>
        <v/>
      </c>
      <c r="L312" s="333" t="str">
        <f t="shared" si="40"/>
        <v/>
      </c>
      <c r="M312" s="333" t="str">
        <f t="shared" si="42"/>
        <v/>
      </c>
      <c r="N312" s="333">
        <f t="shared" si="41"/>
        <v>222</v>
      </c>
    </row>
    <row r="313" spans="1:14" ht="13.5" customHeight="1" x14ac:dyDescent="0.25">
      <c r="A313" s="332" t="str">
        <f t="shared" si="37"/>
        <v>Auxiliar4</v>
      </c>
      <c r="B313" s="332"/>
      <c r="C313" s="174"/>
      <c r="D313" s="332" t="str">
        <f t="shared" si="35"/>
        <v>AA223</v>
      </c>
      <c r="E313" s="332" t="str">
        <f>IF(N313="",IF(J313="j",_xlfn.CONCAT("Load"," ",filename_cont,"1.sim"),IF(K313="k",_xlfn.CONCAT("Load"," ",Data!W57,".sim"),"")),"Get Data")</f>
        <v>Get Data</v>
      </c>
      <c r="F313" s="88" t="str">
        <f>CVD_Script_Table!$H$25</f>
        <v>Line</v>
      </c>
      <c r="G313" s="332"/>
      <c r="H313" s="332"/>
      <c r="I313" s="332" t="str">
        <f t="shared" si="36"/>
        <v>attachmenttype[223]</v>
      </c>
      <c r="J313" s="333">
        <f t="shared" si="38"/>
        <v>223</v>
      </c>
      <c r="K313" s="333" t="str">
        <f t="shared" si="39"/>
        <v/>
      </c>
      <c r="L313" s="333" t="str">
        <f t="shared" si="40"/>
        <v/>
      </c>
      <c r="M313" s="333" t="str">
        <f t="shared" si="42"/>
        <v/>
      </c>
      <c r="N313" s="333">
        <f t="shared" si="41"/>
        <v>223</v>
      </c>
    </row>
    <row r="314" spans="1:14" ht="13.5" customHeight="1" x14ac:dyDescent="0.25">
      <c r="A314" s="332" t="str">
        <f t="shared" si="37"/>
        <v>Auxiliar4</v>
      </c>
      <c r="B314" s="332"/>
      <c r="C314" s="174"/>
      <c r="D314" s="332" t="str">
        <f t="shared" si="35"/>
        <v>AA224</v>
      </c>
      <c r="E314" s="332" t="str">
        <f>IF(N314="",IF(J314="j",_xlfn.CONCAT("Load"," ",filename_cont,"1.sim"),IF(K314="k",_xlfn.CONCAT("Load"," ",Data!W57,".sim"),"")),"Get Data")</f>
        <v>Get Data</v>
      </c>
      <c r="F314" s="88" t="str">
        <f>CVD_Script_Table!$H$25</f>
        <v>Line</v>
      </c>
      <c r="G314" s="332"/>
      <c r="H314" s="332"/>
      <c r="I314" s="332" t="str">
        <f t="shared" si="36"/>
        <v>attachmenttype[224]</v>
      </c>
      <c r="J314" s="333">
        <f t="shared" si="38"/>
        <v>224</v>
      </c>
      <c r="K314" s="333" t="str">
        <f t="shared" si="39"/>
        <v/>
      </c>
      <c r="L314" s="333" t="str">
        <f t="shared" si="40"/>
        <v/>
      </c>
      <c r="M314" s="333" t="str">
        <f t="shared" si="42"/>
        <v/>
      </c>
      <c r="N314" s="333">
        <f t="shared" si="41"/>
        <v>224</v>
      </c>
    </row>
    <row r="315" spans="1:14" ht="13.5" customHeight="1" x14ac:dyDescent="0.25">
      <c r="A315" s="332" t="str">
        <f t="shared" si="37"/>
        <v>Auxiliar4</v>
      </c>
      <c r="B315" s="332"/>
      <c r="C315" s="174"/>
      <c r="D315" s="332" t="str">
        <f t="shared" si="35"/>
        <v>AA225</v>
      </c>
      <c r="E315" s="332" t="str">
        <f>IF(N315="",IF(J315="j",_xlfn.CONCAT("Load"," ",filename_cont,"1.sim"),IF(K315="k",_xlfn.CONCAT("Load"," ",Data!W57,".sim"),"")),"Get Data")</f>
        <v>Get Data</v>
      </c>
      <c r="F315" s="88" t="str">
        <f>CVD_Script_Table!$H$25</f>
        <v>Line</v>
      </c>
      <c r="G315" s="332"/>
      <c r="H315" s="332"/>
      <c r="I315" s="332" t="str">
        <f t="shared" si="36"/>
        <v>attachmenttype[225]</v>
      </c>
      <c r="J315" s="333">
        <f t="shared" si="38"/>
        <v>225</v>
      </c>
      <c r="K315" s="333" t="str">
        <f t="shared" si="39"/>
        <v/>
      </c>
      <c r="L315" s="333" t="str">
        <f t="shared" si="40"/>
        <v/>
      </c>
      <c r="M315" s="333" t="str">
        <f t="shared" si="42"/>
        <v/>
      </c>
      <c r="N315" s="333">
        <f t="shared" si="41"/>
        <v>225</v>
      </c>
    </row>
    <row r="316" spans="1:14" ht="13.5" customHeight="1" x14ac:dyDescent="0.25">
      <c r="A316" s="332" t="str">
        <f t="shared" si="37"/>
        <v>Auxiliar4</v>
      </c>
      <c r="B316" s="332"/>
      <c r="C316" s="174"/>
      <c r="D316" s="332" t="str">
        <f t="shared" si="35"/>
        <v>AA226</v>
      </c>
      <c r="E316" s="332" t="str">
        <f>IF(N316="",IF(J316="j",_xlfn.CONCAT("Load"," ",filename_cont,"1.sim"),IF(K316="k",_xlfn.CONCAT("Load"," ",Data!W57,".sim"),"")),"Get Data")</f>
        <v>Get Data</v>
      </c>
      <c r="F316" s="88" t="str">
        <f>CVD_Script_Table!$H$25</f>
        <v>Line</v>
      </c>
      <c r="G316" s="332"/>
      <c r="H316" s="332"/>
      <c r="I316" s="332" t="str">
        <f t="shared" si="36"/>
        <v>attachmenttype[226]</v>
      </c>
      <c r="J316" s="333">
        <f t="shared" si="38"/>
        <v>226</v>
      </c>
      <c r="K316" s="333" t="str">
        <f t="shared" si="39"/>
        <v/>
      </c>
      <c r="L316" s="333" t="str">
        <f t="shared" si="40"/>
        <v/>
      </c>
      <c r="M316" s="333" t="str">
        <f t="shared" si="42"/>
        <v/>
      </c>
      <c r="N316" s="333">
        <f t="shared" si="41"/>
        <v>226</v>
      </c>
    </row>
    <row r="317" spans="1:14" ht="13.5" customHeight="1" x14ac:dyDescent="0.25">
      <c r="A317" s="332" t="str">
        <f t="shared" si="37"/>
        <v>Auxiliar4</v>
      </c>
      <c r="B317" s="332"/>
      <c r="C317" s="174"/>
      <c r="D317" s="332" t="str">
        <f t="shared" si="35"/>
        <v>AA227</v>
      </c>
      <c r="E317" s="332" t="str">
        <f>IF(N317="",IF(J317="j",_xlfn.CONCAT("Load"," ",filename_cont,"1.sim"),IF(K317="k",_xlfn.CONCAT("Load"," ",Data!W57,".sim"),"")),"Get Data")</f>
        <v>Get Data</v>
      </c>
      <c r="F317" s="88" t="str">
        <f>CVD_Script_Table!$H$25</f>
        <v>Line</v>
      </c>
      <c r="G317" s="332"/>
      <c r="H317" s="332"/>
      <c r="I317" s="332" t="str">
        <f t="shared" si="36"/>
        <v>attachmenttype[227]</v>
      </c>
      <c r="J317" s="333">
        <f t="shared" si="38"/>
        <v>227</v>
      </c>
      <c r="K317" s="333" t="str">
        <f t="shared" si="39"/>
        <v/>
      </c>
      <c r="L317" s="333" t="str">
        <f t="shared" si="40"/>
        <v/>
      </c>
      <c r="M317" s="333" t="str">
        <f t="shared" si="42"/>
        <v/>
      </c>
      <c r="N317" s="333">
        <f t="shared" si="41"/>
        <v>227</v>
      </c>
    </row>
    <row r="318" spans="1:14" ht="13.5" customHeight="1" x14ac:dyDescent="0.25">
      <c r="A318" s="332" t="str">
        <f t="shared" si="37"/>
        <v>Auxiliar4</v>
      </c>
      <c r="B318" s="332"/>
      <c r="C318" s="174"/>
      <c r="D318" s="332" t="str">
        <f t="shared" si="35"/>
        <v>AA228</v>
      </c>
      <c r="E318" s="332" t="str">
        <f>IF(N318="",IF(J318="j",_xlfn.CONCAT("Load"," ",filename_cont,"1.sim"),IF(K318="k",_xlfn.CONCAT("Load"," ",Data!W57,".sim"),"")),"Get Data")</f>
        <v>Get Data</v>
      </c>
      <c r="F318" s="88" t="str">
        <f>CVD_Script_Table!$H$25</f>
        <v>Line</v>
      </c>
      <c r="G318" s="332"/>
      <c r="H318" s="332"/>
      <c r="I318" s="332" t="str">
        <f t="shared" si="36"/>
        <v>attachmenttype[228]</v>
      </c>
      <c r="J318" s="333">
        <f t="shared" si="38"/>
        <v>228</v>
      </c>
      <c r="K318" s="333" t="str">
        <f t="shared" si="39"/>
        <v/>
      </c>
      <c r="L318" s="333" t="str">
        <f t="shared" si="40"/>
        <v/>
      </c>
      <c r="M318" s="333" t="str">
        <f t="shared" si="42"/>
        <v/>
      </c>
      <c r="N318" s="333">
        <f t="shared" si="41"/>
        <v>228</v>
      </c>
    </row>
    <row r="319" spans="1:14" ht="13.5" customHeight="1" x14ac:dyDescent="0.25">
      <c r="A319" s="332" t="str">
        <f t="shared" si="37"/>
        <v>Auxiliar4</v>
      </c>
      <c r="B319" s="332"/>
      <c r="C319" s="174"/>
      <c r="D319" s="332" t="str">
        <f t="shared" si="35"/>
        <v>AA229</v>
      </c>
      <c r="E319" s="332" t="str">
        <f>IF(N319="",IF(J319="j",_xlfn.CONCAT("Load"," ",filename_cont,"1.sim"),IF(K319="k",_xlfn.CONCAT("Load"," ",Data!W57,".sim"),"")),"Get Data")</f>
        <v>Get Data</v>
      </c>
      <c r="F319" s="88" t="str">
        <f>CVD_Script_Table!$H$25</f>
        <v>Line</v>
      </c>
      <c r="G319" s="332"/>
      <c r="H319" s="332"/>
      <c r="I319" s="332" t="str">
        <f t="shared" si="36"/>
        <v>attachmenttype[229]</v>
      </c>
      <c r="J319" s="333">
        <f t="shared" si="38"/>
        <v>229</v>
      </c>
      <c r="K319" s="333" t="str">
        <f t="shared" si="39"/>
        <v/>
      </c>
      <c r="L319" s="333" t="str">
        <f t="shared" si="40"/>
        <v/>
      </c>
      <c r="M319" s="333" t="str">
        <f t="shared" si="42"/>
        <v/>
      </c>
      <c r="N319" s="333">
        <f t="shared" si="41"/>
        <v>229</v>
      </c>
    </row>
    <row r="320" spans="1:14" ht="13.5" customHeight="1" x14ac:dyDescent="0.25">
      <c r="A320" s="332" t="str">
        <f t="shared" si="37"/>
        <v>Auxiliar4</v>
      </c>
      <c r="B320" s="332"/>
      <c r="C320" s="174"/>
      <c r="D320" s="332" t="str">
        <f t="shared" si="35"/>
        <v>AA230</v>
      </c>
      <c r="E320" s="332" t="str">
        <f>IF(N320="",IF(J320="j",_xlfn.CONCAT("Load"," ",filename_cont,"1.sim"),IF(K320="k",_xlfn.CONCAT("Load"," ",Data!W57,".sim"),"")),"Get Data")</f>
        <v>Get Data</v>
      </c>
      <c r="F320" s="88" t="str">
        <f>CVD_Script_Table!$H$25</f>
        <v>Line</v>
      </c>
      <c r="G320" s="332"/>
      <c r="H320" s="332"/>
      <c r="I320" s="332" t="str">
        <f t="shared" si="36"/>
        <v>attachmenttype[230]</v>
      </c>
      <c r="J320" s="333">
        <f t="shared" si="38"/>
        <v>230</v>
      </c>
      <c r="K320" s="333" t="str">
        <f t="shared" si="39"/>
        <v/>
      </c>
      <c r="L320" s="333" t="str">
        <f t="shared" si="40"/>
        <v/>
      </c>
      <c r="M320" s="333" t="str">
        <f t="shared" si="42"/>
        <v/>
      </c>
      <c r="N320" s="333">
        <f t="shared" si="41"/>
        <v>230</v>
      </c>
    </row>
  </sheetData>
  <dataConsolidate link="1"/>
  <phoneticPr fontId="23" type="noConversion"/>
  <dataValidations disablePrompts="1" count="1">
    <dataValidation allowBlank="1" showErrorMessage="1" prompt="O conteúdo desta célula não deve ser alterado." sqref="P14:P15" xr:uid="{B0C0BC25-EB5B-4380-9DB0-E2F7024971F6}"/>
  </dataValidations>
  <pageMargins left="0.75" right="0.75" top="1" bottom="1" header="0.5" footer="0.5"/>
  <pageSetup paperSize="9" orientation="portrait" r:id="rId1"/>
  <headerFooter alignWithMargins="0"/>
  <ignoredErrors>
    <ignoredError sqref="C86 C89" formula="1"/>
  </ignoredErrors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>
    <tabColor rgb="FF512D6D"/>
    <pageSetUpPr fitToPage="1"/>
  </sheetPr>
  <dimension ref="A2:R370"/>
  <sheetViews>
    <sheetView workbookViewId="0"/>
  </sheetViews>
  <sheetFormatPr defaultColWidth="0" defaultRowHeight="13.5" customHeight="1" x14ac:dyDescent="0.25"/>
  <cols>
    <col min="1" max="1" width="15.54296875" style="334" customWidth="1"/>
    <col min="2" max="2" width="8.54296875" style="334" customWidth="1"/>
    <col min="3" max="3" width="50.54296875" style="334" customWidth="1"/>
    <col min="4" max="4" width="8.54296875" style="334" customWidth="1"/>
    <col min="5" max="5" width="20.7265625" style="334" customWidth="1"/>
    <col min="6" max="8" width="20.54296875" style="334" customWidth="1"/>
    <col min="9" max="9" width="40.7265625" style="5" customWidth="1"/>
    <col min="10" max="14" width="5.7265625" style="5" customWidth="1"/>
    <col min="15" max="15" width="31.7265625" style="5" customWidth="1"/>
    <col min="16" max="17" width="16.7265625" style="5" customWidth="1"/>
    <col min="18" max="18" width="5.7265625" style="5" customWidth="1"/>
    <col min="19" max="16384" width="9.26953125" style="5" hidden="1"/>
  </cols>
  <sheetData>
    <row r="2" spans="1:17" ht="13.5" customHeight="1" thickBot="1" x14ac:dyDescent="0.3">
      <c r="A2" s="5"/>
      <c r="B2" s="5"/>
      <c r="C2" s="5"/>
      <c r="D2" s="5"/>
      <c r="E2" s="5"/>
      <c r="F2" s="5"/>
      <c r="G2" s="5"/>
      <c r="H2" s="5"/>
      <c r="O2" s="395" t="s">
        <v>546</v>
      </c>
      <c r="P2" s="395" t="s">
        <v>547</v>
      </c>
      <c r="Q2" s="395" t="s">
        <v>548</v>
      </c>
    </row>
    <row r="3" spans="1:17" ht="13.5" customHeight="1" thickTop="1" x14ac:dyDescent="0.25">
      <c r="A3" s="335" t="s">
        <v>549</v>
      </c>
      <c r="B3" s="335" t="s">
        <v>550</v>
      </c>
      <c r="C3" s="335"/>
      <c r="D3" s="335" t="s">
        <v>551</v>
      </c>
      <c r="E3" s="336"/>
      <c r="F3" s="335" t="s">
        <v>552</v>
      </c>
      <c r="G3" s="335" t="s">
        <v>553</v>
      </c>
      <c r="H3" s="335" t="s">
        <v>554</v>
      </c>
      <c r="I3" s="335"/>
      <c r="O3" s="393" t="s">
        <v>703</v>
      </c>
      <c r="P3" s="394">
        <v>3</v>
      </c>
      <c r="Q3" s="393"/>
    </row>
    <row r="4" spans="1:17" ht="13.5" customHeight="1" x14ac:dyDescent="0.25">
      <c r="A4" s="335" t="s">
        <v>555</v>
      </c>
      <c r="B4" s="335" t="s">
        <v>556</v>
      </c>
      <c r="C4" s="335" t="s">
        <v>550</v>
      </c>
      <c r="D4" s="335" t="s">
        <v>556</v>
      </c>
      <c r="E4" s="335" t="s">
        <v>557</v>
      </c>
      <c r="F4" s="335" t="s">
        <v>555</v>
      </c>
      <c r="G4" s="335" t="s">
        <v>2</v>
      </c>
      <c r="H4" s="335" t="s">
        <v>558</v>
      </c>
      <c r="I4" s="335" t="s">
        <v>559</v>
      </c>
      <c r="O4" s="332" t="s">
        <v>560</v>
      </c>
      <c r="P4" s="394">
        <v>4</v>
      </c>
      <c r="Q4" s="393"/>
    </row>
    <row r="5" spans="1:17" ht="13.5" customHeight="1" x14ac:dyDescent="0.25">
      <c r="A5" s="386"/>
      <c r="B5" s="330"/>
      <c r="C5" s="330"/>
      <c r="D5" s="330"/>
      <c r="E5" s="90" t="str">
        <f>CONCATENATE("Load"," ",Data!$W$57,".sim")</f>
        <v>Load Dinamico.sim</v>
      </c>
      <c r="F5" s="330"/>
      <c r="G5" s="330"/>
      <c r="H5" s="330"/>
      <c r="I5" s="330"/>
      <c r="O5" s="332" t="s">
        <v>561</v>
      </c>
      <c r="P5" s="333">
        <v>5</v>
      </c>
      <c r="Q5" s="332"/>
    </row>
    <row r="6" spans="1:17" ht="13.5" customHeight="1" x14ac:dyDescent="0.25">
      <c r="A6" s="174" t="s">
        <v>704</v>
      </c>
      <c r="B6" s="174"/>
      <c r="C6" s="174"/>
      <c r="D6" s="88" t="s">
        <v>563</v>
      </c>
      <c r="E6" s="88" t="s">
        <v>564</v>
      </c>
      <c r="F6" s="88" t="s">
        <v>565</v>
      </c>
      <c r="G6" s="88"/>
      <c r="H6" s="88"/>
      <c r="I6" s="88" t="str">
        <f>CONCATENATE("StageEndTime[", P3, "]")</f>
        <v>StageEndTime[3]</v>
      </c>
      <c r="O6" s="332" t="s">
        <v>566</v>
      </c>
      <c r="P6" s="333">
        <v>6</v>
      </c>
      <c r="Q6" s="332"/>
    </row>
    <row r="7" spans="1:17" ht="13.5" customHeight="1" x14ac:dyDescent="0.25">
      <c r="A7" s="175" t="s">
        <v>704</v>
      </c>
      <c r="B7" s="175"/>
      <c r="C7" s="175"/>
      <c r="D7" s="88" t="s">
        <v>567</v>
      </c>
      <c r="E7" s="88" t="s">
        <v>564</v>
      </c>
      <c r="F7" s="88" t="s">
        <v>565</v>
      </c>
      <c r="G7" s="88"/>
      <c r="H7" s="88"/>
      <c r="I7" s="88" t="str">
        <f>CONCATENATE("StageEndTime[", P4, "]")</f>
        <v>StageEndTime[4]</v>
      </c>
      <c r="O7" s="332" t="s">
        <v>568</v>
      </c>
      <c r="P7" s="333">
        <v>2</v>
      </c>
      <c r="Q7" s="332"/>
    </row>
    <row r="8" spans="1:17" ht="13.5" customHeight="1" x14ac:dyDescent="0.25">
      <c r="A8" s="88" t="s">
        <v>2</v>
      </c>
      <c r="B8" s="88" t="s">
        <v>569</v>
      </c>
      <c r="C8" s="88" t="s">
        <v>570</v>
      </c>
      <c r="D8" s="88" t="str">
        <f t="shared" ref="D8:D13" si="0">SUBSTITUTE(B8, "H", "I")</f>
        <v>I16</v>
      </c>
      <c r="E8" s="88" t="s">
        <v>570</v>
      </c>
      <c r="F8" s="88"/>
      <c r="G8" s="88"/>
      <c r="H8" s="88"/>
      <c r="I8" s="88"/>
      <c r="O8" s="332" t="s">
        <v>571</v>
      </c>
      <c r="P8" s="333">
        <v>2</v>
      </c>
      <c r="Q8" s="332"/>
    </row>
    <row r="9" spans="1:17" ht="13.5" customHeight="1" x14ac:dyDescent="0.25">
      <c r="A9" s="88" t="s">
        <v>2</v>
      </c>
      <c r="B9" s="88" t="s">
        <v>572</v>
      </c>
      <c r="C9" s="88" t="str">
        <f>CONCATENATE(I9," - ",F9)</f>
        <v>NumberOfAttachments - Line</v>
      </c>
      <c r="D9" s="88" t="str">
        <f t="shared" si="0"/>
        <v>I17</v>
      </c>
      <c r="E9" s="88" t="s">
        <v>564</v>
      </c>
      <c r="F9" s="88" t="str">
        <f>CVD_Script_Table!$H$25</f>
        <v>Line</v>
      </c>
      <c r="G9" s="88"/>
      <c r="H9" s="88"/>
      <c r="I9" s="88" t="s">
        <v>573</v>
      </c>
      <c r="J9" s="387">
        <f>Data!$I$17</f>
        <v>0</v>
      </c>
      <c r="O9" s="332" t="s">
        <v>574</v>
      </c>
      <c r="P9" s="333">
        <v>2</v>
      </c>
      <c r="Q9" s="332"/>
    </row>
    <row r="10" spans="1:17" ht="13.5" customHeight="1" x14ac:dyDescent="0.25">
      <c r="A10" s="88" t="s">
        <v>2</v>
      </c>
      <c r="B10" s="88" t="s">
        <v>575</v>
      </c>
      <c r="C10" s="174" t="str">
        <f>CONCATENATE(I10," Max - ", H10," - ",F10)</f>
        <v>End Ey-Moment Max -  - Line</v>
      </c>
      <c r="D10" s="88" t="str">
        <f t="shared" si="0"/>
        <v>I18</v>
      </c>
      <c r="E10" s="88" t="s">
        <v>576</v>
      </c>
      <c r="F10" s="88" t="str">
        <f>CVD_Script_Table!$H$25</f>
        <v>Line</v>
      </c>
      <c r="G10" s="88" t="s">
        <v>577</v>
      </c>
      <c r="H10" s="88"/>
      <c r="I10" s="174" t="s">
        <v>578</v>
      </c>
      <c r="J10" s="559"/>
      <c r="O10" s="332" t="s">
        <v>579</v>
      </c>
      <c r="P10" s="333">
        <v>2</v>
      </c>
      <c r="Q10" s="332"/>
    </row>
    <row r="11" spans="1:17" ht="13.5" customHeight="1" x14ac:dyDescent="0.25">
      <c r="A11" s="88" t="s">
        <v>2</v>
      </c>
      <c r="B11" s="88" t="s">
        <v>580</v>
      </c>
      <c r="C11" s="174" t="str">
        <f>CONCATENATE(I11," Max - ", H11," - ",F11)</f>
        <v>End Ex-Force Max -  - Line</v>
      </c>
      <c r="D11" s="88" t="str">
        <f t="shared" si="0"/>
        <v>I19</v>
      </c>
      <c r="E11" s="88" t="s">
        <v>576</v>
      </c>
      <c r="F11" s="88" t="str">
        <f>CVD_Script_Table!$H$25</f>
        <v>Line</v>
      </c>
      <c r="G11" s="88" t="s">
        <v>577</v>
      </c>
      <c r="H11" s="88"/>
      <c r="I11" s="175" t="s">
        <v>581</v>
      </c>
      <c r="J11" s="559"/>
      <c r="O11" s="332" t="s">
        <v>582</v>
      </c>
      <c r="P11" s="333">
        <v>2</v>
      </c>
      <c r="Q11" s="332"/>
    </row>
    <row r="12" spans="1:17" ht="13.5" customHeight="1" x14ac:dyDescent="0.25">
      <c r="A12" s="88" t="s">
        <v>2</v>
      </c>
      <c r="B12" s="88" t="s">
        <v>583</v>
      </c>
      <c r="C12" s="174" t="str">
        <f>CONCATENATE(I12," Min - ", H12," - ",F12)</f>
        <v>Bend Radius Min - Static State - Line</v>
      </c>
      <c r="D12" s="88" t="str">
        <f t="shared" si="0"/>
        <v>I20</v>
      </c>
      <c r="E12" s="174" t="s">
        <v>584</v>
      </c>
      <c r="F12" s="88" t="str">
        <f>CVD_Script_Table!$H$25</f>
        <v>Line</v>
      </c>
      <c r="G12" s="88"/>
      <c r="H12" s="88" t="s">
        <v>585</v>
      </c>
      <c r="I12" s="88" t="s">
        <v>586</v>
      </c>
      <c r="J12" s="559"/>
      <c r="O12" s="332" t="s">
        <v>587</v>
      </c>
      <c r="P12" s="333" t="s">
        <v>588</v>
      </c>
      <c r="Q12" s="332">
        <f>IF(ISTEXT(postproc_case3ii_time_toque_solo_preview), $Q4, postproc_case3ii_time_toque_solo_preview)</f>
        <v>0</v>
      </c>
    </row>
    <row r="13" spans="1:17" ht="13.5" customHeight="1" x14ac:dyDescent="0.25">
      <c r="A13" s="88" t="s">
        <v>2</v>
      </c>
      <c r="B13" s="88" t="s">
        <v>589</v>
      </c>
      <c r="C13" s="174" t="str">
        <f>CONCATENATE(I13," Min - ", H13," - ",F13)</f>
        <v>Bend Radius Min - 0 to  - Line</v>
      </c>
      <c r="D13" s="88" t="str">
        <f t="shared" si="0"/>
        <v>I21</v>
      </c>
      <c r="E13" s="174" t="s">
        <v>584</v>
      </c>
      <c r="F13" s="88" t="str">
        <f>CVD_Script_Table!$H$25</f>
        <v>Line</v>
      </c>
      <c r="G13" s="88"/>
      <c r="H13" s="176" t="str">
        <f>CONCATENATE(0, " to ",$Q$4)</f>
        <v xml:space="preserve">0 to </v>
      </c>
      <c r="I13" s="88" t="s">
        <v>586</v>
      </c>
      <c r="J13" s="559"/>
      <c r="O13" s="332" t="s">
        <v>590</v>
      </c>
      <c r="P13" s="333" t="s">
        <v>588</v>
      </c>
      <c r="Q13" s="332">
        <f>IF(ISTEXT(postproc_case3ii_time_toque_solo), $Q4, postproc_case3ii_time_toque_solo)</f>
        <v>0</v>
      </c>
    </row>
    <row r="14" spans="1:17" ht="13.5" customHeight="1" x14ac:dyDescent="0.25">
      <c r="A14" s="88" t="s">
        <v>2</v>
      </c>
      <c r="B14" s="88" t="s">
        <v>591</v>
      </c>
      <c r="C14" s="174" t="str">
        <f>CONCATENATE(I14," Min - ", H14," - ",F14)</f>
        <v>Bend Radius Min - Static State - Stiffener1</v>
      </c>
      <c r="D14" s="88" t="str">
        <f t="shared" ref="D14:D19" si="1">SUBSTITUTE(B14, "H", "I")</f>
        <v>I22</v>
      </c>
      <c r="E14" s="174" t="s">
        <v>584</v>
      </c>
      <c r="F14" s="88" t="str">
        <f>CVD_Script_Table!$H$26</f>
        <v>Stiffener1</v>
      </c>
      <c r="G14" s="88"/>
      <c r="H14" s="88" t="s">
        <v>585</v>
      </c>
      <c r="I14" s="88" t="s">
        <v>586</v>
      </c>
      <c r="J14" s="559"/>
    </row>
    <row r="15" spans="1:17" ht="13.5" customHeight="1" x14ac:dyDescent="0.25">
      <c r="A15" s="88" t="s">
        <v>2</v>
      </c>
      <c r="B15" s="88" t="s">
        <v>592</v>
      </c>
      <c r="C15" s="174" t="str">
        <f>CONCATENATE(I15," Min - ", H15," - ",F15)</f>
        <v>Bend Radius Min - 0 to  - Stiffener1</v>
      </c>
      <c r="D15" s="88" t="str">
        <f t="shared" si="1"/>
        <v>I23</v>
      </c>
      <c r="E15" s="174" t="s">
        <v>584</v>
      </c>
      <c r="F15" s="88" t="str">
        <f>CVD_Script_Table!$H$26</f>
        <v>Stiffener1</v>
      </c>
      <c r="G15" s="88"/>
      <c r="H15" s="176" t="str">
        <f>CONCATENATE(0, " to ",$Q$4)</f>
        <v xml:space="preserve">0 to </v>
      </c>
      <c r="I15" s="88" t="s">
        <v>586</v>
      </c>
      <c r="J15" s="559"/>
    </row>
    <row r="16" spans="1:17" ht="13.5" customHeight="1" x14ac:dyDescent="0.25">
      <c r="A16" s="88" t="s">
        <v>2</v>
      </c>
      <c r="B16" s="88" t="s">
        <v>593</v>
      </c>
      <c r="C16" s="174" t="str">
        <f>CONCATENATE(I16," Max - ", H16," - ",F16)</f>
        <v>Bend Moment Max - Static State - Stiffener1</v>
      </c>
      <c r="D16" s="88" t="str">
        <f t="shared" si="1"/>
        <v>I24</v>
      </c>
      <c r="E16" s="174" t="s">
        <v>594</v>
      </c>
      <c r="F16" s="88" t="str">
        <f>CVD_Script_Table!$H$26</f>
        <v>Stiffener1</v>
      </c>
      <c r="G16" s="88"/>
      <c r="H16" s="88" t="s">
        <v>585</v>
      </c>
      <c r="I16" s="88" t="s">
        <v>595</v>
      </c>
      <c r="J16" s="559"/>
    </row>
    <row r="17" spans="1:10" ht="13.5" customHeight="1" x14ac:dyDescent="0.25">
      <c r="A17" s="88" t="s">
        <v>2</v>
      </c>
      <c r="B17" s="88" t="s">
        <v>596</v>
      </c>
      <c r="C17" s="174" t="str">
        <f>CONCATENATE(I17," Max - ", H17," - ",F17)</f>
        <v>Bend Moment Max - 0 to  - Stiffener1</v>
      </c>
      <c r="D17" s="88" t="str">
        <f t="shared" si="1"/>
        <v>I25</v>
      </c>
      <c r="E17" s="174" t="s">
        <v>594</v>
      </c>
      <c r="F17" s="88" t="str">
        <f>CVD_Script_Table!$H$26</f>
        <v>Stiffener1</v>
      </c>
      <c r="G17" s="88"/>
      <c r="H17" s="176" t="str">
        <f>CONCATENATE(0, " to ",$Q$4)</f>
        <v xml:space="preserve">0 to </v>
      </c>
      <c r="I17" s="88" t="s">
        <v>595</v>
      </c>
      <c r="J17" s="559"/>
    </row>
    <row r="18" spans="1:10" ht="13.5" customHeight="1" x14ac:dyDescent="0.25">
      <c r="A18" s="88" t="s">
        <v>2</v>
      </c>
      <c r="B18" s="88" t="s">
        <v>597</v>
      </c>
      <c r="C18" s="174" t="str">
        <f>CONCATENATE(I18," Max - ", H18," - ",F18)</f>
        <v>Shear Force Max - Static State - Stiffener1</v>
      </c>
      <c r="D18" s="88" t="str">
        <f t="shared" si="1"/>
        <v>I26</v>
      </c>
      <c r="E18" s="174" t="s">
        <v>594</v>
      </c>
      <c r="F18" s="88" t="str">
        <f>CVD_Script_Table!$H$26</f>
        <v>Stiffener1</v>
      </c>
      <c r="G18" s="88"/>
      <c r="H18" s="88" t="s">
        <v>585</v>
      </c>
      <c r="I18" s="88" t="s">
        <v>598</v>
      </c>
      <c r="J18" s="559"/>
    </row>
    <row r="19" spans="1:10" ht="13.5" customHeight="1" x14ac:dyDescent="0.25">
      <c r="A19" s="88" t="s">
        <v>2</v>
      </c>
      <c r="B19" s="88" t="s">
        <v>599</v>
      </c>
      <c r="C19" s="174" t="str">
        <f>CONCATENATE(I19," Max - ", H19," - ",F19)</f>
        <v>Shear Force Max - 0 to  - Stiffener1</v>
      </c>
      <c r="D19" s="88" t="str">
        <f t="shared" si="1"/>
        <v>I27</v>
      </c>
      <c r="E19" s="174" t="s">
        <v>594</v>
      </c>
      <c r="F19" s="88" t="str">
        <f>CVD_Script_Table!$H$26</f>
        <v>Stiffener1</v>
      </c>
      <c r="G19" s="88"/>
      <c r="H19" s="176" t="str">
        <f>CONCATENATE(0, " to ",$Q$4)</f>
        <v xml:space="preserve">0 to </v>
      </c>
      <c r="I19" s="88" t="s">
        <v>598</v>
      </c>
      <c r="J19" s="559"/>
    </row>
    <row r="20" spans="1:10" ht="13.5" customHeight="1" x14ac:dyDescent="0.25">
      <c r="A20" s="174" t="s">
        <v>2</v>
      </c>
      <c r="B20" s="174" t="s">
        <v>705</v>
      </c>
      <c r="C20" s="174" t="str">
        <f>CONCATENATE(I20," - ",F20)</f>
        <v>EndBZ - Cabrestante 1</v>
      </c>
      <c r="D20" s="174" t="str">
        <f>SUBSTITUTE(B20, "B", "C")</f>
        <v>C51</v>
      </c>
      <c r="E20" s="174" t="s">
        <v>564</v>
      </c>
      <c r="F20" s="88" t="str">
        <f>CVD_Script_Table!$H$29</f>
        <v>Cabrestante 1</v>
      </c>
      <c r="G20" s="88"/>
      <c r="H20" s="88"/>
      <c r="I20" s="88" t="s">
        <v>706</v>
      </c>
      <c r="J20" s="7"/>
    </row>
    <row r="21" spans="1:10" ht="13.5" customHeight="1" x14ac:dyDescent="0.25">
      <c r="A21" s="174" t="s">
        <v>2</v>
      </c>
      <c r="B21" s="174" t="s">
        <v>707</v>
      </c>
      <c r="C21" s="174" t="str">
        <f>CONCATENATE(I21," - ",F21)</f>
        <v>EndBZ - Cabrestante 2</v>
      </c>
      <c r="D21" s="174" t="str">
        <f>SUBSTITUTE(B21, "B", "C")</f>
        <v>C52</v>
      </c>
      <c r="E21" s="174" t="s">
        <v>564</v>
      </c>
      <c r="F21" s="556" t="str">
        <f>CVD_Script_Table!$H$30</f>
        <v>Cabrestante 2</v>
      </c>
      <c r="G21" s="88"/>
      <c r="H21" s="88"/>
      <c r="I21" s="88" t="s">
        <v>706</v>
      </c>
      <c r="J21" s="7"/>
    </row>
    <row r="22" spans="1:10" ht="13.5" customHeight="1" x14ac:dyDescent="0.25">
      <c r="A22" s="88" t="s">
        <v>600</v>
      </c>
      <c r="B22" s="88" t="s">
        <v>708</v>
      </c>
      <c r="C22" s="88" t="str">
        <f>CONCATENATE(I22," - ",F22)</f>
        <v>X - Line</v>
      </c>
      <c r="D22" s="88" t="s">
        <v>709</v>
      </c>
      <c r="E22" s="88" t="s">
        <v>603</v>
      </c>
      <c r="F22" s="88" t="str">
        <f>CVD_Script_Table!$H$25</f>
        <v>Line</v>
      </c>
      <c r="G22" s="88"/>
      <c r="H22" s="88" t="s">
        <v>585</v>
      </c>
      <c r="I22" s="88" t="s">
        <v>652</v>
      </c>
      <c r="J22" s="7"/>
    </row>
    <row r="23" spans="1:10" ht="13.5" customHeight="1" x14ac:dyDescent="0.25">
      <c r="A23" s="88" t="s">
        <v>600</v>
      </c>
      <c r="B23" s="88" t="s">
        <v>601</v>
      </c>
      <c r="C23" s="88" t="str">
        <f>CONCATENATE(I23," - ",F23)</f>
        <v>Vertical Seabed Clearance - Line</v>
      </c>
      <c r="D23" s="88" t="s">
        <v>602</v>
      </c>
      <c r="E23" s="88" t="s">
        <v>603</v>
      </c>
      <c r="F23" s="88" t="str">
        <f>CVD_Script_Table!$H$25</f>
        <v>Line</v>
      </c>
      <c r="G23" s="88"/>
      <c r="H23" s="88" t="s">
        <v>585</v>
      </c>
      <c r="I23" s="88" t="s">
        <v>604</v>
      </c>
      <c r="J23" s="7"/>
    </row>
    <row r="24" spans="1:10" ht="13.5" customHeight="1" x14ac:dyDescent="0.25">
      <c r="A24" s="88" t="s">
        <v>600</v>
      </c>
      <c r="B24" s="88" t="s">
        <v>605</v>
      </c>
      <c r="C24" s="88" t="str">
        <f>CONCATENATE(I24," - ",F24)</f>
        <v>Vertical Seabed Clearance - Stiffener1</v>
      </c>
      <c r="D24" s="88" t="s">
        <v>606</v>
      </c>
      <c r="E24" s="88" t="s">
        <v>603</v>
      </c>
      <c r="F24" s="88" t="str">
        <f>CVD_Script_Table!$H$26</f>
        <v>Stiffener1</v>
      </c>
      <c r="G24" s="88"/>
      <c r="H24" s="88" t="s">
        <v>585</v>
      </c>
      <c r="I24" s="88" t="s">
        <v>604</v>
      </c>
    </row>
    <row r="25" spans="1:10" ht="13.5" customHeight="1" x14ac:dyDescent="0.25">
      <c r="A25" s="88" t="s">
        <v>607</v>
      </c>
      <c r="B25" s="174" t="s">
        <v>608</v>
      </c>
      <c r="C25" s="88" t="str">
        <f>CONCATENATE(E25," - ",F25," - ",G25," - Case 3i - ",I25)</f>
        <v>Linked Statistics - Line - End B - Case 3i - End Ex-Force,End Ez-Force,End Ey-Moment</v>
      </c>
      <c r="D25" s="174" t="s">
        <v>609</v>
      </c>
      <c r="E25" s="88" t="s">
        <v>610</v>
      </c>
      <c r="F25" s="88" t="str">
        <f>CVD_Script_Table!$H$25</f>
        <v>Line</v>
      </c>
      <c r="G25" s="88" t="s">
        <v>577</v>
      </c>
      <c r="H25" s="176" t="str">
        <f>CONCATENATE(0, " to ", $Q$3)</f>
        <v xml:space="preserve">0 to </v>
      </c>
      <c r="I25" s="88" t="s">
        <v>611</v>
      </c>
    </row>
    <row r="26" spans="1:10" ht="13.5" customHeight="1" x14ac:dyDescent="0.25">
      <c r="A26" s="88" t="s">
        <v>607</v>
      </c>
      <c r="B26" s="174" t="s">
        <v>612</v>
      </c>
      <c r="C26" s="174" t="str">
        <f>CONCATENATE(E26," - ",F26," - ",G26," - ",H26," - ",I26)</f>
        <v>Time History - Line - Touchdown - 0 to  - Arc Length</v>
      </c>
      <c r="D26" s="174" t="s">
        <v>613</v>
      </c>
      <c r="E26" s="174" t="s">
        <v>614</v>
      </c>
      <c r="F26" s="88" t="str">
        <f>CVD_Script_Table!$H$25</f>
        <v>Line</v>
      </c>
      <c r="G26" s="88" t="s">
        <v>615</v>
      </c>
      <c r="H26" s="423" t="str">
        <f>CONCATENATE(0, " to ", $Q$4)</f>
        <v xml:space="preserve">0 to </v>
      </c>
      <c r="I26" s="88" t="s">
        <v>616</v>
      </c>
    </row>
    <row r="27" spans="1:10" ht="13.5" customHeight="1" x14ac:dyDescent="0.25">
      <c r="A27" s="88" t="s">
        <v>607</v>
      </c>
      <c r="B27" s="174" t="s">
        <v>617</v>
      </c>
      <c r="C27" s="174" t="str">
        <f>CONCATENATE(E27," - ",F27," - ",G27," - ",H27," - ",I27)</f>
        <v>Time History - Stiffener1 - Touchdown - 0 to  - Arc Length</v>
      </c>
      <c r="D27" s="174" t="s">
        <v>618</v>
      </c>
      <c r="E27" s="174" t="s">
        <v>614</v>
      </c>
      <c r="F27" s="88" t="str">
        <f>CVD_Script_Table!$H$26</f>
        <v>Stiffener1</v>
      </c>
      <c r="G27" s="88" t="s">
        <v>615</v>
      </c>
      <c r="H27" s="423" t="str">
        <f>CONCATENATE(0, " to ", $Q$4)</f>
        <v xml:space="preserve">0 to </v>
      </c>
      <c r="I27" s="88" t="s">
        <v>616</v>
      </c>
    </row>
    <row r="28" spans="1:10" ht="13.5" customHeight="1" x14ac:dyDescent="0.25">
      <c r="A28" s="88" t="s">
        <v>607</v>
      </c>
      <c r="B28" s="174" t="s">
        <v>619</v>
      </c>
      <c r="C28" s="174" t="str">
        <f>CONCATENATE(E28," - ",H28,)</f>
        <v xml:space="preserve">Sample Times - 0 to </v>
      </c>
      <c r="D28" s="174" t="s">
        <v>620</v>
      </c>
      <c r="E28" s="174" t="s">
        <v>621</v>
      </c>
      <c r="F28" s="88"/>
      <c r="G28" s="88"/>
      <c r="H28" s="423" t="str">
        <f>CONCATENATE(0, " to ", $Q$4)</f>
        <v xml:space="preserve">0 to </v>
      </c>
      <c r="I28" s="88"/>
    </row>
    <row r="29" spans="1:10" ht="13.5" customHeight="1" x14ac:dyDescent="0.25">
      <c r="A29" s="88" t="s">
        <v>607</v>
      </c>
      <c r="B29" s="174" t="s">
        <v>622</v>
      </c>
      <c r="C29" s="88" t="str">
        <f>CONCATENATE(E29," - ",F29," - ",G29," - ",H29," - ",I29)</f>
        <v>Linked Statistics - Line - End B - -0.001 to 0 - End Ex-Force,End Ez-Force,End Ey-Moment</v>
      </c>
      <c r="D29" s="174" t="s">
        <v>623</v>
      </c>
      <c r="E29" s="88" t="s">
        <v>610</v>
      </c>
      <c r="F29" s="88" t="str">
        <f>CVD_Script_Table!$H$25</f>
        <v>Line</v>
      </c>
      <c r="G29" s="88" t="s">
        <v>577</v>
      </c>
      <c r="H29" s="423" t="str">
        <f>_xlfn.CONCAT(Q12-0.001, " to ", Q12)</f>
        <v>-0.001 to 0</v>
      </c>
      <c r="I29" s="88" t="s">
        <v>611</v>
      </c>
    </row>
    <row r="30" spans="1:10" ht="13.5" customHeight="1" x14ac:dyDescent="0.25">
      <c r="A30" s="91"/>
      <c r="B30" s="91"/>
      <c r="C30" s="91"/>
      <c r="D30" s="91"/>
      <c r="E30" s="90" t="str">
        <f>CONCATENATE("Load ", Data!W58,".sim")</f>
        <v>Load cases_4_5\Caso3_lançamento.sim</v>
      </c>
      <c r="F30" s="91"/>
      <c r="G30" s="91"/>
      <c r="H30" s="91"/>
      <c r="I30" s="91"/>
    </row>
    <row r="31" spans="1:10" ht="13.5" customHeight="1" x14ac:dyDescent="0.25">
      <c r="A31" s="175" t="s">
        <v>704</v>
      </c>
      <c r="B31" s="174"/>
      <c r="C31" s="174"/>
      <c r="D31" s="88" t="s">
        <v>624</v>
      </c>
      <c r="E31" s="88" t="s">
        <v>564</v>
      </c>
      <c r="F31" s="88" t="s">
        <v>565</v>
      </c>
      <c r="G31" s="88"/>
      <c r="H31" s="88"/>
      <c r="I31" s="88" t="s">
        <v>625</v>
      </c>
    </row>
    <row r="32" spans="1:10" ht="13.5" customHeight="1" x14ac:dyDescent="0.25">
      <c r="A32" s="175" t="s">
        <v>704</v>
      </c>
      <c r="B32" s="175"/>
      <c r="C32" s="175"/>
      <c r="D32" s="88" t="s">
        <v>626</v>
      </c>
      <c r="E32" s="88" t="s">
        <v>564</v>
      </c>
      <c r="F32" s="88" t="s">
        <v>565</v>
      </c>
      <c r="G32" s="88"/>
      <c r="H32" s="88"/>
      <c r="I32" s="88" t="str">
        <f>CONCATENATE("StageEndTime[", P5, "]")</f>
        <v>StageEndTime[5]</v>
      </c>
    </row>
    <row r="33" spans="1:9" ht="13.5" customHeight="1" x14ac:dyDescent="0.25">
      <c r="A33" s="175" t="s">
        <v>704</v>
      </c>
      <c r="B33" s="175"/>
      <c r="C33" s="175"/>
      <c r="D33" s="88" t="s">
        <v>627</v>
      </c>
      <c r="E33" s="88" t="s">
        <v>564</v>
      </c>
      <c r="F33" s="88" t="s">
        <v>565</v>
      </c>
      <c r="G33" s="88"/>
      <c r="H33" s="88"/>
      <c r="I33" s="88" t="str">
        <f>CONCATENATE("StageEndTime[", P6, "]")</f>
        <v>StageEndTime[6]</v>
      </c>
    </row>
    <row r="34" spans="1:9" ht="13.5" customHeight="1" x14ac:dyDescent="0.25">
      <c r="A34" s="174" t="s">
        <v>2</v>
      </c>
      <c r="B34" s="174" t="s">
        <v>630</v>
      </c>
      <c r="C34" s="174" t="str">
        <f>CONCATENATE(I34," - ", H34," - ",F34)</f>
        <v>Bend Radius - Static State - Line</v>
      </c>
      <c r="D34" s="174" t="str">
        <f t="shared" ref="D34:D56" si="2">SUBSTITUTE(B34, "B", "C")</f>
        <v>C28</v>
      </c>
      <c r="E34" s="174" t="s">
        <v>584</v>
      </c>
      <c r="F34" s="88" t="str">
        <f>CVD_Script_Table!$H$25</f>
        <v>Line</v>
      </c>
      <c r="G34" s="88"/>
      <c r="H34" s="88" t="s">
        <v>585</v>
      </c>
      <c r="I34" s="88" t="s">
        <v>586</v>
      </c>
    </row>
    <row r="35" spans="1:9" ht="13.5" customHeight="1" x14ac:dyDescent="0.25">
      <c r="A35" s="174" t="s">
        <v>2</v>
      </c>
      <c r="B35" s="174" t="s">
        <v>631</v>
      </c>
      <c r="C35" s="174" t="str">
        <f>CONCATENATE(I35," - ", H35," - ",F35)</f>
        <v>Bend Radius - 0 to  - Line</v>
      </c>
      <c r="D35" s="174" t="str">
        <f t="shared" si="2"/>
        <v>C29</v>
      </c>
      <c r="E35" s="174" t="s">
        <v>584</v>
      </c>
      <c r="F35" s="88" t="str">
        <f>CVD_Script_Table!$H$25</f>
        <v>Line</v>
      </c>
      <c r="G35" s="88"/>
      <c r="H35" s="176" t="str">
        <f>CONCATENATE(0, " to ", Q3)</f>
        <v xml:space="preserve">0 to </v>
      </c>
      <c r="I35" s="88" t="s">
        <v>586</v>
      </c>
    </row>
    <row r="36" spans="1:9" ht="13.5" customHeight="1" x14ac:dyDescent="0.25">
      <c r="A36" s="174" t="s">
        <v>2</v>
      </c>
      <c r="B36" s="174" t="s">
        <v>632</v>
      </c>
      <c r="C36" s="174" t="str">
        <f>CONCATENATE(I36," - ", H36," - ",F36)</f>
        <v>Bend Radius - Whole Simulation - Line</v>
      </c>
      <c r="D36" s="174" t="str">
        <f t="shared" si="2"/>
        <v>C30</v>
      </c>
      <c r="E36" s="174" t="s">
        <v>584</v>
      </c>
      <c r="F36" s="88" t="str">
        <f>CVD_Script_Table!$H$25</f>
        <v>Line</v>
      </c>
      <c r="G36" s="88"/>
      <c r="H36" s="175" t="s">
        <v>633</v>
      </c>
      <c r="I36" s="88" t="s">
        <v>586</v>
      </c>
    </row>
    <row r="37" spans="1:9" ht="13.5" customHeight="1" x14ac:dyDescent="0.25">
      <c r="A37" s="175" t="s">
        <v>2</v>
      </c>
      <c r="B37" s="174" t="s">
        <v>634</v>
      </c>
      <c r="C37" s="174" t="str">
        <f>CONCATENATE(I37," - ",F37, " - ",G37)</f>
        <v>Z - Line - End B</v>
      </c>
      <c r="D37" s="174" t="str">
        <f t="shared" si="2"/>
        <v>C31</v>
      </c>
      <c r="E37" s="174" t="s">
        <v>576</v>
      </c>
      <c r="F37" s="88" t="str">
        <f>CVD_Script_Table!$H$25</f>
        <v>Line</v>
      </c>
      <c r="G37" s="89" t="s">
        <v>577</v>
      </c>
      <c r="H37" s="88"/>
      <c r="I37" s="88" t="s">
        <v>635</v>
      </c>
    </row>
    <row r="38" spans="1:9" ht="13.5" customHeight="1" x14ac:dyDescent="0.25">
      <c r="A38" s="174" t="s">
        <v>2</v>
      </c>
      <c r="B38" s="174" t="s">
        <v>636</v>
      </c>
      <c r="C38" s="174" t="str">
        <f>CONCATENATE(I38," - ",F38," - ",G38)</f>
        <v>End Ez-Force - Line - End B</v>
      </c>
      <c r="D38" s="174" t="str">
        <f t="shared" si="2"/>
        <v>C32</v>
      </c>
      <c r="E38" s="174" t="s">
        <v>576</v>
      </c>
      <c r="F38" s="88" t="str">
        <f>CVD_Script_Table!$H$25</f>
        <v>Line</v>
      </c>
      <c r="G38" s="88" t="s">
        <v>577</v>
      </c>
      <c r="H38" s="88"/>
      <c r="I38" s="88" t="s">
        <v>637</v>
      </c>
    </row>
    <row r="39" spans="1:9" ht="13.5" customHeight="1" x14ac:dyDescent="0.25">
      <c r="A39" s="174" t="s">
        <v>2</v>
      </c>
      <c r="B39" s="174" t="s">
        <v>638</v>
      </c>
      <c r="C39" s="174" t="str">
        <f>CONCATENATE(I39," - ",F39," - ",G39)</f>
        <v>End Ex-Force - Line - End B</v>
      </c>
      <c r="D39" s="174" t="str">
        <f t="shared" si="2"/>
        <v>C33</v>
      </c>
      <c r="E39" s="174" t="s">
        <v>576</v>
      </c>
      <c r="F39" s="88" t="str">
        <f>CVD_Script_Table!$H$25</f>
        <v>Line</v>
      </c>
      <c r="G39" s="88" t="s">
        <v>577</v>
      </c>
      <c r="H39" s="88"/>
      <c r="I39" s="88" t="s">
        <v>581</v>
      </c>
    </row>
    <row r="40" spans="1:9" ht="13.5" customHeight="1" x14ac:dyDescent="0.25">
      <c r="A40" s="174" t="s">
        <v>2</v>
      </c>
      <c r="B40" s="174" t="s">
        <v>639</v>
      </c>
      <c r="C40" s="174" t="str">
        <f>CONCATENATE(I40," - ",F40," - ",G40)</f>
        <v>End Ey-Moment - Line - End B</v>
      </c>
      <c r="D40" s="174" t="str">
        <f t="shared" si="2"/>
        <v>C34</v>
      </c>
      <c r="E40" s="174" t="s">
        <v>576</v>
      </c>
      <c r="F40" s="88" t="str">
        <f>CVD_Script_Table!$H$25</f>
        <v>Line</v>
      </c>
      <c r="G40" s="88" t="s">
        <v>577</v>
      </c>
      <c r="H40" s="88"/>
      <c r="I40" s="88" t="s">
        <v>578</v>
      </c>
    </row>
    <row r="41" spans="1:9" ht="13.5" customHeight="1" x14ac:dyDescent="0.25">
      <c r="A41" s="174" t="s">
        <v>2</v>
      </c>
      <c r="B41" s="174" t="s">
        <v>640</v>
      </c>
      <c r="C41" s="174" t="str">
        <f t="shared" ref="C41:C46" si="3">CONCATENATE(I41," - ", H41," - ",F41)</f>
        <v>Bend Radius - Static State - Stiffener1</v>
      </c>
      <c r="D41" s="174" t="str">
        <f t="shared" si="2"/>
        <v>C35</v>
      </c>
      <c r="E41" s="174" t="s">
        <v>584</v>
      </c>
      <c r="F41" s="88" t="str">
        <f>CVD_Script_Table!$H$26</f>
        <v>Stiffener1</v>
      </c>
      <c r="G41" s="88"/>
      <c r="H41" s="88" t="s">
        <v>585</v>
      </c>
      <c r="I41" s="88" t="s">
        <v>586</v>
      </c>
    </row>
    <row r="42" spans="1:9" ht="13.5" customHeight="1" x14ac:dyDescent="0.25">
      <c r="A42" s="174" t="s">
        <v>2</v>
      </c>
      <c r="B42" s="174" t="s">
        <v>641</v>
      </c>
      <c r="C42" s="174" t="str">
        <f t="shared" si="3"/>
        <v>Bend Radius - 0 to  - Stiffener1</v>
      </c>
      <c r="D42" s="174" t="str">
        <f t="shared" si="2"/>
        <v>C36</v>
      </c>
      <c r="E42" s="174" t="s">
        <v>584</v>
      </c>
      <c r="F42" s="88" t="str">
        <f>CVD_Script_Table!$H$26</f>
        <v>Stiffener1</v>
      </c>
      <c r="G42" s="88"/>
      <c r="H42" s="176" t="str">
        <f>CONCATENATE(0, " to ", $Q$4)</f>
        <v xml:space="preserve">0 to </v>
      </c>
      <c r="I42" s="88" t="s">
        <v>586</v>
      </c>
    </row>
    <row r="43" spans="1:9" ht="13.5" customHeight="1" x14ac:dyDescent="0.25">
      <c r="A43" s="174" t="s">
        <v>2</v>
      </c>
      <c r="B43" s="174" t="s">
        <v>642</v>
      </c>
      <c r="C43" s="174" t="str">
        <f t="shared" si="3"/>
        <v>Bend Moment - Static State - Stiffener1</v>
      </c>
      <c r="D43" s="174" t="str">
        <f t="shared" si="2"/>
        <v>C37</v>
      </c>
      <c r="E43" s="174" t="s">
        <v>594</v>
      </c>
      <c r="F43" s="88" t="str">
        <f>CVD_Script_Table!$H$26</f>
        <v>Stiffener1</v>
      </c>
      <c r="G43" s="88"/>
      <c r="H43" s="88" t="s">
        <v>585</v>
      </c>
      <c r="I43" s="88" t="s">
        <v>595</v>
      </c>
    </row>
    <row r="44" spans="1:9" ht="13.5" customHeight="1" x14ac:dyDescent="0.25">
      <c r="A44" s="174" t="s">
        <v>2</v>
      </c>
      <c r="B44" s="174" t="s">
        <v>643</v>
      </c>
      <c r="C44" s="174" t="str">
        <f t="shared" si="3"/>
        <v>Bend Moment - 0 to  - Stiffener1</v>
      </c>
      <c r="D44" s="174" t="str">
        <f t="shared" si="2"/>
        <v>C38</v>
      </c>
      <c r="E44" s="174" t="s">
        <v>594</v>
      </c>
      <c r="F44" s="88" t="str">
        <f>CVD_Script_Table!$H$26</f>
        <v>Stiffener1</v>
      </c>
      <c r="G44" s="88"/>
      <c r="H44" s="176" t="str">
        <f>CONCATENATE(0, " to ", $Q$4)</f>
        <v xml:space="preserve">0 to </v>
      </c>
      <c r="I44" s="88" t="s">
        <v>595</v>
      </c>
    </row>
    <row r="45" spans="1:9" ht="13.5" customHeight="1" x14ac:dyDescent="0.25">
      <c r="A45" s="175" t="s">
        <v>2</v>
      </c>
      <c r="B45" s="174" t="s">
        <v>644</v>
      </c>
      <c r="C45" s="174" t="str">
        <f t="shared" si="3"/>
        <v>Shear Force - Static State - Stiffener1</v>
      </c>
      <c r="D45" s="174" t="str">
        <f t="shared" si="2"/>
        <v>C39</v>
      </c>
      <c r="E45" s="174" t="s">
        <v>594</v>
      </c>
      <c r="F45" s="88" t="str">
        <f>CVD_Script_Table!$H$26</f>
        <v>Stiffener1</v>
      </c>
      <c r="G45" s="89"/>
      <c r="H45" s="88" t="s">
        <v>585</v>
      </c>
      <c r="I45" s="88" t="s">
        <v>598</v>
      </c>
    </row>
    <row r="46" spans="1:9" ht="13.5" customHeight="1" x14ac:dyDescent="0.25">
      <c r="A46" s="174" t="s">
        <v>2</v>
      </c>
      <c r="B46" s="174" t="s">
        <v>645</v>
      </c>
      <c r="C46" s="174" t="str">
        <f t="shared" si="3"/>
        <v>Shear Force - 0 to  - Stiffener1</v>
      </c>
      <c r="D46" s="174" t="str">
        <f t="shared" si="2"/>
        <v>C40</v>
      </c>
      <c r="E46" s="174" t="s">
        <v>594</v>
      </c>
      <c r="F46" s="88" t="str">
        <f>CVD_Script_Table!$H$26</f>
        <v>Stiffener1</v>
      </c>
      <c r="G46" s="88"/>
      <c r="H46" s="176" t="str">
        <f>CONCATENATE(0, " to ", $Q$4)</f>
        <v xml:space="preserve">0 to </v>
      </c>
      <c r="I46" s="88" t="s">
        <v>598</v>
      </c>
    </row>
    <row r="47" spans="1:9" ht="13.5" customHeight="1" x14ac:dyDescent="0.25">
      <c r="A47" s="88" t="s">
        <v>2</v>
      </c>
      <c r="B47" s="174" t="s">
        <v>646</v>
      </c>
      <c r="C47" s="88" t="str">
        <f t="shared" ref="C47:C56" si="4">CONCATENATE(I47," - ",F47)</f>
        <v>SeabedOriginX - Environment</v>
      </c>
      <c r="D47" s="174" t="str">
        <f t="shared" si="2"/>
        <v>C41</v>
      </c>
      <c r="E47" s="88" t="s">
        <v>564</v>
      </c>
      <c r="F47" s="174" t="s">
        <v>647</v>
      </c>
      <c r="G47" s="88"/>
      <c r="H47" s="88"/>
      <c r="I47" s="88" t="s">
        <v>648</v>
      </c>
    </row>
    <row r="48" spans="1:9" ht="13.5" customHeight="1" x14ac:dyDescent="0.25">
      <c r="A48" s="174" t="s">
        <v>2</v>
      </c>
      <c r="B48" s="174" t="s">
        <v>649</v>
      </c>
      <c r="C48" s="174" t="str">
        <f t="shared" si="4"/>
        <v>Depth - Environment</v>
      </c>
      <c r="D48" s="174" t="str">
        <f t="shared" si="2"/>
        <v>C42</v>
      </c>
      <c r="E48" s="174" t="s">
        <v>564</v>
      </c>
      <c r="F48" s="88" t="s">
        <v>647</v>
      </c>
      <c r="G48" s="88"/>
      <c r="H48" s="88"/>
      <c r="I48" s="88" t="s">
        <v>650</v>
      </c>
    </row>
    <row r="49" spans="1:10" ht="13.5" customHeight="1" x14ac:dyDescent="0.25">
      <c r="A49" s="88" t="s">
        <v>2</v>
      </c>
      <c r="B49" s="174" t="s">
        <v>651</v>
      </c>
      <c r="C49" s="88" t="str">
        <f t="shared" si="4"/>
        <v>X - 2184362-14_/_SK-130685-17</v>
      </c>
      <c r="D49" s="174" t="str">
        <f t="shared" si="2"/>
        <v>C43</v>
      </c>
      <c r="E49" s="88" t="s">
        <v>576</v>
      </c>
      <c r="F49" s="331" t="str">
        <f>CVD_Script_Table!$H$19</f>
        <v>2184362-14_/_SK-130685-17</v>
      </c>
      <c r="G49" s="88"/>
      <c r="H49" s="88"/>
      <c r="I49" s="88" t="s">
        <v>652</v>
      </c>
    </row>
    <row r="50" spans="1:10" ht="13.5" customHeight="1" x14ac:dyDescent="0.25">
      <c r="A50" s="174" t="s">
        <v>2</v>
      </c>
      <c r="B50" s="174" t="s">
        <v>653</v>
      </c>
      <c r="C50" s="174" t="str">
        <f t="shared" si="4"/>
        <v>Rotation 2 - 2184362-14_/_SK-130685-17</v>
      </c>
      <c r="D50" s="174" t="str">
        <f t="shared" si="2"/>
        <v>C44</v>
      </c>
      <c r="E50" s="174" t="s">
        <v>576</v>
      </c>
      <c r="F50" s="331" t="str">
        <f>CVD_Script_Table!$H$19</f>
        <v>2184362-14_/_SK-130685-17</v>
      </c>
      <c r="G50" s="88"/>
      <c r="H50" s="88"/>
      <c r="I50" s="88" t="s">
        <v>654</v>
      </c>
    </row>
    <row r="51" spans="1:10" ht="13.5" customHeight="1" x14ac:dyDescent="0.25">
      <c r="A51" s="174" t="s">
        <v>2</v>
      </c>
      <c r="B51" s="174" t="s">
        <v>655</v>
      </c>
      <c r="C51" s="174" t="str">
        <f t="shared" si="4"/>
        <v>StageValue[3] - A/R</v>
      </c>
      <c r="D51" s="174" t="str">
        <f t="shared" si="2"/>
        <v>C45</v>
      </c>
      <c r="E51" s="174" t="s">
        <v>564</v>
      </c>
      <c r="F51" s="88" t="str">
        <f>CVD_Script_Table!$H$27</f>
        <v>A/R</v>
      </c>
      <c r="G51" s="88"/>
      <c r="H51" s="88"/>
      <c r="I51" s="88" t="s">
        <v>656</v>
      </c>
    </row>
    <row r="52" spans="1:10" ht="13.5" customHeight="1" x14ac:dyDescent="0.25">
      <c r="A52" s="175" t="s">
        <v>2</v>
      </c>
      <c r="B52" s="174" t="s">
        <v>710</v>
      </c>
      <c r="C52" s="174" t="str">
        <f t="shared" si="4"/>
        <v>StageValue[1] - A/R</v>
      </c>
      <c r="D52" s="174" t="str">
        <f t="shared" si="2"/>
        <v>C46</v>
      </c>
      <c r="E52" s="175" t="s">
        <v>564</v>
      </c>
      <c r="F52" s="88" t="str">
        <f>CVD_Script_Table!$H$27</f>
        <v>A/R</v>
      </c>
      <c r="G52" s="89"/>
      <c r="H52" s="89"/>
      <c r="I52" s="89" t="s">
        <v>711</v>
      </c>
    </row>
    <row r="53" spans="1:10" ht="13.5" customHeight="1" x14ac:dyDescent="0.25">
      <c r="A53" s="175" t="s">
        <v>2</v>
      </c>
      <c r="B53" s="174" t="s">
        <v>712</v>
      </c>
      <c r="C53" s="174" t="str">
        <f t="shared" si="4"/>
        <v>Length - Cabrestante 1</v>
      </c>
      <c r="D53" s="174" t="str">
        <f t="shared" si="2"/>
        <v>C47</v>
      </c>
      <c r="E53" s="174" t="s">
        <v>576</v>
      </c>
      <c r="F53" s="88" t="str">
        <f>CVD_Script_Table!$H$29</f>
        <v>Cabrestante 1</v>
      </c>
      <c r="G53" s="89"/>
      <c r="H53" s="88"/>
      <c r="I53" s="88" t="s">
        <v>713</v>
      </c>
    </row>
    <row r="54" spans="1:10" ht="13.5" customHeight="1" x14ac:dyDescent="0.25">
      <c r="A54" s="175" t="s">
        <v>2</v>
      </c>
      <c r="B54" s="174" t="s">
        <v>714</v>
      </c>
      <c r="C54" s="174" t="str">
        <f t="shared" si="4"/>
        <v>Length - Cabrestante 2</v>
      </c>
      <c r="D54" s="174" t="str">
        <f t="shared" si="2"/>
        <v>C48</v>
      </c>
      <c r="E54" s="174" t="s">
        <v>576</v>
      </c>
      <c r="F54" s="556" t="str">
        <f>CVD_Script_Table!$H$30</f>
        <v>Cabrestante 2</v>
      </c>
      <c r="G54" s="89"/>
      <c r="H54" s="88"/>
      <c r="I54" s="88" t="s">
        <v>713</v>
      </c>
      <c r="J54" s="7"/>
    </row>
    <row r="55" spans="1:10" ht="13.5" customHeight="1" x14ac:dyDescent="0.25">
      <c r="A55" s="174" t="s">
        <v>2</v>
      </c>
      <c r="B55" s="174" t="s">
        <v>715</v>
      </c>
      <c r="C55" s="174" t="str">
        <f t="shared" si="4"/>
        <v>Tension - Cabrestante 1</v>
      </c>
      <c r="D55" s="174" t="str">
        <f t="shared" si="2"/>
        <v>C49</v>
      </c>
      <c r="E55" s="174" t="s">
        <v>716</v>
      </c>
      <c r="F55" s="88" t="str">
        <f>CVD_Script_Table!$H$29</f>
        <v>Cabrestante 1</v>
      </c>
      <c r="G55" s="88"/>
      <c r="H55" s="176" t="str">
        <f>CONCATENATE(0, " to ", $Q$4)</f>
        <v xml:space="preserve">0 to </v>
      </c>
      <c r="I55" s="88" t="s">
        <v>717</v>
      </c>
      <c r="J55" s="334" t="s">
        <v>718</v>
      </c>
    </row>
    <row r="56" spans="1:10" ht="13.5" customHeight="1" x14ac:dyDescent="0.25">
      <c r="A56" s="174" t="s">
        <v>2</v>
      </c>
      <c r="B56" s="174" t="s">
        <v>719</v>
      </c>
      <c r="C56" s="174" t="str">
        <f t="shared" si="4"/>
        <v>Tension - Cabrestante 2</v>
      </c>
      <c r="D56" s="174" t="str">
        <f t="shared" si="2"/>
        <v>C50</v>
      </c>
      <c r="E56" s="174" t="s">
        <v>716</v>
      </c>
      <c r="F56" s="556" t="str">
        <f>CVD_Script_Table!$H$30</f>
        <v>Cabrestante 2</v>
      </c>
      <c r="G56" s="88"/>
      <c r="H56" s="176" t="str">
        <f>CONCATENATE(0, " to ", $Q$4)</f>
        <v xml:space="preserve">0 to </v>
      </c>
      <c r="I56" s="88" t="s">
        <v>717</v>
      </c>
      <c r="J56" s="334" t="s">
        <v>718</v>
      </c>
    </row>
    <row r="57" spans="1:10" ht="13.5" customHeight="1" x14ac:dyDescent="0.25">
      <c r="A57" s="174" t="s">
        <v>607</v>
      </c>
      <c r="B57" s="174" t="s">
        <v>657</v>
      </c>
      <c r="C57" s="174" t="str">
        <f>CONCATENATE(E57," - ",F57," - ",G57," - ",H57," - ",I57)</f>
        <v>Linked Statistics - Line - End B - 0 to  - End Ex-Force,End Ez-Force,End Ey-Moment</v>
      </c>
      <c r="D57" s="174" t="s">
        <v>658</v>
      </c>
      <c r="E57" s="174" t="s">
        <v>610</v>
      </c>
      <c r="F57" s="88" t="str">
        <f>CVD_Script_Table!$H$25</f>
        <v>Line</v>
      </c>
      <c r="G57" s="88" t="s">
        <v>577</v>
      </c>
      <c r="H57" s="176" t="str">
        <f>CONCATENATE(0, " to ", $Q$3)</f>
        <v xml:space="preserve">0 to </v>
      </c>
      <c r="I57" s="88" t="s">
        <v>611</v>
      </c>
      <c r="J57" s="5" t="s">
        <v>659</v>
      </c>
    </row>
    <row r="58" spans="1:10" ht="13.5" customHeight="1" x14ac:dyDescent="0.25">
      <c r="A58" s="174" t="s">
        <v>607</v>
      </c>
      <c r="B58" s="174" t="s">
        <v>626</v>
      </c>
      <c r="C58" s="174" t="str">
        <f>CONCATENATE(E58," - ",F58," - ",G58," - ",H58," - ",I58)</f>
        <v>Time History - Line - Touchdown - 0 to  - Arc Length</v>
      </c>
      <c r="D58" s="174" t="s">
        <v>627</v>
      </c>
      <c r="E58" s="174" t="s">
        <v>614</v>
      </c>
      <c r="F58" s="88" t="str">
        <f>CVD_Script_Table!$H$25</f>
        <v>Line</v>
      </c>
      <c r="G58" s="88" t="s">
        <v>615</v>
      </c>
      <c r="H58" s="176" t="str">
        <f>CONCATENATE(0, " to ", $Q$4)</f>
        <v xml:space="preserve">0 to </v>
      </c>
      <c r="I58" s="88" t="s">
        <v>616</v>
      </c>
      <c r="J58" s="5" t="s">
        <v>660</v>
      </c>
    </row>
    <row r="59" spans="1:10" ht="13.5" customHeight="1" x14ac:dyDescent="0.25">
      <c r="A59" s="174" t="s">
        <v>607</v>
      </c>
      <c r="B59" s="174" t="s">
        <v>661</v>
      </c>
      <c r="C59" s="174" t="str">
        <f>CONCATENATE(E59," - ",F59," - ",G59," - ",H59," - ",I59)</f>
        <v>Time History - Stiffener1 - Touchdown - 0 to  - Arc Length</v>
      </c>
      <c r="D59" s="174" t="s">
        <v>662</v>
      </c>
      <c r="E59" s="174" t="s">
        <v>614</v>
      </c>
      <c r="F59" s="88" t="str">
        <f>CVD_Script_Table!$H$26</f>
        <v>Stiffener1</v>
      </c>
      <c r="G59" s="88" t="s">
        <v>615</v>
      </c>
      <c r="H59" s="176" t="str">
        <f>CONCATENATE(0, " to ", $Q$4)</f>
        <v xml:space="preserve">0 to </v>
      </c>
      <c r="I59" s="88" t="s">
        <v>616</v>
      </c>
      <c r="J59" s="5" t="s">
        <v>660</v>
      </c>
    </row>
    <row r="60" spans="1:10" ht="13.5" customHeight="1" x14ac:dyDescent="0.25">
      <c r="A60" s="174" t="s">
        <v>607</v>
      </c>
      <c r="B60" s="174" t="s">
        <v>663</v>
      </c>
      <c r="C60" s="174" t="str">
        <f>CONCATENATE(E60," - ",H60,)</f>
        <v xml:space="preserve">Sample Times - 0 to </v>
      </c>
      <c r="D60" s="174" t="s">
        <v>664</v>
      </c>
      <c r="E60" s="174" t="s">
        <v>621</v>
      </c>
      <c r="F60" s="88"/>
      <c r="G60" s="88"/>
      <c r="H60" s="176" t="str">
        <f>CONCATENATE(0, " to ", $Q$4)</f>
        <v xml:space="preserve">0 to </v>
      </c>
      <c r="I60" s="88"/>
      <c r="J60" s="5" t="s">
        <v>660</v>
      </c>
    </row>
    <row r="61" spans="1:10" ht="13.5" customHeight="1" x14ac:dyDescent="0.25">
      <c r="A61" s="174" t="s">
        <v>607</v>
      </c>
      <c r="B61" s="174" t="s">
        <v>665</v>
      </c>
      <c r="C61" s="174" t="str">
        <f>CONCATENATE(E61," - ",F61," - ",G61," - ",H61," - ",I61)</f>
        <v>Linked Statistics - Line - End B - -0.001 to 0.001 - End Ex-Force,End Ez-Force,End Ey-Moment</v>
      </c>
      <c r="D61" s="174" t="s">
        <v>666</v>
      </c>
      <c r="E61" s="174" t="s">
        <v>610</v>
      </c>
      <c r="F61" s="88" t="str">
        <f>CVD_Script_Table!$H$25</f>
        <v>Line</v>
      </c>
      <c r="G61" s="88" t="s">
        <v>577</v>
      </c>
      <c r="H61" s="423" t="str">
        <f>_xlfn.CONCAT(Q13-0.001, " to ", Q13+0.001)</f>
        <v>-0.001 to 0.001</v>
      </c>
      <c r="I61" s="88" t="s">
        <v>611</v>
      </c>
      <c r="J61" s="5" t="s">
        <v>660</v>
      </c>
    </row>
    <row r="62" spans="1:10" ht="13.5" customHeight="1" x14ac:dyDescent="0.25">
      <c r="A62" s="88" t="s">
        <v>607</v>
      </c>
      <c r="B62" s="89" t="s">
        <v>667</v>
      </c>
      <c r="C62" s="88" t="str">
        <f>CONCATENATE(E62," - ",F62," - ",G62," - ",H62," - ",I62)</f>
        <v>Linked Statistics - Line - End B - -0,001 to  - End Ex-Force,End Ez-Force,End Ey-Moment</v>
      </c>
      <c r="D62" s="89" t="s">
        <v>668</v>
      </c>
      <c r="E62" s="89" t="s">
        <v>610</v>
      </c>
      <c r="F62" s="88" t="str">
        <f>CVD_Script_Table!$H$25</f>
        <v>Line</v>
      </c>
      <c r="G62" s="89" t="s">
        <v>577</v>
      </c>
      <c r="H62" s="176" t="str">
        <f>CONCATENATE(SUM($Q$5-0.001), " to ", $Q$5)</f>
        <v xml:space="preserve">-0,001 to </v>
      </c>
      <c r="I62" s="89" t="s">
        <v>611</v>
      </c>
      <c r="J62" s="5" t="s">
        <v>669</v>
      </c>
    </row>
    <row r="63" spans="1:10" ht="13.5" customHeight="1" x14ac:dyDescent="0.25">
      <c r="A63" s="88" t="s">
        <v>607</v>
      </c>
      <c r="B63" s="89" t="s">
        <v>593</v>
      </c>
      <c r="C63" s="88" t="str">
        <f>CONCATENATE(E63," - ",F63," - ",G63," - ",H63," - ",I63)</f>
        <v>Linked Statistics - Line - End B - -0,001 to  - End Ex-Force,End Ez-Force,End Ey-Moment</v>
      </c>
      <c r="D63" s="89" t="s">
        <v>596</v>
      </c>
      <c r="E63" s="89" t="s">
        <v>610</v>
      </c>
      <c r="F63" s="88" t="str">
        <f>CVD_Script_Table!$H$25</f>
        <v>Line</v>
      </c>
      <c r="G63" s="89" t="s">
        <v>577</v>
      </c>
      <c r="H63" s="176" t="str">
        <f>CONCATENATE(SUM($Q$6-0.001), " to ", $Q$6)</f>
        <v xml:space="preserve">-0,001 to </v>
      </c>
      <c r="I63" s="89" t="s">
        <v>611</v>
      </c>
      <c r="J63" s="5" t="s">
        <v>670</v>
      </c>
    </row>
    <row r="64" spans="1:10" ht="13.5" customHeight="1" x14ac:dyDescent="0.25">
      <c r="A64" s="91"/>
      <c r="B64" s="91"/>
      <c r="C64" s="91"/>
      <c r="D64" s="91"/>
      <c r="E64" s="90" t="str">
        <f>CONCATENATE("Load ",Data!W59,"_comflut.sim")</f>
        <v>Load cases_4_5\Caso4_lançamento_comflut.sim</v>
      </c>
      <c r="F64" s="91"/>
      <c r="G64" s="91"/>
      <c r="H64" s="91"/>
      <c r="I64" s="91"/>
      <c r="J64" s="7"/>
    </row>
    <row r="65" spans="1:17" ht="13.5" customHeight="1" x14ac:dyDescent="0.25">
      <c r="A65" s="175" t="s">
        <v>704</v>
      </c>
      <c r="B65" s="175"/>
      <c r="C65" s="175"/>
      <c r="D65" s="88" t="s">
        <v>671</v>
      </c>
      <c r="E65" s="88" t="s">
        <v>564</v>
      </c>
      <c r="F65" s="88" t="s">
        <v>565</v>
      </c>
      <c r="G65" s="88"/>
      <c r="H65" s="88"/>
      <c r="I65" s="88" t="str">
        <f>CONCATENATE("StageEndTime[", P7, "]")</f>
        <v>StageEndTime[2]</v>
      </c>
      <c r="J65" s="7"/>
    </row>
    <row r="66" spans="1:17" ht="13.5" customHeight="1" x14ac:dyDescent="0.25">
      <c r="A66" s="88" t="s">
        <v>607</v>
      </c>
      <c r="B66" s="89" t="s">
        <v>653</v>
      </c>
      <c r="C66" s="88" t="str">
        <f>CONCATENATE(E66," - ",F66," - ",G66," - ",H66," - ",I66)</f>
        <v>Linked Statistics - Line - End B - -0,001 to  - End Ex-Force,End Ez-Force,End Ey-Moment</v>
      </c>
      <c r="D66" s="89" t="s">
        <v>655</v>
      </c>
      <c r="E66" s="89" t="s">
        <v>610</v>
      </c>
      <c r="F66" s="88" t="str">
        <f>CVD_Script_Table!$H$25</f>
        <v>Line</v>
      </c>
      <c r="G66" s="89" t="s">
        <v>577</v>
      </c>
      <c r="H66" s="176" t="str">
        <f>CONCATENATE(SUM($Q$7-0.001), " to ", $Q$7)</f>
        <v xml:space="preserve">-0,001 to </v>
      </c>
      <c r="I66" s="89" t="s">
        <v>611</v>
      </c>
      <c r="J66" s="7"/>
    </row>
    <row r="67" spans="1:17" ht="13.5" customHeight="1" x14ac:dyDescent="0.25">
      <c r="A67" s="91"/>
      <c r="B67" s="91"/>
      <c r="C67" s="91"/>
      <c r="D67" s="91"/>
      <c r="E67" s="90" t="str">
        <f>CONCATENATE("Load ",Data!W59,"_semflut.sim")</f>
        <v>Load cases_4_5\Caso4_lançamento_semflut.sim</v>
      </c>
      <c r="F67" s="91"/>
      <c r="G67" s="91"/>
      <c r="H67" s="91"/>
      <c r="I67" s="91"/>
      <c r="J67" s="7"/>
    </row>
    <row r="68" spans="1:17" ht="13.5" customHeight="1" x14ac:dyDescent="0.25">
      <c r="A68" s="175" t="s">
        <v>704</v>
      </c>
      <c r="B68" s="175"/>
      <c r="C68" s="175"/>
      <c r="D68" s="88" t="s">
        <v>672</v>
      </c>
      <c r="E68" s="88" t="s">
        <v>564</v>
      </c>
      <c r="F68" s="88" t="s">
        <v>565</v>
      </c>
      <c r="G68" s="88"/>
      <c r="H68" s="88"/>
      <c r="I68" s="88" t="str">
        <f>CONCATENATE("StageEndTime[", P8, "]")</f>
        <v>StageEndTime[2]</v>
      </c>
      <c r="J68" s="7"/>
    </row>
    <row r="69" spans="1:17" ht="13.5" customHeight="1" x14ac:dyDescent="0.25">
      <c r="A69" s="88" t="s">
        <v>607</v>
      </c>
      <c r="B69" s="89" t="s">
        <v>673</v>
      </c>
      <c r="C69" s="88" t="str">
        <f>CONCATENATE(E69," - ",F69," - ",G69," - ",H69," - ",I69)</f>
        <v>Linked Statistics - Line - End B - -0,001 to  - End Ex-Force,End Ez-Force,End Ey-Moment</v>
      </c>
      <c r="D69" s="89" t="s">
        <v>674</v>
      </c>
      <c r="E69" s="89" t="s">
        <v>610</v>
      </c>
      <c r="F69" s="88" t="str">
        <f>CVD_Script_Table!$H$25</f>
        <v>Line</v>
      </c>
      <c r="G69" s="89" t="s">
        <v>577</v>
      </c>
      <c r="H69" s="176" t="str">
        <f>CONCATENATE(SUM($Q$8-0.001), " to ", $Q$8)</f>
        <v xml:space="preserve">-0,001 to </v>
      </c>
      <c r="I69" s="89" t="s">
        <v>611</v>
      </c>
      <c r="J69" s="7"/>
    </row>
    <row r="70" spans="1:17" ht="13.5" customHeight="1" x14ac:dyDescent="0.25">
      <c r="A70" s="91"/>
      <c r="B70" s="91"/>
      <c r="C70" s="91"/>
      <c r="D70" s="91"/>
      <c r="E70" s="90" t="str">
        <f>CONCATENATE("Load ",Data!W60,"_comflut.sim")</f>
        <v>Load cases_4_5\Caso4_teste_comflut.sim</v>
      </c>
      <c r="F70" s="91"/>
      <c r="G70" s="91"/>
      <c r="H70" s="91"/>
      <c r="I70" s="91"/>
      <c r="J70" s="7"/>
    </row>
    <row r="71" spans="1:17" ht="13.5" customHeight="1" x14ac:dyDescent="0.25">
      <c r="A71" s="175" t="s">
        <v>704</v>
      </c>
      <c r="B71" s="175"/>
      <c r="C71" s="175"/>
      <c r="D71" s="88" t="s">
        <v>675</v>
      </c>
      <c r="E71" s="88" t="s">
        <v>564</v>
      </c>
      <c r="F71" s="88" t="s">
        <v>565</v>
      </c>
      <c r="G71" s="88"/>
      <c r="H71" s="88"/>
      <c r="I71" s="88" t="str">
        <f>CONCATENATE("StageEndTime[", P9, "]")</f>
        <v>StageEndTime[2]</v>
      </c>
      <c r="J71" s="7"/>
    </row>
    <row r="72" spans="1:17" ht="13.5" customHeight="1" x14ac:dyDescent="0.25">
      <c r="A72" s="88" t="s">
        <v>607</v>
      </c>
      <c r="B72" s="89" t="s">
        <v>676</v>
      </c>
      <c r="C72" s="88" t="str">
        <f>CONCATENATE(E72," - ",F72," - ",G72," - ",H72," - ",I72)</f>
        <v>Linked Statistics - Line - End B - -0,001 to  - End Ex-Force,End Ez-Force,End Ey-Moment</v>
      </c>
      <c r="D72" s="89" t="s">
        <v>677</v>
      </c>
      <c r="E72" s="89" t="s">
        <v>610</v>
      </c>
      <c r="F72" s="88" t="str">
        <f>CVD_Script_Table!$H$25</f>
        <v>Line</v>
      </c>
      <c r="G72" s="89" t="s">
        <v>577</v>
      </c>
      <c r="H72" s="176" t="str">
        <f>CONCATENATE(SUM($Q9-0.001), " to ", $Q$9)</f>
        <v xml:space="preserve">-0,001 to </v>
      </c>
      <c r="I72" s="89" t="s">
        <v>611</v>
      </c>
      <c r="J72" s="7"/>
    </row>
    <row r="73" spans="1:17" ht="13.5" customHeight="1" x14ac:dyDescent="0.25">
      <c r="A73" s="91"/>
      <c r="B73" s="91"/>
      <c r="C73" s="91"/>
      <c r="D73" s="91"/>
      <c r="E73" s="90" t="str">
        <f>CONCATENATE("Load ",Data!W60,"_semflut.sim")</f>
        <v>Load cases_4_5\Caso4_teste_semflut.sim</v>
      </c>
      <c r="F73" s="91"/>
      <c r="G73" s="91"/>
      <c r="H73" s="91"/>
      <c r="I73" s="91"/>
      <c r="J73" s="7"/>
    </row>
    <row r="74" spans="1:17" ht="13.5" customHeight="1" x14ac:dyDescent="0.25">
      <c r="A74" s="175" t="s">
        <v>704</v>
      </c>
      <c r="B74" s="175"/>
      <c r="C74" s="175"/>
      <c r="D74" s="88" t="s">
        <v>678</v>
      </c>
      <c r="E74" s="88" t="s">
        <v>564</v>
      </c>
      <c r="F74" s="88" t="s">
        <v>565</v>
      </c>
      <c r="G74" s="88"/>
      <c r="H74" s="88"/>
      <c r="I74" s="88" t="str">
        <f>CONCATENATE("StageEndTime[", P10, "]")</f>
        <v>StageEndTime[2]</v>
      </c>
      <c r="J74" s="7"/>
    </row>
    <row r="75" spans="1:17" s="12" customFormat="1" ht="13.5" customHeight="1" x14ac:dyDescent="0.25">
      <c r="A75" s="88" t="s">
        <v>607</v>
      </c>
      <c r="B75" s="89" t="s">
        <v>679</v>
      </c>
      <c r="C75" s="88" t="str">
        <f>CONCATENATE(E75," - ",F75," - ",G75," - ",H75," - ",I75)</f>
        <v>Linked Statistics - Line - End B - -0,001 to  - End Ex-Force,End Ez-Force,End Ey-Moment</v>
      </c>
      <c r="D75" s="89" t="s">
        <v>680</v>
      </c>
      <c r="E75" s="89" t="s">
        <v>610</v>
      </c>
      <c r="F75" s="88" t="str">
        <f>CVD_Script_Table!$H$25</f>
        <v>Line</v>
      </c>
      <c r="G75" s="89" t="s">
        <v>577</v>
      </c>
      <c r="H75" s="176" t="str">
        <f>CONCATENATE(SUM($Q$10-0.001), " to ", $Q$10)</f>
        <v xml:space="preserve">-0,001 to </v>
      </c>
      <c r="I75" s="89" t="s">
        <v>611</v>
      </c>
      <c r="J75" s="7"/>
      <c r="K75" s="5"/>
      <c r="L75" s="5"/>
      <c r="M75" s="5"/>
      <c r="N75" s="5"/>
      <c r="O75" s="5"/>
      <c r="P75" s="5"/>
      <c r="Q75" s="5"/>
    </row>
    <row r="76" spans="1:17" s="12" customFormat="1" ht="13.5" customHeight="1" x14ac:dyDescent="0.25">
      <c r="A76" s="91"/>
      <c r="B76" s="91"/>
      <c r="C76" s="91"/>
      <c r="D76" s="91"/>
      <c r="E76" s="90" t="str">
        <f>CONCATENATE("Load ",Data!W61,"_semflut.sim")</f>
        <v>Load cases_4_5\Caso5_operação_semflut.sim</v>
      </c>
      <c r="F76" s="91"/>
      <c r="G76" s="91"/>
      <c r="H76" s="91"/>
      <c r="I76" s="91"/>
    </row>
    <row r="77" spans="1:17" s="12" customFormat="1" ht="13.5" customHeight="1" x14ac:dyDescent="0.25">
      <c r="A77" s="175" t="s">
        <v>704</v>
      </c>
      <c r="B77" s="175"/>
      <c r="C77" s="175"/>
      <c r="D77" s="88" t="s">
        <v>681</v>
      </c>
      <c r="E77" s="88" t="s">
        <v>564</v>
      </c>
      <c r="F77" s="88" t="s">
        <v>565</v>
      </c>
      <c r="G77" s="88"/>
      <c r="H77" s="88"/>
      <c r="I77" s="88" t="str">
        <f>CONCATENATE("StageEndTime[", P11, "]")</f>
        <v>StageEndTime[2]</v>
      </c>
    </row>
    <row r="78" spans="1:17" s="12" customFormat="1" ht="13.5" customHeight="1" x14ac:dyDescent="0.25">
      <c r="A78" s="88" t="s">
        <v>607</v>
      </c>
      <c r="B78" s="89" t="s">
        <v>682</v>
      </c>
      <c r="C78" s="88" t="str">
        <f>CONCATENATE(E78," - ",F78," - ",G78," - ",H78," - ",I78)</f>
        <v>Linked Statistics - Line - End B - -0,001 to  - End Ex-Force,End Ez-Force,End Ey-Moment</v>
      </c>
      <c r="D78" s="89" t="s">
        <v>683</v>
      </c>
      <c r="E78" s="89" t="s">
        <v>610</v>
      </c>
      <c r="F78" s="88" t="str">
        <f>CVD_Script_Table!$H$25</f>
        <v>Line</v>
      </c>
      <c r="G78" s="89" t="s">
        <v>577</v>
      </c>
      <c r="H78" s="176" t="str">
        <f>CONCATENATE(SUM($Q$11-0.001), " to ", $Q$11)</f>
        <v xml:space="preserve">-0,001 to </v>
      </c>
      <c r="I78" s="89" t="s">
        <v>611</v>
      </c>
    </row>
    <row r="79" spans="1:17" s="12" customFormat="1" ht="13.5" customHeight="1" x14ac:dyDescent="0.25">
      <c r="A79" s="91"/>
      <c r="B79" s="91"/>
      <c r="C79" s="91"/>
      <c r="D79" s="91"/>
      <c r="E79" s="90" t="str">
        <f>CONCATENATE("Load ",filename_2nd_hmax,"_poliprop.sim")</f>
        <v>Load IGNORAR_poliprop.sim</v>
      </c>
      <c r="F79" s="91"/>
      <c r="G79" s="91"/>
      <c r="H79" s="91"/>
      <c r="I79" s="91"/>
    </row>
    <row r="80" spans="1:17" s="12" customFormat="1" ht="13.5" customHeight="1" x14ac:dyDescent="0.25">
      <c r="A80" s="89" t="s">
        <v>2</v>
      </c>
      <c r="B80" s="89" t="s">
        <v>720</v>
      </c>
      <c r="C80" s="174" t="str">
        <f>CONCATENATE(I80," - ",F80)</f>
        <v>Bend Radius - Line</v>
      </c>
      <c r="D80" s="89" t="str">
        <f t="shared" ref="D80:D94" si="5">SUBSTITUTE(B80, "N", "O")</f>
        <v>O44</v>
      </c>
      <c r="E80" s="89" t="s">
        <v>584</v>
      </c>
      <c r="F80" s="88" t="str">
        <f>CVD_Script_Table!$H$25</f>
        <v>Line</v>
      </c>
      <c r="G80" s="89"/>
      <c r="H80" s="88" t="s">
        <v>585</v>
      </c>
      <c r="I80" s="89" t="s">
        <v>586</v>
      </c>
    </row>
    <row r="81" spans="1:9" s="12" customFormat="1" ht="13.5" customHeight="1" x14ac:dyDescent="0.25">
      <c r="A81" s="89" t="s">
        <v>2</v>
      </c>
      <c r="B81" s="89" t="s">
        <v>721</v>
      </c>
      <c r="C81" s="174" t="str">
        <f>CONCATENATE(I81," - ",F81," - ",G81)</f>
        <v>X - Line - End B</v>
      </c>
      <c r="D81" s="89" t="str">
        <f t="shared" si="5"/>
        <v>O45</v>
      </c>
      <c r="E81" s="89" t="s">
        <v>576</v>
      </c>
      <c r="F81" s="88" t="str">
        <f>CVD_Script_Table!$H$25</f>
        <v>Line</v>
      </c>
      <c r="G81" s="89" t="s">
        <v>577</v>
      </c>
      <c r="H81" s="88"/>
      <c r="I81" s="89" t="s">
        <v>652</v>
      </c>
    </row>
    <row r="82" spans="1:9" s="12" customFormat="1" ht="13.5" customHeight="1" x14ac:dyDescent="0.25">
      <c r="A82" s="89" t="s">
        <v>2</v>
      </c>
      <c r="B82" s="89" t="s">
        <v>722</v>
      </c>
      <c r="C82" s="174" t="str">
        <f>CONCATENATE(I82," - ",F82," - ",G82)</f>
        <v>X - Line - Touchdown</v>
      </c>
      <c r="D82" s="89" t="str">
        <f t="shared" si="5"/>
        <v>O46</v>
      </c>
      <c r="E82" s="89" t="s">
        <v>576</v>
      </c>
      <c r="F82" s="88" t="str">
        <f>CVD_Script_Table!$H$25</f>
        <v>Line</v>
      </c>
      <c r="G82" s="89" t="s">
        <v>615</v>
      </c>
      <c r="H82" s="88"/>
      <c r="I82" s="89" t="s">
        <v>652</v>
      </c>
    </row>
    <row r="83" spans="1:9" s="12" customFormat="1" ht="13.5" customHeight="1" x14ac:dyDescent="0.25">
      <c r="A83" s="89" t="s">
        <v>2</v>
      </c>
      <c r="B83" s="89" t="s">
        <v>723</v>
      </c>
      <c r="C83" s="174" t="str">
        <f>CONCATENATE(I83," - ",F83," - ",G83)</f>
        <v>Arc Length - Line - End B</v>
      </c>
      <c r="D83" s="89" t="str">
        <f t="shared" si="5"/>
        <v>O47</v>
      </c>
      <c r="E83" s="89" t="s">
        <v>576</v>
      </c>
      <c r="F83" s="88" t="str">
        <f>CVD_Script_Table!$H$25</f>
        <v>Line</v>
      </c>
      <c r="G83" s="89" t="s">
        <v>577</v>
      </c>
      <c r="H83" s="88"/>
      <c r="I83" s="89" t="s">
        <v>616</v>
      </c>
    </row>
    <row r="84" spans="1:9" s="12" customFormat="1" ht="13.5" customHeight="1" x14ac:dyDescent="0.25">
      <c r="A84" s="89" t="s">
        <v>2</v>
      </c>
      <c r="B84" s="89" t="s">
        <v>724</v>
      </c>
      <c r="C84" s="174" t="str">
        <f>CONCATENATE(I84," - ",F84," - ",G84)</f>
        <v>Arc Length - Line - Touchdown</v>
      </c>
      <c r="D84" s="89" t="str">
        <f t="shared" si="5"/>
        <v>O48</v>
      </c>
      <c r="E84" s="89" t="s">
        <v>576</v>
      </c>
      <c r="F84" s="88" t="str">
        <f>CVD_Script_Table!$H$25</f>
        <v>Line</v>
      </c>
      <c r="G84" s="89" t="s">
        <v>615</v>
      </c>
      <c r="H84" s="88"/>
      <c r="I84" s="89" t="s">
        <v>616</v>
      </c>
    </row>
    <row r="85" spans="1:9" s="12" customFormat="1" ht="13.5" customHeight="1" x14ac:dyDescent="0.25">
      <c r="A85" s="89" t="s">
        <v>2</v>
      </c>
      <c r="B85" s="89" t="s">
        <v>725</v>
      </c>
      <c r="C85" s="174" t="str">
        <f>CONCATENATE(I85," - ",F85," - ",G85)</f>
        <v>Z - Line - End B</v>
      </c>
      <c r="D85" s="89" t="str">
        <f t="shared" si="5"/>
        <v>O49</v>
      </c>
      <c r="E85" s="89" t="s">
        <v>576</v>
      </c>
      <c r="F85" s="88" t="str">
        <f>CVD_Script_Table!$H$25</f>
        <v>Line</v>
      </c>
      <c r="G85" s="89" t="s">
        <v>577</v>
      </c>
      <c r="H85" s="88"/>
      <c r="I85" s="89" t="s">
        <v>635</v>
      </c>
    </row>
    <row r="86" spans="1:9" s="12" customFormat="1" ht="13.5" customHeight="1" x14ac:dyDescent="0.25">
      <c r="A86" s="89" t="s">
        <v>2</v>
      </c>
      <c r="B86" s="89" t="s">
        <v>726</v>
      </c>
      <c r="C86" s="175" t="str">
        <f>_xlfn.CONCAT("Vertical Seabed Clearance Max ",G86," - ",F86)</f>
        <v>Vertical Seabed Clearance Max  to  - Line</v>
      </c>
      <c r="D86" s="89" t="str">
        <f t="shared" si="5"/>
        <v>O50</v>
      </c>
      <c r="E86" s="89" t="s">
        <v>594</v>
      </c>
      <c r="F86" s="88" t="str">
        <f>CVD_Script_Table!$H$25</f>
        <v>Line</v>
      </c>
      <c r="G86" s="175" t="str">
        <f>_xlfn.CONCAT(hmax1_dist_flange_cabrestante1," to ", hmax1_dist_flange_cabrestante2)</f>
        <v xml:space="preserve"> to </v>
      </c>
      <c r="H86" s="88" t="s">
        <v>585</v>
      </c>
      <c r="I86" s="89" t="s">
        <v>604</v>
      </c>
    </row>
    <row r="87" spans="1:9" s="12" customFormat="1" ht="13.5" customHeight="1" x14ac:dyDescent="0.25">
      <c r="A87" s="89" t="s">
        <v>2</v>
      </c>
      <c r="B87" s="89" t="s">
        <v>727</v>
      </c>
      <c r="C87" s="175" t="str">
        <f>CONCATENATE(I87," Max - ",F87,)</f>
        <v>End Ey-Moment Max - Line</v>
      </c>
      <c r="D87" s="89" t="str">
        <f t="shared" si="5"/>
        <v>O51</v>
      </c>
      <c r="E87" s="89" t="s">
        <v>576</v>
      </c>
      <c r="F87" s="88" t="str">
        <f>CVD_Script_Table!$H$25</f>
        <v>Line</v>
      </c>
      <c r="G87" s="89" t="s">
        <v>577</v>
      </c>
      <c r="H87" s="88"/>
      <c r="I87" s="174" t="s">
        <v>578</v>
      </c>
    </row>
    <row r="88" spans="1:9" s="12" customFormat="1" ht="13.5" customHeight="1" x14ac:dyDescent="0.25">
      <c r="A88" s="89" t="s">
        <v>2</v>
      </c>
      <c r="B88" s="89" t="s">
        <v>728</v>
      </c>
      <c r="C88" s="175" t="str">
        <f t="shared" ref="C88:C94" si="6">CONCATENATE(I88," Max - ",F88,)</f>
        <v>End Ex-Force Max - Line</v>
      </c>
      <c r="D88" s="89" t="str">
        <f t="shared" si="5"/>
        <v>O52</v>
      </c>
      <c r="E88" s="89" t="s">
        <v>576</v>
      </c>
      <c r="F88" s="88" t="str">
        <f>CVD_Script_Table!$H$25</f>
        <v>Line</v>
      </c>
      <c r="G88" s="89" t="s">
        <v>577</v>
      </c>
      <c r="H88" s="88"/>
      <c r="I88" s="175" t="s">
        <v>581</v>
      </c>
    </row>
    <row r="89" spans="1:9" s="12" customFormat="1" ht="13.5" customHeight="1" x14ac:dyDescent="0.25">
      <c r="A89" s="89" t="s">
        <v>2</v>
      </c>
      <c r="B89" s="89" t="s">
        <v>729</v>
      </c>
      <c r="C89" s="174" t="str">
        <f>CONCATENATE(I89," - ",F89)</f>
        <v>Bend Radius - Stiffener1</v>
      </c>
      <c r="D89" s="89" t="str">
        <f t="shared" si="5"/>
        <v>O53</v>
      </c>
      <c r="E89" s="89" t="s">
        <v>584</v>
      </c>
      <c r="F89" s="88" t="str">
        <f>CVD_Script_Table!$H$26</f>
        <v>Stiffener1</v>
      </c>
      <c r="G89" s="89"/>
      <c r="H89" s="88" t="s">
        <v>585</v>
      </c>
      <c r="I89" s="89" t="s">
        <v>586</v>
      </c>
    </row>
    <row r="90" spans="1:9" s="12" customFormat="1" ht="13.5" customHeight="1" x14ac:dyDescent="0.25">
      <c r="A90" s="89" t="s">
        <v>2</v>
      </c>
      <c r="B90" s="89" t="s">
        <v>730</v>
      </c>
      <c r="C90" s="175" t="str">
        <f t="shared" si="6"/>
        <v>Bend Moment Max - Stiffener1</v>
      </c>
      <c r="D90" s="89" t="str">
        <f t="shared" si="5"/>
        <v>O54</v>
      </c>
      <c r="E90" s="89" t="s">
        <v>594</v>
      </c>
      <c r="F90" s="88" t="str">
        <f>CVD_Script_Table!$H$26</f>
        <v>Stiffener1</v>
      </c>
      <c r="G90" s="175"/>
      <c r="H90" s="88" t="s">
        <v>585</v>
      </c>
      <c r="I90" s="175" t="s">
        <v>595</v>
      </c>
    </row>
    <row r="91" spans="1:9" s="12" customFormat="1" ht="13.5" customHeight="1" x14ac:dyDescent="0.25">
      <c r="A91" s="89" t="s">
        <v>2</v>
      </c>
      <c r="B91" s="89" t="s">
        <v>731</v>
      </c>
      <c r="C91" s="175" t="str">
        <f t="shared" si="6"/>
        <v>Shear Force Max - Stiffener1</v>
      </c>
      <c r="D91" s="89" t="str">
        <f t="shared" si="5"/>
        <v>O55</v>
      </c>
      <c r="E91" s="89" t="s">
        <v>594</v>
      </c>
      <c r="F91" s="88" t="str">
        <f>CVD_Script_Table!$H$26</f>
        <v>Stiffener1</v>
      </c>
      <c r="G91" s="175"/>
      <c r="H91" s="88" t="s">
        <v>585</v>
      </c>
      <c r="I91" s="175" t="s">
        <v>598</v>
      </c>
    </row>
    <row r="92" spans="1:9" s="12" customFormat="1" ht="13.5" customHeight="1" x14ac:dyDescent="0.25">
      <c r="A92" s="89" t="s">
        <v>2</v>
      </c>
      <c r="B92" s="89" t="s">
        <v>732</v>
      </c>
      <c r="C92" s="174" t="str">
        <f>CONCATENATE(I92," - ",F92)</f>
        <v>Rotation 2 - 2184362-14_/_SK-130685-17</v>
      </c>
      <c r="D92" s="89" t="str">
        <f t="shared" si="5"/>
        <v>O56</v>
      </c>
      <c r="E92" s="89" t="s">
        <v>576</v>
      </c>
      <c r="F92" s="331" t="str">
        <f>CVD_Script_Table!$H$19</f>
        <v>2184362-14_/_SK-130685-17</v>
      </c>
      <c r="G92" s="89"/>
      <c r="H92" s="88"/>
      <c r="I92" s="89" t="s">
        <v>654</v>
      </c>
    </row>
    <row r="93" spans="1:9" s="12" customFormat="1" ht="13.5" customHeight="1" x14ac:dyDescent="0.25">
      <c r="A93" s="89" t="s">
        <v>2</v>
      </c>
      <c r="B93" s="89" t="s">
        <v>733</v>
      </c>
      <c r="C93" s="175" t="str">
        <f t="shared" si="6"/>
        <v>Tension Max - Cabrestante 1</v>
      </c>
      <c r="D93" s="89" t="str">
        <f t="shared" si="5"/>
        <v>O57</v>
      </c>
      <c r="E93" s="89" t="s">
        <v>716</v>
      </c>
      <c r="F93" s="88" t="str">
        <f>CVD_Script_Table!$H$29</f>
        <v>Cabrestante 1</v>
      </c>
      <c r="G93" s="88"/>
      <c r="H93" s="88" t="s">
        <v>585</v>
      </c>
      <c r="I93" s="88" t="s">
        <v>717</v>
      </c>
    </row>
    <row r="94" spans="1:9" s="12" customFormat="1" ht="13.5" customHeight="1" x14ac:dyDescent="0.25">
      <c r="A94" s="89" t="s">
        <v>2</v>
      </c>
      <c r="B94" s="89" t="s">
        <v>734</v>
      </c>
      <c r="C94" s="175" t="str">
        <f t="shared" si="6"/>
        <v>Tension Max - Cabrestante 2</v>
      </c>
      <c r="D94" s="89" t="str">
        <f t="shared" si="5"/>
        <v>O58</v>
      </c>
      <c r="E94" s="89" t="s">
        <v>716</v>
      </c>
      <c r="F94" s="556" t="str">
        <f>CVD_Script_Table!$H$30</f>
        <v>Cabrestante 2</v>
      </c>
      <c r="G94" s="88"/>
      <c r="H94" s="88" t="s">
        <v>585</v>
      </c>
      <c r="I94" s="88" t="s">
        <v>717</v>
      </c>
    </row>
    <row r="95" spans="1:9" s="12" customFormat="1" ht="13.5" customHeight="1" x14ac:dyDescent="0.25">
      <c r="A95" s="91"/>
      <c r="B95" s="91"/>
      <c r="C95" s="91"/>
      <c r="D95" s="91"/>
      <c r="E95" s="90" t="str">
        <f>CONCATENATE("Load ",filename_2nd_hmax,"_cinta.sim")</f>
        <v>Load IGNORAR_cinta.sim</v>
      </c>
      <c r="F95" s="91"/>
      <c r="G95" s="91"/>
      <c r="H95" s="91"/>
      <c r="I95" s="91"/>
    </row>
    <row r="96" spans="1:9" s="12" customFormat="1" ht="13.5" customHeight="1" x14ac:dyDescent="0.25">
      <c r="A96" s="89" t="s">
        <v>2</v>
      </c>
      <c r="B96" s="89" t="s">
        <v>735</v>
      </c>
      <c r="C96" s="174" t="str">
        <f>CONCATENATE(I96," - ",F96)</f>
        <v>Bend Radius - Line</v>
      </c>
      <c r="D96" s="89" t="str">
        <f t="shared" ref="D96:D102" si="7">SUBSTITUTE(B96, "N", "O")</f>
        <v>O77</v>
      </c>
      <c r="E96" s="89" t="s">
        <v>584</v>
      </c>
      <c r="F96" s="88" t="str">
        <f>CVD_Script_Table!$H$25</f>
        <v>Line</v>
      </c>
      <c r="G96" s="89"/>
      <c r="H96" s="88" t="s">
        <v>585</v>
      </c>
      <c r="I96" s="89" t="s">
        <v>586</v>
      </c>
    </row>
    <row r="97" spans="1:9" s="12" customFormat="1" ht="13.5" customHeight="1" x14ac:dyDescent="0.25">
      <c r="A97" s="89" t="s">
        <v>2</v>
      </c>
      <c r="B97" s="89" t="s">
        <v>736</v>
      </c>
      <c r="C97" s="174" t="str">
        <f>CONCATENATE(I97," - ",F97," - ",G97)</f>
        <v>X - Line - End B</v>
      </c>
      <c r="D97" s="89" t="str">
        <f t="shared" si="7"/>
        <v>O78</v>
      </c>
      <c r="E97" s="89" t="s">
        <v>576</v>
      </c>
      <c r="F97" s="88" t="str">
        <f>CVD_Script_Table!$H$25</f>
        <v>Line</v>
      </c>
      <c r="G97" s="89" t="s">
        <v>577</v>
      </c>
      <c r="H97" s="88"/>
      <c r="I97" s="89" t="s">
        <v>652</v>
      </c>
    </row>
    <row r="98" spans="1:9" s="12" customFormat="1" ht="13.5" customHeight="1" x14ac:dyDescent="0.25">
      <c r="A98" s="89" t="s">
        <v>2</v>
      </c>
      <c r="B98" s="89" t="s">
        <v>737</v>
      </c>
      <c r="C98" s="174" t="str">
        <f>CONCATENATE(I98," - ",F98," - ",G98)</f>
        <v>X - Line - Touchdown</v>
      </c>
      <c r="D98" s="89" t="str">
        <f t="shared" si="7"/>
        <v>O79</v>
      </c>
      <c r="E98" s="89" t="s">
        <v>576</v>
      </c>
      <c r="F98" s="88" t="str">
        <f>CVD_Script_Table!$H$25</f>
        <v>Line</v>
      </c>
      <c r="G98" s="89" t="s">
        <v>615</v>
      </c>
      <c r="H98" s="88"/>
      <c r="I98" s="89" t="s">
        <v>652</v>
      </c>
    </row>
    <row r="99" spans="1:9" s="12" customFormat="1" ht="13.5" customHeight="1" x14ac:dyDescent="0.25">
      <c r="A99" s="89" t="s">
        <v>2</v>
      </c>
      <c r="B99" s="89" t="s">
        <v>738</v>
      </c>
      <c r="C99" s="174" t="str">
        <f>CONCATENATE(I99," - ",F99," - ",G99)</f>
        <v>Arc Length - Line - End B</v>
      </c>
      <c r="D99" s="89" t="str">
        <f t="shared" si="7"/>
        <v>O80</v>
      </c>
      <c r="E99" s="89" t="s">
        <v>576</v>
      </c>
      <c r="F99" s="88" t="str">
        <f>CVD_Script_Table!$H$25</f>
        <v>Line</v>
      </c>
      <c r="G99" s="89" t="s">
        <v>577</v>
      </c>
      <c r="H99" s="88"/>
      <c r="I99" s="89" t="s">
        <v>616</v>
      </c>
    </row>
    <row r="100" spans="1:9" s="12" customFormat="1" ht="13.5" customHeight="1" x14ac:dyDescent="0.25">
      <c r="A100" s="89" t="s">
        <v>2</v>
      </c>
      <c r="B100" s="89" t="s">
        <v>739</v>
      </c>
      <c r="C100" s="174" t="str">
        <f>CONCATENATE(I100," - ",F100," - ",G100)</f>
        <v>Arc Length - Line - Touchdown</v>
      </c>
      <c r="D100" s="89" t="str">
        <f t="shared" si="7"/>
        <v>O81</v>
      </c>
      <c r="E100" s="89" t="s">
        <v>576</v>
      </c>
      <c r="F100" s="88" t="str">
        <f>CVD_Script_Table!$H$25</f>
        <v>Line</v>
      </c>
      <c r="G100" s="89" t="s">
        <v>615</v>
      </c>
      <c r="H100" s="88"/>
      <c r="I100" s="89" t="s">
        <v>616</v>
      </c>
    </row>
    <row r="101" spans="1:9" s="12" customFormat="1" ht="13.5" customHeight="1" x14ac:dyDescent="0.25">
      <c r="A101" s="89" t="s">
        <v>2</v>
      </c>
      <c r="B101" s="89" t="s">
        <v>740</v>
      </c>
      <c r="C101" s="174" t="str">
        <f>CONCATENATE(I101," - ",F101," - ",G101)</f>
        <v>Z - Line - End B</v>
      </c>
      <c r="D101" s="89" t="str">
        <f t="shared" si="7"/>
        <v>O82</v>
      </c>
      <c r="E101" s="89" t="s">
        <v>576</v>
      </c>
      <c r="F101" s="88" t="str">
        <f>CVD_Script_Table!$H$25</f>
        <v>Line</v>
      </c>
      <c r="G101" s="89" t="s">
        <v>577</v>
      </c>
      <c r="H101" s="88"/>
      <c r="I101" s="89" t="s">
        <v>635</v>
      </c>
    </row>
    <row r="102" spans="1:9" s="12" customFormat="1" ht="13.5" customHeight="1" x14ac:dyDescent="0.25">
      <c r="A102" s="89" t="s">
        <v>2</v>
      </c>
      <c r="B102" s="89" t="s">
        <v>741</v>
      </c>
      <c r="C102" s="175" t="str">
        <f>_xlfn.CONCAT("Vertical Seabed Clearance Max ",G102," - ",F102)</f>
        <v>Vertical Seabed Clearance Max  to  - Line</v>
      </c>
      <c r="D102" s="89" t="str">
        <f t="shared" si="7"/>
        <v>O83</v>
      </c>
      <c r="E102" s="89" t="s">
        <v>594</v>
      </c>
      <c r="F102" s="88" t="str">
        <f>CVD_Script_Table!$H$25</f>
        <v>Line</v>
      </c>
      <c r="G102" s="175" t="str">
        <f>_xlfn.CONCAT(hmax1_dist_flange_cabrestante1," to ", hmax1_dist_flange_cabrestante2)</f>
        <v xml:space="preserve"> to </v>
      </c>
      <c r="H102" s="88" t="s">
        <v>585</v>
      </c>
      <c r="I102" s="89" t="s">
        <v>604</v>
      </c>
    </row>
    <row r="103" spans="1:9" s="12" customFormat="1" ht="13.5" customHeight="1" x14ac:dyDescent="0.25">
      <c r="A103" s="89" t="s">
        <v>2</v>
      </c>
      <c r="B103" s="89" t="s">
        <v>742</v>
      </c>
      <c r="C103" s="175" t="str">
        <f>CONCATENATE(I103," Max - ",F103,)</f>
        <v>End Ey-Moment Max - Line</v>
      </c>
      <c r="D103" s="89" t="str">
        <f t="shared" ref="D103:D110" si="8">SUBSTITUTE(B103, "N", "O")</f>
        <v>O84</v>
      </c>
      <c r="E103" s="89" t="s">
        <v>576</v>
      </c>
      <c r="F103" s="88" t="str">
        <f>CVD_Script_Table!$H$25</f>
        <v>Line</v>
      </c>
      <c r="G103" s="89" t="s">
        <v>577</v>
      </c>
      <c r="H103" s="88"/>
      <c r="I103" s="174" t="s">
        <v>578</v>
      </c>
    </row>
    <row r="104" spans="1:9" s="12" customFormat="1" ht="13.5" customHeight="1" x14ac:dyDescent="0.25">
      <c r="A104" s="89" t="s">
        <v>2</v>
      </c>
      <c r="B104" s="89" t="s">
        <v>743</v>
      </c>
      <c r="C104" s="175" t="str">
        <f>CONCATENATE(I104," Max - ",F104,)</f>
        <v>End Ex-Force Max - Line</v>
      </c>
      <c r="D104" s="89" t="str">
        <f t="shared" si="8"/>
        <v>O85</v>
      </c>
      <c r="E104" s="89" t="s">
        <v>576</v>
      </c>
      <c r="F104" s="88" t="str">
        <f>CVD_Script_Table!$H$25</f>
        <v>Line</v>
      </c>
      <c r="G104" s="89" t="s">
        <v>577</v>
      </c>
      <c r="H104" s="88"/>
      <c r="I104" s="175" t="s">
        <v>581</v>
      </c>
    </row>
    <row r="105" spans="1:9" s="12" customFormat="1" ht="13.5" customHeight="1" x14ac:dyDescent="0.25">
      <c r="A105" s="89" t="s">
        <v>2</v>
      </c>
      <c r="B105" s="89" t="s">
        <v>744</v>
      </c>
      <c r="C105" s="174" t="str">
        <f>CONCATENATE(I105," - ",F105)</f>
        <v>Bend Radius - Stiffener1</v>
      </c>
      <c r="D105" s="89" t="str">
        <f>SUBSTITUTE(B105, "N", "O")</f>
        <v>O86</v>
      </c>
      <c r="E105" s="89" t="s">
        <v>584</v>
      </c>
      <c r="F105" s="88" t="str">
        <f>CVD_Script_Table!$H$26</f>
        <v>Stiffener1</v>
      </c>
      <c r="G105" s="89"/>
      <c r="H105" s="88" t="s">
        <v>585</v>
      </c>
      <c r="I105" s="89" t="s">
        <v>586</v>
      </c>
    </row>
    <row r="106" spans="1:9" s="12" customFormat="1" ht="13.5" customHeight="1" x14ac:dyDescent="0.25">
      <c r="A106" s="89" t="s">
        <v>2</v>
      </c>
      <c r="B106" s="89" t="s">
        <v>745</v>
      </c>
      <c r="C106" s="175" t="str">
        <f>CONCATENATE(I106," Max - ",F106,)</f>
        <v>Bend Moment Max - Stiffener1</v>
      </c>
      <c r="D106" s="89" t="str">
        <f t="shared" si="8"/>
        <v>O87</v>
      </c>
      <c r="E106" s="89" t="s">
        <v>594</v>
      </c>
      <c r="F106" s="88" t="str">
        <f>CVD_Script_Table!$H$26</f>
        <v>Stiffener1</v>
      </c>
      <c r="G106" s="175"/>
      <c r="H106" s="88" t="s">
        <v>585</v>
      </c>
      <c r="I106" s="175" t="s">
        <v>595</v>
      </c>
    </row>
    <row r="107" spans="1:9" s="12" customFormat="1" ht="13.5" customHeight="1" x14ac:dyDescent="0.25">
      <c r="A107" s="89" t="s">
        <v>2</v>
      </c>
      <c r="B107" s="89" t="s">
        <v>746</v>
      </c>
      <c r="C107" s="175" t="str">
        <f>CONCATENATE(I107," Max - ",F107,)</f>
        <v>Shear Force Max - Stiffener1</v>
      </c>
      <c r="D107" s="89" t="str">
        <f t="shared" si="8"/>
        <v>O88</v>
      </c>
      <c r="E107" s="89" t="s">
        <v>594</v>
      </c>
      <c r="F107" s="88" t="str">
        <f>CVD_Script_Table!$H$26</f>
        <v>Stiffener1</v>
      </c>
      <c r="G107" s="175"/>
      <c r="H107" s="88" t="s">
        <v>585</v>
      </c>
      <c r="I107" s="175" t="s">
        <v>598</v>
      </c>
    </row>
    <row r="108" spans="1:9" s="12" customFormat="1" ht="13.5" customHeight="1" x14ac:dyDescent="0.25">
      <c r="A108" s="89" t="s">
        <v>2</v>
      </c>
      <c r="B108" s="89" t="s">
        <v>747</v>
      </c>
      <c r="C108" s="174" t="str">
        <f>CONCATENATE(I108," - ",F108)</f>
        <v>Rotation 2 - 2184362-14_/_SK-130685-17</v>
      </c>
      <c r="D108" s="89" t="str">
        <f>SUBSTITUTE(B108, "N", "O")</f>
        <v>O89</v>
      </c>
      <c r="E108" s="89" t="s">
        <v>576</v>
      </c>
      <c r="F108" s="331" t="str">
        <f>CVD_Script_Table!$H$19</f>
        <v>2184362-14_/_SK-130685-17</v>
      </c>
      <c r="G108" s="89"/>
      <c r="H108" s="88"/>
      <c r="I108" s="89" t="s">
        <v>654</v>
      </c>
    </row>
    <row r="109" spans="1:9" s="12" customFormat="1" ht="13.5" customHeight="1" x14ac:dyDescent="0.25">
      <c r="A109" s="89" t="s">
        <v>2</v>
      </c>
      <c r="B109" s="89" t="s">
        <v>748</v>
      </c>
      <c r="C109" s="175" t="str">
        <f>CONCATENATE(I109," Max - ",F109,)</f>
        <v>Tension Max - Cabrestante 1</v>
      </c>
      <c r="D109" s="89" t="str">
        <f t="shared" si="8"/>
        <v>O90</v>
      </c>
      <c r="E109" s="89" t="s">
        <v>716</v>
      </c>
      <c r="F109" s="88" t="str">
        <f>CVD_Script_Table!$H$29</f>
        <v>Cabrestante 1</v>
      </c>
      <c r="G109" s="88"/>
      <c r="H109" s="88" t="s">
        <v>585</v>
      </c>
      <c r="I109" s="88" t="s">
        <v>717</v>
      </c>
    </row>
    <row r="110" spans="1:9" s="12" customFormat="1" ht="13.5" customHeight="1" x14ac:dyDescent="0.25">
      <c r="A110" s="89" t="s">
        <v>2</v>
      </c>
      <c r="B110" s="89" t="s">
        <v>749</v>
      </c>
      <c r="C110" s="175" t="str">
        <f>CONCATENATE(I110," Max - ",F110,)</f>
        <v>Tension Max - Cabrestante 2</v>
      </c>
      <c r="D110" s="89" t="str">
        <f t="shared" si="8"/>
        <v>O91</v>
      </c>
      <c r="E110" s="89" t="s">
        <v>716</v>
      </c>
      <c r="F110" s="556" t="str">
        <f>CVD_Script_Table!$H$30</f>
        <v>Cabrestante 2</v>
      </c>
      <c r="G110" s="88"/>
      <c r="H110" s="88" t="s">
        <v>585</v>
      </c>
      <c r="I110" s="88" t="s">
        <v>717</v>
      </c>
    </row>
    <row r="111" spans="1:9" s="12" customFormat="1" ht="13.5" customHeight="1" x14ac:dyDescent="0.25">
      <c r="A111" s="91"/>
      <c r="B111" s="91"/>
      <c r="C111" s="91"/>
      <c r="D111" s="91"/>
      <c r="E111" s="90" t="str">
        <f>CONCATENATE("Load ",filename_2nd_puxada,".sim")</f>
        <v>Load IGNORAR.sim</v>
      </c>
      <c r="F111" s="91"/>
      <c r="G111" s="91"/>
      <c r="H111" s="91"/>
      <c r="I111" s="91"/>
    </row>
    <row r="112" spans="1:9" s="12" customFormat="1" ht="13.5" customHeight="1" x14ac:dyDescent="0.25">
      <c r="A112" s="89" t="s">
        <v>2</v>
      </c>
      <c r="B112" s="89" t="s">
        <v>750</v>
      </c>
      <c r="C112" s="174" t="str">
        <f t="shared" ref="C112:C117" si="9">CONCATENATE(I112," - ",F112)</f>
        <v>Bend Radius - Line</v>
      </c>
      <c r="D112" s="89" t="str">
        <f t="shared" ref="D112:D117" si="10">SUBSTITUTE(B112, "N", "O")</f>
        <v>O16</v>
      </c>
      <c r="E112" s="89" t="s">
        <v>584</v>
      </c>
      <c r="F112" s="88" t="str">
        <f>CVD_Script_Table!$H$25</f>
        <v>Line</v>
      </c>
      <c r="G112" s="89"/>
      <c r="H112" s="89" t="s">
        <v>633</v>
      </c>
      <c r="I112" s="89" t="s">
        <v>586</v>
      </c>
    </row>
    <row r="113" spans="1:17" s="12" customFormat="1" ht="13.5" customHeight="1" x14ac:dyDescent="0.25">
      <c r="A113" s="89" t="s">
        <v>2</v>
      </c>
      <c r="B113" s="89" t="s">
        <v>751</v>
      </c>
      <c r="C113" s="174" t="str">
        <f>CONCATENATE(I113," - ",F113)</f>
        <v>End Ey-Moment - Line</v>
      </c>
      <c r="D113" s="89" t="str">
        <f>SUBSTITUTE(B113, "N", "O")</f>
        <v>O17</v>
      </c>
      <c r="E113" s="89" t="s">
        <v>576</v>
      </c>
      <c r="F113" s="88" t="str">
        <f>CVD_Script_Table!$H$25</f>
        <v>Line</v>
      </c>
      <c r="G113" s="89" t="s">
        <v>577</v>
      </c>
      <c r="H113" s="88"/>
      <c r="I113" s="174" t="s">
        <v>578</v>
      </c>
    </row>
    <row r="114" spans="1:17" s="12" customFormat="1" ht="13.5" customHeight="1" x14ac:dyDescent="0.25">
      <c r="A114" s="89" t="s">
        <v>2</v>
      </c>
      <c r="B114" s="89" t="s">
        <v>752</v>
      </c>
      <c r="C114" s="174" t="str">
        <f>CONCATENATE(I114," - ",F114)</f>
        <v>End Ex-Force - Line</v>
      </c>
      <c r="D114" s="89" t="str">
        <f>SUBSTITUTE(B114, "N", "O")</f>
        <v>O18</v>
      </c>
      <c r="E114" s="89" t="s">
        <v>576</v>
      </c>
      <c r="F114" s="88" t="str">
        <f>CVD_Script_Table!$H$25</f>
        <v>Line</v>
      </c>
      <c r="G114" s="89" t="s">
        <v>577</v>
      </c>
      <c r="H114" s="88"/>
      <c r="I114" s="175" t="s">
        <v>581</v>
      </c>
    </row>
    <row r="115" spans="1:17" s="12" customFormat="1" ht="13.5" customHeight="1" x14ac:dyDescent="0.25">
      <c r="A115" s="89" t="s">
        <v>2</v>
      </c>
      <c r="B115" s="89" t="s">
        <v>753</v>
      </c>
      <c r="C115" s="174" t="str">
        <f>CONCATENATE(I115," - ",F115)</f>
        <v>Bend Radius - Stiffener1</v>
      </c>
      <c r="D115" s="89" t="str">
        <f>SUBSTITUTE(B115, "N", "O")</f>
        <v>O19</v>
      </c>
      <c r="E115" s="89" t="s">
        <v>584</v>
      </c>
      <c r="F115" s="88" t="str">
        <f>CVD_Script_Table!$H$26</f>
        <v>Stiffener1</v>
      </c>
      <c r="G115" s="89"/>
      <c r="H115" s="89" t="s">
        <v>633</v>
      </c>
      <c r="I115" s="89" t="s">
        <v>586</v>
      </c>
    </row>
    <row r="116" spans="1:17" s="12" customFormat="1" ht="13.5" customHeight="1" x14ac:dyDescent="0.25">
      <c r="A116" s="89" t="s">
        <v>2</v>
      </c>
      <c r="B116" s="89" t="s">
        <v>754</v>
      </c>
      <c r="C116" s="174" t="str">
        <f t="shared" si="9"/>
        <v>Bend Moment - Stiffener1</v>
      </c>
      <c r="D116" s="89" t="str">
        <f t="shared" si="10"/>
        <v>O20</v>
      </c>
      <c r="E116" s="88" t="s">
        <v>576</v>
      </c>
      <c r="F116" s="88" t="str">
        <f>CVD_Script_Table!$H$26</f>
        <v>Stiffener1</v>
      </c>
      <c r="G116" s="88" t="s">
        <v>577</v>
      </c>
      <c r="H116" s="88"/>
      <c r="I116" s="175" t="s">
        <v>595</v>
      </c>
    </row>
    <row r="117" spans="1:17" s="12" customFormat="1" ht="13.5" customHeight="1" x14ac:dyDescent="0.25">
      <c r="A117" s="89" t="s">
        <v>2</v>
      </c>
      <c r="B117" s="89" t="s">
        <v>755</v>
      </c>
      <c r="C117" s="174" t="str">
        <f t="shared" si="9"/>
        <v>Shear Force - Stiffener1</v>
      </c>
      <c r="D117" s="89" t="str">
        <f t="shared" si="10"/>
        <v>O21</v>
      </c>
      <c r="E117" s="88" t="s">
        <v>576</v>
      </c>
      <c r="F117" s="88" t="str">
        <f>CVD_Script_Table!$H$26</f>
        <v>Stiffener1</v>
      </c>
      <c r="G117" s="89" t="s">
        <v>577</v>
      </c>
      <c r="H117" s="88"/>
      <c r="I117" s="175" t="s">
        <v>598</v>
      </c>
    </row>
    <row r="118" spans="1:17" ht="13.5" customHeight="1" x14ac:dyDescent="0.25">
      <c r="A118" s="89" t="s">
        <v>2</v>
      </c>
      <c r="B118" s="89" t="s">
        <v>756</v>
      </c>
      <c r="C118" s="174" t="str">
        <f>CONCATENATE(I118," - ",F118)</f>
        <v>StageValue[1] - A/R</v>
      </c>
      <c r="D118" s="89" t="str">
        <f>SUBSTITUTE(B118, "N", "O")</f>
        <v>O22</v>
      </c>
      <c r="E118" s="89" t="s">
        <v>564</v>
      </c>
      <c r="F118" s="88" t="str">
        <f>CVD_Script_Table!$H$27</f>
        <v>A/R</v>
      </c>
      <c r="G118" s="89"/>
      <c r="H118" s="89"/>
      <c r="I118" s="89" t="s">
        <v>711</v>
      </c>
      <c r="J118" s="12"/>
      <c r="K118" s="12"/>
      <c r="L118" s="12"/>
      <c r="M118" s="12"/>
      <c r="N118" s="12"/>
      <c r="O118" s="12"/>
      <c r="P118" s="12"/>
      <c r="Q118" s="12"/>
    </row>
    <row r="119" spans="1:17" ht="13.5" customHeight="1" x14ac:dyDescent="0.25">
      <c r="A119" s="89" t="s">
        <v>2</v>
      </c>
      <c r="B119" s="89" t="s">
        <v>757</v>
      </c>
      <c r="C119" s="174" t="str">
        <f>CONCATENATE(I119," - ",F119)</f>
        <v>StageValue[3] - A/R</v>
      </c>
      <c r="D119" s="89" t="str">
        <f>SUBSTITUTE(B119, "N", "O")</f>
        <v>O23</v>
      </c>
      <c r="E119" s="89" t="s">
        <v>564</v>
      </c>
      <c r="F119" s="88" t="str">
        <f>CVD_Script_Table!$H$27</f>
        <v>A/R</v>
      </c>
      <c r="G119" s="89"/>
      <c r="H119" s="89"/>
      <c r="I119" s="89" t="s">
        <v>656</v>
      </c>
      <c r="J119" s="7"/>
      <c r="K119" s="12"/>
    </row>
    <row r="120" spans="1:17" ht="13.5" customHeight="1" x14ac:dyDescent="0.25">
      <c r="A120" s="89" t="s">
        <v>2</v>
      </c>
      <c r="B120" s="89" t="s">
        <v>758</v>
      </c>
      <c r="C120" s="174" t="str">
        <f>CONCATENATE(I120," - ",F120)</f>
        <v>Tension - Cabrestante 1</v>
      </c>
      <c r="D120" s="89" t="str">
        <f>SUBSTITUTE(B120, "N", "O")</f>
        <v>O24</v>
      </c>
      <c r="E120" s="89" t="s">
        <v>716</v>
      </c>
      <c r="F120" s="88" t="str">
        <f>CVD_Script_Table!$H$29</f>
        <v>Cabrestante 1</v>
      </c>
      <c r="G120" s="89"/>
      <c r="H120" s="89" t="s">
        <v>633</v>
      </c>
      <c r="I120" s="89" t="s">
        <v>717</v>
      </c>
      <c r="J120" s="7"/>
      <c r="K120" s="12"/>
    </row>
    <row r="121" spans="1:17" ht="13.5" customHeight="1" x14ac:dyDescent="0.25">
      <c r="A121" s="89" t="s">
        <v>2</v>
      </c>
      <c r="B121" s="89" t="s">
        <v>759</v>
      </c>
      <c r="C121" s="174" t="str">
        <f>CONCATENATE(I121," - ",F121)</f>
        <v>Tension - Cabrestante 2</v>
      </c>
      <c r="D121" s="89" t="str">
        <f>SUBSTITUTE(B121, "N", "O")</f>
        <v>O25</v>
      </c>
      <c r="E121" s="89" t="s">
        <v>716</v>
      </c>
      <c r="F121" s="556" t="str">
        <f>CVD_Script_Table!$H$30</f>
        <v>Cabrestante 2</v>
      </c>
      <c r="G121" s="89"/>
      <c r="H121" s="89" t="s">
        <v>633</v>
      </c>
      <c r="I121" s="89" t="s">
        <v>717</v>
      </c>
      <c r="J121" s="7"/>
      <c r="K121" s="12"/>
    </row>
    <row r="122" spans="1:17" ht="13.5" customHeight="1" x14ac:dyDescent="0.25">
      <c r="A122" s="88" t="s">
        <v>607</v>
      </c>
      <c r="B122" s="89" t="s">
        <v>760</v>
      </c>
      <c r="C122" s="174" t="str">
        <f>CONCATENATE(E122," - ",F122," - ",G122," - ",H122," - ",I122)</f>
        <v>Linked Statistics - Line - End B - 0 to  - End Ex-Force,End Ez-Force,End Ey-Moment</v>
      </c>
      <c r="D122" s="89" t="s">
        <v>761</v>
      </c>
      <c r="E122" s="89" t="s">
        <v>610</v>
      </c>
      <c r="F122" s="88" t="str">
        <f>CVD_Script_Table!$H$25</f>
        <v>Line</v>
      </c>
      <c r="G122" s="89" t="s">
        <v>577</v>
      </c>
      <c r="H122" s="176" t="str">
        <f>CONCATENATE(0, " to ", $Q$3)</f>
        <v xml:space="preserve">0 to </v>
      </c>
      <c r="I122" s="89" t="s">
        <v>611</v>
      </c>
      <c r="J122" s="7"/>
      <c r="K122" s="12"/>
      <c r="L122" s="93"/>
    </row>
    <row r="123" spans="1:17" ht="13.5" customHeight="1" x14ac:dyDescent="0.25">
      <c r="A123" s="386"/>
      <c r="B123" s="330"/>
      <c r="C123" s="330"/>
      <c r="D123" s="330"/>
      <c r="E123" s="90" t="str">
        <f>CONCATENATE("Load ",filename_cont,"1.sim")</f>
        <v>Load Cont1.sim</v>
      </c>
      <c r="F123" s="330"/>
      <c r="G123" s="330"/>
      <c r="H123" s="330"/>
      <c r="I123" s="330"/>
      <c r="J123" s="7"/>
      <c r="K123" s="12"/>
      <c r="L123" s="93"/>
    </row>
    <row r="124" spans="1:17" ht="13.5" customHeight="1" x14ac:dyDescent="0.25">
      <c r="A124" s="88" t="s">
        <v>2</v>
      </c>
      <c r="B124" s="88" t="s">
        <v>684</v>
      </c>
      <c r="C124" s="88" t="str">
        <f>_xlfn.CONCAT(I124," - ",F124)</f>
        <v>Bend Moment - Stiffener1</v>
      </c>
      <c r="D124" s="88" t="str">
        <f t="shared" ref="D124:D129" si="11">SUBSTITUTE(B124, "H", "I")</f>
        <v>I49</v>
      </c>
      <c r="E124" s="88" t="s">
        <v>594</v>
      </c>
      <c r="F124" s="88" t="str">
        <f>CVD_Script_Table!$H$26</f>
        <v>Stiffener1</v>
      </c>
      <c r="G124" s="88"/>
      <c r="H124" s="88" t="s">
        <v>585</v>
      </c>
      <c r="I124" s="88" t="s">
        <v>595</v>
      </c>
      <c r="J124" s="7"/>
    </row>
    <row r="125" spans="1:17" ht="13.5" customHeight="1" x14ac:dyDescent="0.25">
      <c r="A125" s="88" t="s">
        <v>2</v>
      </c>
      <c r="B125" s="88" t="s">
        <v>685</v>
      </c>
      <c r="C125" s="88" t="str">
        <f>_xlfn.CONCAT(I125," - ",F125)</f>
        <v>Shear Force - Stiffener1</v>
      </c>
      <c r="D125" s="88" t="str">
        <f t="shared" si="11"/>
        <v>I50</v>
      </c>
      <c r="E125" s="88" t="s">
        <v>594</v>
      </c>
      <c r="F125" s="88" t="str">
        <f>CVD_Script_Table!$H$26</f>
        <v>Stiffener1</v>
      </c>
      <c r="G125" s="88"/>
      <c r="H125" s="88" t="s">
        <v>585</v>
      </c>
      <c r="I125" s="88" t="s">
        <v>598</v>
      </c>
      <c r="J125" s="7"/>
    </row>
    <row r="126" spans="1:17" ht="13.5" customHeight="1" x14ac:dyDescent="0.25">
      <c r="A126" s="88" t="s">
        <v>2</v>
      </c>
      <c r="B126" s="88" t="s">
        <v>686</v>
      </c>
      <c r="C126" s="88" t="str">
        <f>CONCATENATE(I126," - ",F126)</f>
        <v>Bend Radius - Stiffener1</v>
      </c>
      <c r="D126" s="88" t="str">
        <f t="shared" si="11"/>
        <v>I51</v>
      </c>
      <c r="E126" s="88" t="s">
        <v>584</v>
      </c>
      <c r="F126" s="88" t="str">
        <f>CVD_Script_Table!$H$26</f>
        <v>Stiffener1</v>
      </c>
      <c r="G126" s="88"/>
      <c r="H126" s="88" t="s">
        <v>585</v>
      </c>
      <c r="I126" s="88" t="s">
        <v>586</v>
      </c>
      <c r="J126" s="7"/>
    </row>
    <row r="127" spans="1:17" ht="13.5" customHeight="1" x14ac:dyDescent="0.25">
      <c r="A127" s="88" t="s">
        <v>2</v>
      </c>
      <c r="B127" s="88" t="s">
        <v>687</v>
      </c>
      <c r="C127" s="88" t="str">
        <f>CONCATENATE(I127," - ",F127)</f>
        <v>Bend Radius - Line</v>
      </c>
      <c r="D127" s="88" t="str">
        <f t="shared" si="11"/>
        <v>I52</v>
      </c>
      <c r="E127" s="88" t="s">
        <v>584</v>
      </c>
      <c r="F127" s="88" t="str">
        <f>CVD_Script_Table!$H$25</f>
        <v>Line</v>
      </c>
      <c r="G127" s="88"/>
      <c r="H127" s="88" t="s">
        <v>585</v>
      </c>
      <c r="I127" s="88" t="s">
        <v>586</v>
      </c>
      <c r="L127" s="93"/>
    </row>
    <row r="128" spans="1:17" ht="13.5" customHeight="1" x14ac:dyDescent="0.25">
      <c r="A128" s="88" t="s">
        <v>2</v>
      </c>
      <c r="B128" s="88" t="s">
        <v>688</v>
      </c>
      <c r="C128" s="88" t="str">
        <f>CONCATENATE(I128," - ",F128," - ", G128)</f>
        <v>End Ey-Moment - Line - End B</v>
      </c>
      <c r="D128" s="88" t="str">
        <f t="shared" si="11"/>
        <v>I53</v>
      </c>
      <c r="E128" s="88" t="s">
        <v>576</v>
      </c>
      <c r="F128" s="88" t="str">
        <f>CVD_Script_Table!$H$25</f>
        <v>Line</v>
      </c>
      <c r="G128" s="88" t="s">
        <v>577</v>
      </c>
      <c r="H128" s="88"/>
      <c r="I128" s="88" t="s">
        <v>578</v>
      </c>
      <c r="J128" s="7"/>
      <c r="L128" s="93"/>
    </row>
    <row r="129" spans="1:14" ht="13.5" customHeight="1" x14ac:dyDescent="0.25">
      <c r="A129" s="88" t="s">
        <v>2</v>
      </c>
      <c r="B129" s="88" t="s">
        <v>689</v>
      </c>
      <c r="C129" s="88" t="str">
        <f>CONCATENATE(I129," - ",F129," - ", G129)</f>
        <v>Shear force - Line - End B</v>
      </c>
      <c r="D129" s="88" t="str">
        <f t="shared" si="11"/>
        <v>I54</v>
      </c>
      <c r="E129" s="88" t="s">
        <v>576</v>
      </c>
      <c r="F129" s="88" t="str">
        <f>CVD_Script_Table!$H$25</f>
        <v>Line</v>
      </c>
      <c r="G129" s="89" t="s">
        <v>577</v>
      </c>
      <c r="H129" s="88"/>
      <c r="I129" s="89" t="s">
        <v>690</v>
      </c>
      <c r="J129" s="7"/>
      <c r="L129" s="93"/>
    </row>
    <row r="130" spans="1:14" ht="13.5" customHeight="1" x14ac:dyDescent="0.25">
      <c r="A130" s="88" t="s">
        <v>691</v>
      </c>
      <c r="B130" s="88" t="s">
        <v>692</v>
      </c>
      <c r="C130" s="88" t="str">
        <f>CONCATENATE(I130," - ",F130)</f>
        <v>NumberOfAttachments - Line</v>
      </c>
      <c r="D130" s="88" t="s">
        <v>693</v>
      </c>
      <c r="E130" s="88" t="s">
        <v>564</v>
      </c>
      <c r="F130" s="88" t="str">
        <f>CVD_Script_Table!$H$25</f>
        <v>Line</v>
      </c>
      <c r="G130" s="92"/>
      <c r="H130" s="92"/>
      <c r="I130" s="88" t="s">
        <v>573</v>
      </c>
      <c r="J130" s="333">
        <f>Auxiliar3!$X$2</f>
        <v>0</v>
      </c>
      <c r="L130" s="93"/>
    </row>
    <row r="131" spans="1:14" ht="13.5" customHeight="1" x14ac:dyDescent="0.25">
      <c r="A131" s="88" t="s">
        <v>691</v>
      </c>
      <c r="B131" s="88" t="s">
        <v>694</v>
      </c>
      <c r="C131" s="88" t="str">
        <f>CONCATENATE(I131," - ",F131)</f>
        <v>Attachmentz[] - Line</v>
      </c>
      <c r="D131" s="88" t="s">
        <v>695</v>
      </c>
      <c r="E131" s="88" t="s">
        <v>564</v>
      </c>
      <c r="F131" s="88" t="str">
        <f>CVD_Script_Table!$H$25</f>
        <v>Line</v>
      </c>
      <c r="G131" s="88"/>
      <c r="H131" s="88"/>
      <c r="I131" s="88" t="str">
        <f>CONCATENATE("Attachmentz[",Auxiliar3!X2,"]")</f>
        <v>Attachmentz[]</v>
      </c>
      <c r="J131" s="7"/>
      <c r="L131" s="93"/>
    </row>
    <row r="132" spans="1:14" ht="13.5" customHeight="1" x14ac:dyDescent="0.25">
      <c r="A132" s="386"/>
      <c r="B132" s="330"/>
      <c r="C132" s="330"/>
      <c r="D132" s="330"/>
      <c r="E132" s="90" t="str">
        <f>CONCATENATE("Load ",filename_cont,"2.sim")</f>
        <v>Load Cont2.sim</v>
      </c>
      <c r="F132" s="330"/>
      <c r="G132" s="330"/>
      <c r="H132" s="330"/>
      <c r="I132" s="330"/>
      <c r="J132" s="7"/>
      <c r="L132" s="93"/>
    </row>
    <row r="133" spans="1:14" ht="13.5" customHeight="1" x14ac:dyDescent="0.25">
      <c r="A133" s="88" t="s">
        <v>2</v>
      </c>
      <c r="B133" s="88" t="s">
        <v>696</v>
      </c>
      <c r="C133" s="88" t="str">
        <f>_xlfn.CONCAT(I133," - ",F133)</f>
        <v>Bend Moment - Stiffener1</v>
      </c>
      <c r="D133" s="88" t="str">
        <f t="shared" ref="D133:D138" si="12">SUBSTITUTE(B133, "H", "I")</f>
        <v>I77</v>
      </c>
      <c r="E133" s="88" t="s">
        <v>594</v>
      </c>
      <c r="F133" s="88" t="str">
        <f>CVD_Script_Table!$H$26</f>
        <v>Stiffener1</v>
      </c>
      <c r="G133" s="88"/>
      <c r="H133" s="88" t="s">
        <v>585</v>
      </c>
      <c r="I133" s="88" t="s">
        <v>595</v>
      </c>
      <c r="J133" s="7"/>
      <c r="L133" s="93"/>
    </row>
    <row r="134" spans="1:14" ht="13.5" customHeight="1" x14ac:dyDescent="0.25">
      <c r="A134" s="88" t="s">
        <v>2</v>
      </c>
      <c r="B134" s="88" t="s">
        <v>697</v>
      </c>
      <c r="C134" s="88" t="str">
        <f>_xlfn.CONCAT(I134," - ",F134)</f>
        <v>Shear Force - Stiffener1</v>
      </c>
      <c r="D134" s="88" t="str">
        <f t="shared" si="12"/>
        <v>I78</v>
      </c>
      <c r="E134" s="88" t="s">
        <v>594</v>
      </c>
      <c r="F134" s="88" t="str">
        <f>CVD_Script_Table!$H$26</f>
        <v>Stiffener1</v>
      </c>
      <c r="G134" s="88"/>
      <c r="H134" s="88" t="s">
        <v>585</v>
      </c>
      <c r="I134" s="88" t="s">
        <v>598</v>
      </c>
      <c r="J134" s="7"/>
      <c r="K134" s="7"/>
      <c r="L134" s="93"/>
    </row>
    <row r="135" spans="1:14" ht="13.5" customHeight="1" x14ac:dyDescent="0.25">
      <c r="A135" s="88" t="s">
        <v>2</v>
      </c>
      <c r="B135" s="88" t="s">
        <v>698</v>
      </c>
      <c r="C135" s="88" t="str">
        <f>CONCATENATE(I135," - ",F135)</f>
        <v>Bend Radius - Stiffener1</v>
      </c>
      <c r="D135" s="88" t="str">
        <f t="shared" si="12"/>
        <v>I79</v>
      </c>
      <c r="E135" s="88" t="s">
        <v>584</v>
      </c>
      <c r="F135" s="88" t="str">
        <f>CVD_Script_Table!$H$26</f>
        <v>Stiffener1</v>
      </c>
      <c r="G135" s="88"/>
      <c r="H135" s="88" t="s">
        <v>585</v>
      </c>
      <c r="I135" s="88" t="s">
        <v>586</v>
      </c>
      <c r="J135" s="7"/>
      <c r="K135" s="7"/>
      <c r="L135" s="93"/>
    </row>
    <row r="136" spans="1:14" ht="13.5" customHeight="1" x14ac:dyDescent="0.25">
      <c r="A136" s="88" t="s">
        <v>2</v>
      </c>
      <c r="B136" s="88" t="s">
        <v>699</v>
      </c>
      <c r="C136" s="88" t="str">
        <f>CONCATENATE(I136," - ",F136)</f>
        <v>Bend Radius - Line</v>
      </c>
      <c r="D136" s="88" t="str">
        <f t="shared" si="12"/>
        <v>I80</v>
      </c>
      <c r="E136" s="88" t="s">
        <v>584</v>
      </c>
      <c r="F136" s="88" t="str">
        <f>CVD_Script_Table!$H$25</f>
        <v>Line</v>
      </c>
      <c r="G136" s="88"/>
      <c r="H136" s="88" t="s">
        <v>585</v>
      </c>
      <c r="I136" s="88" t="s">
        <v>586</v>
      </c>
      <c r="K136" s="7"/>
      <c r="L136" s="93"/>
    </row>
    <row r="137" spans="1:14" ht="13.5" customHeight="1" x14ac:dyDescent="0.25">
      <c r="A137" s="88" t="s">
        <v>2</v>
      </c>
      <c r="B137" s="88" t="s">
        <v>700</v>
      </c>
      <c r="C137" s="88" t="str">
        <f>CONCATENATE(I137," - ",F137," - ", G137)</f>
        <v>End Ey-Moment - Line - End B</v>
      </c>
      <c r="D137" s="88" t="str">
        <f t="shared" si="12"/>
        <v>I81</v>
      </c>
      <c r="E137" s="88" t="s">
        <v>576</v>
      </c>
      <c r="F137" s="88" t="str">
        <f>CVD_Script_Table!$H$25</f>
        <v>Line</v>
      </c>
      <c r="G137" s="88" t="s">
        <v>577</v>
      </c>
      <c r="H137" s="88"/>
      <c r="I137" s="88" t="s">
        <v>578</v>
      </c>
      <c r="K137" s="424"/>
      <c r="L137" s="424"/>
      <c r="M137" s="424"/>
      <c r="N137" s="424"/>
    </row>
    <row r="138" spans="1:14" ht="13.5" customHeight="1" x14ac:dyDescent="0.25">
      <c r="A138" s="88" t="s">
        <v>2</v>
      </c>
      <c r="B138" s="88" t="s">
        <v>701</v>
      </c>
      <c r="C138" s="88" t="str">
        <f>CONCATENATE(I138," - ",F138," - ", G138)</f>
        <v>Shear force - Line - End B</v>
      </c>
      <c r="D138" s="88" t="str">
        <f t="shared" si="12"/>
        <v>I82</v>
      </c>
      <c r="E138" s="88" t="s">
        <v>576</v>
      </c>
      <c r="F138" s="88" t="str">
        <f>CVD_Script_Table!$H$25</f>
        <v>Line</v>
      </c>
      <c r="G138" s="89" t="s">
        <v>577</v>
      </c>
      <c r="H138" s="88"/>
      <c r="I138" s="89" t="s">
        <v>690</v>
      </c>
      <c r="K138" s="424"/>
      <c r="L138" s="424"/>
      <c r="M138" s="424"/>
      <c r="N138" s="424"/>
    </row>
    <row r="139" spans="1:14" ht="13.5" customHeight="1" x14ac:dyDescent="0.25">
      <c r="A139" s="88" t="s">
        <v>702</v>
      </c>
      <c r="B139" s="88" t="s">
        <v>692</v>
      </c>
      <c r="C139" s="88" t="str">
        <f>CONCATENATE(I139," - ",F139)</f>
        <v>NumberOfAttachments - Line</v>
      </c>
      <c r="D139" s="88" t="s">
        <v>693</v>
      </c>
      <c r="E139" s="88" t="s">
        <v>564</v>
      </c>
      <c r="F139" s="88" t="str">
        <f>CVD_Script_Table!$H$25</f>
        <v>Line</v>
      </c>
      <c r="G139" s="88"/>
      <c r="H139" s="88"/>
      <c r="I139" s="88" t="s">
        <v>573</v>
      </c>
      <c r="J139" s="333">
        <f>Auxiliar4!$X$2</f>
        <v>0</v>
      </c>
    </row>
    <row r="140" spans="1:14" ht="13.5" customHeight="1" x14ac:dyDescent="0.25">
      <c r="A140" s="88" t="s">
        <v>702</v>
      </c>
      <c r="B140" s="88" t="s">
        <v>694</v>
      </c>
      <c r="C140" s="88" t="str">
        <f>_xlfn.CONCAT(I140," - ",F140)</f>
        <v>Attachmentz[] - Line</v>
      </c>
      <c r="D140" s="88" t="s">
        <v>695</v>
      </c>
      <c r="E140" s="88" t="s">
        <v>564</v>
      </c>
      <c r="F140" s="88" t="str">
        <f>CVD_Script_Table!$H$25</f>
        <v>Line</v>
      </c>
      <c r="G140" s="88"/>
      <c r="H140" s="88"/>
      <c r="I140" s="88" t="str">
        <f>CONCATENATE("Attachmentz[",Auxiliar4!X2,"]")</f>
        <v>Attachmentz[]</v>
      </c>
    </row>
    <row r="141" spans="1:14" ht="13.5" customHeight="1" x14ac:dyDescent="0.25">
      <c r="A141" s="88" t="str">
        <f t="shared" ref="A141:A204" si="13">IF(N141="","",IF(ISNUMBER(J141),"Auxiliar4",IF(ISNUMBER(K141),"Auxiliar3",IF(ISNUMBER(L141),"Auxiliar2",IF(ISNUMBER(M141),"Auxiliar2")))))</f>
        <v>Auxiliar4</v>
      </c>
      <c r="B141" s="88"/>
      <c r="C141" s="88"/>
      <c r="D141" s="88" t="str">
        <f t="shared" ref="D141:D204" si="14">IF(N141="z",CONCATENATE("AB",M141),IF(N141="","",CONCATENATE("AA",N141)))</f>
        <v>AA1</v>
      </c>
      <c r="E141" s="88" t="str">
        <f>IF(N141="",IF(J141="j",_xlfn.CONCAT("Load"," ",filename_cont,"1.sim"),IF(K141="k",_xlfn.CONCAT("Load"," ",Data!$W$57,".sim"),"")),"Get Data")</f>
        <v>Get Data</v>
      </c>
      <c r="F141" s="88" t="str">
        <f>CVD_Script_Table!$H$25</f>
        <v>Line</v>
      </c>
      <c r="G141" s="88"/>
      <c r="H141" s="88"/>
      <c r="I141" s="88" t="str">
        <f t="shared" ref="I141:I204" si="15">IF(N141="z",CONCATENATE("Attachmentz[",M141,"]"),IF(N141="","",CONCATENATE("Attachmenttype[",N141,"]")))</f>
        <v>Attachmenttype[1]</v>
      </c>
      <c r="J141" s="388">
        <f t="shared" ref="J141:J204" si="16">IFERROR(IF(J140="",J$9+1,IF(J140=J$139,"j",J140+1)),"jj")</f>
        <v>1</v>
      </c>
      <c r="K141" s="388" t="str">
        <f t="shared" ref="K141:K204" si="17">IF((J141="jj"),IFERROR(IF(K140="",J$9+1,IF(K140=J$130,"k",K140+1)),"kk"),"")</f>
        <v/>
      </c>
      <c r="L141" s="388" t="str">
        <f t="shared" ref="L141:L204" si="18">IF((K141="kk"),IFERROR(IF(L140="",2,IF(L140=J$9,"l",L140+1)),"ll"),"")</f>
        <v/>
      </c>
      <c r="M141" s="388" t="str">
        <f t="shared" ref="M141:M204" si="19">IF(OR(L141="l",L141="ll"),IFERROR(IF(M140="",2,IF(M140=J$9,"m",M140+1)),"mm"),"")</f>
        <v/>
      </c>
      <c r="N141" s="389">
        <f t="shared" ref="N141:N204" si="20">IF(ISNUMBER(M141),"z",IF(ISNUMBER(L141),L141,IF(ISNUMBER(K141),K141,IF(ISNUMBER(J141),J141,""))))</f>
        <v>1</v>
      </c>
    </row>
    <row r="142" spans="1:14" ht="13.5" customHeight="1" x14ac:dyDescent="0.25">
      <c r="A142" s="88" t="str">
        <f t="shared" si="13"/>
        <v>Auxiliar4</v>
      </c>
      <c r="B142" s="88"/>
      <c r="C142" s="88"/>
      <c r="D142" s="88" t="str">
        <f t="shared" si="14"/>
        <v>AA2</v>
      </c>
      <c r="E142" s="88" t="str">
        <f>IF(N142="",IF(J142="j",_xlfn.CONCAT("Load"," ",filename_cont,"1.sim"),IF(K142="k",_xlfn.CONCAT("Load"," ",Data!$W$57,".sim"),"")),"Get Data")</f>
        <v>Get Data</v>
      </c>
      <c r="F142" s="88" t="str">
        <f>CVD_Script_Table!$H$25</f>
        <v>Line</v>
      </c>
      <c r="G142" s="88"/>
      <c r="H142" s="88"/>
      <c r="I142" s="88" t="str">
        <f t="shared" si="15"/>
        <v>Attachmenttype[2]</v>
      </c>
      <c r="J142" s="388">
        <f t="shared" si="16"/>
        <v>2</v>
      </c>
      <c r="K142" s="388" t="str">
        <f t="shared" si="17"/>
        <v/>
      </c>
      <c r="L142" s="388" t="str">
        <f t="shared" si="18"/>
        <v/>
      </c>
      <c r="M142" s="388" t="str">
        <f t="shared" si="19"/>
        <v/>
      </c>
      <c r="N142" s="389">
        <f t="shared" si="20"/>
        <v>2</v>
      </c>
    </row>
    <row r="143" spans="1:14" ht="13.5" customHeight="1" x14ac:dyDescent="0.25">
      <c r="A143" s="88" t="str">
        <f t="shared" si="13"/>
        <v>Auxiliar4</v>
      </c>
      <c r="B143" s="88"/>
      <c r="C143" s="88"/>
      <c r="D143" s="88" t="str">
        <f t="shared" si="14"/>
        <v>AA3</v>
      </c>
      <c r="E143" s="88" t="str">
        <f>IF(N143="",IF(J143="j",_xlfn.CONCAT("Load"," ",filename_cont,"1.sim"),IF(K143="k",_xlfn.CONCAT("Load"," ",Data!$W$57,".sim"),"")),"Get Data")</f>
        <v>Get Data</v>
      </c>
      <c r="F143" s="88" t="str">
        <f>CVD_Script_Table!$H$25</f>
        <v>Line</v>
      </c>
      <c r="G143" s="88"/>
      <c r="H143" s="88"/>
      <c r="I143" s="88" t="str">
        <f t="shared" si="15"/>
        <v>Attachmenttype[3]</v>
      </c>
      <c r="J143" s="388">
        <f t="shared" si="16"/>
        <v>3</v>
      </c>
      <c r="K143" s="388" t="str">
        <f t="shared" si="17"/>
        <v/>
      </c>
      <c r="L143" s="388" t="str">
        <f t="shared" si="18"/>
        <v/>
      </c>
      <c r="M143" s="388" t="str">
        <f t="shared" si="19"/>
        <v/>
      </c>
      <c r="N143" s="389">
        <f t="shared" si="20"/>
        <v>3</v>
      </c>
    </row>
    <row r="144" spans="1:14" ht="13.5" customHeight="1" x14ac:dyDescent="0.25">
      <c r="A144" s="88" t="str">
        <f t="shared" si="13"/>
        <v>Auxiliar4</v>
      </c>
      <c r="B144" s="88"/>
      <c r="C144" s="88"/>
      <c r="D144" s="88" t="str">
        <f t="shared" si="14"/>
        <v>AA4</v>
      </c>
      <c r="E144" s="88" t="str">
        <f>IF(N144="",IF(J144="j",_xlfn.CONCAT("Load"," ",filename_cont,"1.sim"),IF(K144="k",_xlfn.CONCAT("Load"," ",Data!$W$57,".sim"),"")),"Get Data")</f>
        <v>Get Data</v>
      </c>
      <c r="F144" s="88" t="str">
        <f>CVD_Script_Table!$H$25</f>
        <v>Line</v>
      </c>
      <c r="G144" s="88"/>
      <c r="H144" s="88"/>
      <c r="I144" s="88" t="str">
        <f t="shared" si="15"/>
        <v>Attachmenttype[4]</v>
      </c>
      <c r="J144" s="388">
        <f t="shared" si="16"/>
        <v>4</v>
      </c>
      <c r="K144" s="388" t="str">
        <f t="shared" si="17"/>
        <v/>
      </c>
      <c r="L144" s="388" t="str">
        <f t="shared" si="18"/>
        <v/>
      </c>
      <c r="M144" s="388" t="str">
        <f t="shared" si="19"/>
        <v/>
      </c>
      <c r="N144" s="389">
        <f t="shared" si="20"/>
        <v>4</v>
      </c>
    </row>
    <row r="145" spans="1:14" ht="13.5" customHeight="1" x14ac:dyDescent="0.25">
      <c r="A145" s="88" t="str">
        <f t="shared" si="13"/>
        <v>Auxiliar4</v>
      </c>
      <c r="B145" s="88"/>
      <c r="C145" s="88"/>
      <c r="D145" s="88" t="str">
        <f t="shared" si="14"/>
        <v>AA5</v>
      </c>
      <c r="E145" s="88" t="str">
        <f>IF(N145="",IF(J145="j",_xlfn.CONCAT("Load"," ",filename_cont,"1.sim"),IF(K145="k",_xlfn.CONCAT("Load"," ",Data!$W$57,".sim"),"")),"Get Data")</f>
        <v>Get Data</v>
      </c>
      <c r="F145" s="88" t="str">
        <f>CVD_Script_Table!$H$25</f>
        <v>Line</v>
      </c>
      <c r="G145" s="88"/>
      <c r="H145" s="88"/>
      <c r="I145" s="88" t="str">
        <f t="shared" si="15"/>
        <v>Attachmenttype[5]</v>
      </c>
      <c r="J145" s="388">
        <f t="shared" si="16"/>
        <v>5</v>
      </c>
      <c r="K145" s="388" t="str">
        <f t="shared" si="17"/>
        <v/>
      </c>
      <c r="L145" s="388" t="str">
        <f t="shared" si="18"/>
        <v/>
      </c>
      <c r="M145" s="388" t="str">
        <f t="shared" si="19"/>
        <v/>
      </c>
      <c r="N145" s="389">
        <f t="shared" si="20"/>
        <v>5</v>
      </c>
    </row>
    <row r="146" spans="1:14" ht="13.5" customHeight="1" x14ac:dyDescent="0.25">
      <c r="A146" s="88" t="str">
        <f t="shared" si="13"/>
        <v>Auxiliar4</v>
      </c>
      <c r="B146" s="88"/>
      <c r="C146" s="88"/>
      <c r="D146" s="88" t="str">
        <f t="shared" si="14"/>
        <v>AA6</v>
      </c>
      <c r="E146" s="88" t="str">
        <f>IF(N146="",IF(J146="j",_xlfn.CONCAT("Load"," ",filename_cont,"1.sim"),IF(K146="k",_xlfn.CONCAT("Load"," ",Data!$W$57,".sim"),"")),"Get Data")</f>
        <v>Get Data</v>
      </c>
      <c r="F146" s="88" t="str">
        <f>CVD_Script_Table!$H$25</f>
        <v>Line</v>
      </c>
      <c r="G146" s="88"/>
      <c r="H146" s="88"/>
      <c r="I146" s="88" t="str">
        <f t="shared" si="15"/>
        <v>Attachmenttype[6]</v>
      </c>
      <c r="J146" s="388">
        <f t="shared" si="16"/>
        <v>6</v>
      </c>
      <c r="K146" s="388" t="str">
        <f t="shared" si="17"/>
        <v/>
      </c>
      <c r="L146" s="388" t="str">
        <f t="shared" si="18"/>
        <v/>
      </c>
      <c r="M146" s="388" t="str">
        <f t="shared" si="19"/>
        <v/>
      </c>
      <c r="N146" s="389">
        <f t="shared" si="20"/>
        <v>6</v>
      </c>
    </row>
    <row r="147" spans="1:14" ht="13.5" customHeight="1" x14ac:dyDescent="0.25">
      <c r="A147" s="88" t="str">
        <f t="shared" si="13"/>
        <v>Auxiliar4</v>
      </c>
      <c r="B147" s="88"/>
      <c r="C147" s="88"/>
      <c r="D147" s="88" t="str">
        <f t="shared" si="14"/>
        <v>AA7</v>
      </c>
      <c r="E147" s="88" t="str">
        <f>IF(N147="",IF(J147="j",_xlfn.CONCAT("Load"," ",filename_cont,"1.sim"),IF(K147="k",_xlfn.CONCAT("Load"," ",Data!$W$57,".sim"),"")),"Get Data")</f>
        <v>Get Data</v>
      </c>
      <c r="F147" s="88" t="str">
        <f>CVD_Script_Table!$H$25</f>
        <v>Line</v>
      </c>
      <c r="G147" s="88"/>
      <c r="H147" s="88"/>
      <c r="I147" s="88" t="str">
        <f t="shared" si="15"/>
        <v>Attachmenttype[7]</v>
      </c>
      <c r="J147" s="388">
        <f t="shared" si="16"/>
        <v>7</v>
      </c>
      <c r="K147" s="388" t="str">
        <f t="shared" si="17"/>
        <v/>
      </c>
      <c r="L147" s="388" t="str">
        <f t="shared" si="18"/>
        <v/>
      </c>
      <c r="M147" s="388" t="str">
        <f t="shared" si="19"/>
        <v/>
      </c>
      <c r="N147" s="389">
        <f t="shared" si="20"/>
        <v>7</v>
      </c>
    </row>
    <row r="148" spans="1:14" ht="13.5" customHeight="1" x14ac:dyDescent="0.25">
      <c r="A148" s="88" t="str">
        <f t="shared" si="13"/>
        <v>Auxiliar4</v>
      </c>
      <c r="B148" s="88"/>
      <c r="C148" s="88"/>
      <c r="D148" s="88" t="str">
        <f t="shared" si="14"/>
        <v>AA8</v>
      </c>
      <c r="E148" s="88" t="str">
        <f>IF(N148="",IF(J148="j",_xlfn.CONCAT("Load"," ",filename_cont,"1.sim"),IF(K148="k",_xlfn.CONCAT("Load"," ",Data!$W$57,".sim"),"")),"Get Data")</f>
        <v>Get Data</v>
      </c>
      <c r="F148" s="88" t="str">
        <f>CVD_Script_Table!$H$25</f>
        <v>Line</v>
      </c>
      <c r="G148" s="88"/>
      <c r="H148" s="88"/>
      <c r="I148" s="88" t="str">
        <f t="shared" si="15"/>
        <v>Attachmenttype[8]</v>
      </c>
      <c r="J148" s="388">
        <f t="shared" si="16"/>
        <v>8</v>
      </c>
      <c r="K148" s="388" t="str">
        <f t="shared" si="17"/>
        <v/>
      </c>
      <c r="L148" s="388" t="str">
        <f t="shared" si="18"/>
        <v/>
      </c>
      <c r="M148" s="388" t="str">
        <f t="shared" si="19"/>
        <v/>
      </c>
      <c r="N148" s="389">
        <f t="shared" si="20"/>
        <v>8</v>
      </c>
    </row>
    <row r="149" spans="1:14" ht="13.5" customHeight="1" x14ac:dyDescent="0.25">
      <c r="A149" s="88" t="str">
        <f t="shared" si="13"/>
        <v>Auxiliar4</v>
      </c>
      <c r="B149" s="88"/>
      <c r="C149" s="88"/>
      <c r="D149" s="88" t="str">
        <f t="shared" si="14"/>
        <v>AA9</v>
      </c>
      <c r="E149" s="88" t="str">
        <f>IF(N149="",IF(J149="j",_xlfn.CONCAT("Load"," ",filename_cont,"1.sim"),IF(K149="k",_xlfn.CONCAT("Load"," ",Data!$W$57,".sim"),"")),"Get Data")</f>
        <v>Get Data</v>
      </c>
      <c r="F149" s="88" t="str">
        <f>CVD_Script_Table!$H$25</f>
        <v>Line</v>
      </c>
      <c r="G149" s="88"/>
      <c r="H149" s="88"/>
      <c r="I149" s="88" t="str">
        <f t="shared" si="15"/>
        <v>Attachmenttype[9]</v>
      </c>
      <c r="J149" s="388">
        <f t="shared" si="16"/>
        <v>9</v>
      </c>
      <c r="K149" s="388" t="str">
        <f t="shared" si="17"/>
        <v/>
      </c>
      <c r="L149" s="388" t="str">
        <f t="shared" si="18"/>
        <v/>
      </c>
      <c r="M149" s="388" t="str">
        <f t="shared" si="19"/>
        <v/>
      </c>
      <c r="N149" s="389">
        <f t="shared" si="20"/>
        <v>9</v>
      </c>
    </row>
    <row r="150" spans="1:14" ht="13.5" customHeight="1" x14ac:dyDescent="0.25">
      <c r="A150" s="88" t="str">
        <f t="shared" si="13"/>
        <v>Auxiliar4</v>
      </c>
      <c r="B150" s="88"/>
      <c r="C150" s="88"/>
      <c r="D150" s="88" t="str">
        <f t="shared" si="14"/>
        <v>AA10</v>
      </c>
      <c r="E150" s="88" t="str">
        <f>IF(N150="",IF(J150="j",_xlfn.CONCAT("Load"," ",filename_cont,"1.sim"),IF(K150="k",_xlfn.CONCAT("Load"," ",Data!$W$57,".sim"),"")),"Get Data")</f>
        <v>Get Data</v>
      </c>
      <c r="F150" s="88" t="str">
        <f>CVD_Script_Table!$H$25</f>
        <v>Line</v>
      </c>
      <c r="G150" s="88"/>
      <c r="H150" s="88"/>
      <c r="I150" s="88" t="str">
        <f t="shared" si="15"/>
        <v>Attachmenttype[10]</v>
      </c>
      <c r="J150" s="388">
        <f t="shared" si="16"/>
        <v>10</v>
      </c>
      <c r="K150" s="388" t="str">
        <f t="shared" si="17"/>
        <v/>
      </c>
      <c r="L150" s="388" t="str">
        <f t="shared" si="18"/>
        <v/>
      </c>
      <c r="M150" s="388" t="str">
        <f t="shared" si="19"/>
        <v/>
      </c>
      <c r="N150" s="389">
        <f t="shared" si="20"/>
        <v>10</v>
      </c>
    </row>
    <row r="151" spans="1:14" ht="13.5" customHeight="1" x14ac:dyDescent="0.25">
      <c r="A151" s="88" t="str">
        <f t="shared" si="13"/>
        <v>Auxiliar4</v>
      </c>
      <c r="B151" s="88"/>
      <c r="C151" s="88"/>
      <c r="D151" s="88" t="str">
        <f t="shared" si="14"/>
        <v>AA11</v>
      </c>
      <c r="E151" s="88" t="str">
        <f>IF(N151="",IF(J151="j",_xlfn.CONCAT("Load"," ",filename_cont,"1.sim"),IF(K151="k",_xlfn.CONCAT("Load"," ",Data!$W$57,".sim"),"")),"Get Data")</f>
        <v>Get Data</v>
      </c>
      <c r="F151" s="88" t="str">
        <f>CVD_Script_Table!$H$25</f>
        <v>Line</v>
      </c>
      <c r="G151" s="88"/>
      <c r="H151" s="88"/>
      <c r="I151" s="88" t="str">
        <f t="shared" si="15"/>
        <v>Attachmenttype[11]</v>
      </c>
      <c r="J151" s="388">
        <f t="shared" si="16"/>
        <v>11</v>
      </c>
      <c r="K151" s="388" t="str">
        <f t="shared" si="17"/>
        <v/>
      </c>
      <c r="L151" s="388" t="str">
        <f t="shared" si="18"/>
        <v/>
      </c>
      <c r="M151" s="388" t="str">
        <f t="shared" si="19"/>
        <v/>
      </c>
      <c r="N151" s="389">
        <f t="shared" si="20"/>
        <v>11</v>
      </c>
    </row>
    <row r="152" spans="1:14" ht="13.5" customHeight="1" x14ac:dyDescent="0.25">
      <c r="A152" s="88" t="str">
        <f t="shared" si="13"/>
        <v>Auxiliar4</v>
      </c>
      <c r="B152" s="88"/>
      <c r="C152" s="88"/>
      <c r="D152" s="88" t="str">
        <f t="shared" si="14"/>
        <v>AA12</v>
      </c>
      <c r="E152" s="88" t="str">
        <f>IF(N152="",IF(J152="j",_xlfn.CONCAT("Load"," ",filename_cont,"1.sim"),IF(K152="k",_xlfn.CONCAT("Load"," ",Data!$W$57,".sim"),"")),"Get Data")</f>
        <v>Get Data</v>
      </c>
      <c r="F152" s="88" t="str">
        <f>CVD_Script_Table!$H$25</f>
        <v>Line</v>
      </c>
      <c r="G152" s="88"/>
      <c r="H152" s="88"/>
      <c r="I152" s="88" t="str">
        <f t="shared" si="15"/>
        <v>Attachmenttype[12]</v>
      </c>
      <c r="J152" s="388">
        <f t="shared" si="16"/>
        <v>12</v>
      </c>
      <c r="K152" s="388" t="str">
        <f t="shared" si="17"/>
        <v/>
      </c>
      <c r="L152" s="388" t="str">
        <f t="shared" si="18"/>
        <v/>
      </c>
      <c r="M152" s="388" t="str">
        <f t="shared" si="19"/>
        <v/>
      </c>
      <c r="N152" s="389">
        <f t="shared" si="20"/>
        <v>12</v>
      </c>
    </row>
    <row r="153" spans="1:14" ht="13.5" customHeight="1" x14ac:dyDescent="0.25">
      <c r="A153" s="88" t="str">
        <f t="shared" si="13"/>
        <v>Auxiliar4</v>
      </c>
      <c r="B153" s="88"/>
      <c r="C153" s="88"/>
      <c r="D153" s="88" t="str">
        <f t="shared" si="14"/>
        <v>AA13</v>
      </c>
      <c r="E153" s="88" t="str">
        <f>IF(N153="",IF(J153="j",_xlfn.CONCAT("Load"," ",filename_cont,"1.sim"),IF(K153="k",_xlfn.CONCAT("Load"," ",Data!$W$57,".sim"),"")),"Get Data")</f>
        <v>Get Data</v>
      </c>
      <c r="F153" s="88" t="str">
        <f>CVD_Script_Table!$H$25</f>
        <v>Line</v>
      </c>
      <c r="G153" s="88"/>
      <c r="H153" s="88"/>
      <c r="I153" s="88" t="str">
        <f t="shared" si="15"/>
        <v>Attachmenttype[13]</v>
      </c>
      <c r="J153" s="388">
        <f t="shared" si="16"/>
        <v>13</v>
      </c>
      <c r="K153" s="388" t="str">
        <f t="shared" si="17"/>
        <v/>
      </c>
      <c r="L153" s="388" t="str">
        <f t="shared" si="18"/>
        <v/>
      </c>
      <c r="M153" s="388" t="str">
        <f t="shared" si="19"/>
        <v/>
      </c>
      <c r="N153" s="389">
        <f t="shared" si="20"/>
        <v>13</v>
      </c>
    </row>
    <row r="154" spans="1:14" ht="13.5" customHeight="1" x14ac:dyDescent="0.25">
      <c r="A154" s="88" t="str">
        <f t="shared" si="13"/>
        <v>Auxiliar4</v>
      </c>
      <c r="B154" s="88"/>
      <c r="C154" s="88"/>
      <c r="D154" s="88" t="str">
        <f t="shared" si="14"/>
        <v>AA14</v>
      </c>
      <c r="E154" s="88" t="str">
        <f>IF(N154="",IF(J154="j",_xlfn.CONCAT("Load"," ",filename_cont,"1.sim"),IF(K154="k",_xlfn.CONCAT("Load"," ",Data!$W$57,".sim"),"")),"Get Data")</f>
        <v>Get Data</v>
      </c>
      <c r="F154" s="88" t="str">
        <f>CVD_Script_Table!$H$25</f>
        <v>Line</v>
      </c>
      <c r="G154" s="88"/>
      <c r="H154" s="88"/>
      <c r="I154" s="88" t="str">
        <f t="shared" si="15"/>
        <v>Attachmenttype[14]</v>
      </c>
      <c r="J154" s="388">
        <f t="shared" si="16"/>
        <v>14</v>
      </c>
      <c r="K154" s="388" t="str">
        <f t="shared" si="17"/>
        <v/>
      </c>
      <c r="L154" s="388" t="str">
        <f t="shared" si="18"/>
        <v/>
      </c>
      <c r="M154" s="388" t="str">
        <f t="shared" si="19"/>
        <v/>
      </c>
      <c r="N154" s="389">
        <f t="shared" si="20"/>
        <v>14</v>
      </c>
    </row>
    <row r="155" spans="1:14" ht="13.5" customHeight="1" x14ac:dyDescent="0.25">
      <c r="A155" s="88" t="str">
        <f t="shared" si="13"/>
        <v>Auxiliar4</v>
      </c>
      <c r="B155" s="88"/>
      <c r="C155" s="88"/>
      <c r="D155" s="88" t="str">
        <f t="shared" si="14"/>
        <v>AA15</v>
      </c>
      <c r="E155" s="88" t="str">
        <f>IF(N155="",IF(J155="j",_xlfn.CONCAT("Load"," ",filename_cont,"1.sim"),IF(K155="k",_xlfn.CONCAT("Load"," ",Data!$W$57,".sim"),"")),"Get Data")</f>
        <v>Get Data</v>
      </c>
      <c r="F155" s="88" t="str">
        <f>CVD_Script_Table!$H$25</f>
        <v>Line</v>
      </c>
      <c r="G155" s="88"/>
      <c r="H155" s="88"/>
      <c r="I155" s="88" t="str">
        <f t="shared" si="15"/>
        <v>Attachmenttype[15]</v>
      </c>
      <c r="J155" s="388">
        <f t="shared" si="16"/>
        <v>15</v>
      </c>
      <c r="K155" s="388" t="str">
        <f t="shared" si="17"/>
        <v/>
      </c>
      <c r="L155" s="388" t="str">
        <f t="shared" si="18"/>
        <v/>
      </c>
      <c r="M155" s="388" t="str">
        <f t="shared" si="19"/>
        <v/>
      </c>
      <c r="N155" s="389">
        <f t="shared" si="20"/>
        <v>15</v>
      </c>
    </row>
    <row r="156" spans="1:14" ht="13.5" customHeight="1" x14ac:dyDescent="0.25">
      <c r="A156" s="88" t="str">
        <f t="shared" si="13"/>
        <v>Auxiliar4</v>
      </c>
      <c r="B156" s="88"/>
      <c r="C156" s="88"/>
      <c r="D156" s="88" t="str">
        <f t="shared" si="14"/>
        <v>AA16</v>
      </c>
      <c r="E156" s="88" t="str">
        <f>IF(N156="",IF(J156="j",_xlfn.CONCAT("Load"," ",filename_cont,"1.sim"),IF(K156="k",_xlfn.CONCAT("Load"," ",Data!$W$57,".sim"),"")),"Get Data")</f>
        <v>Get Data</v>
      </c>
      <c r="F156" s="88" t="str">
        <f>CVD_Script_Table!$H$25</f>
        <v>Line</v>
      </c>
      <c r="G156" s="88"/>
      <c r="H156" s="88"/>
      <c r="I156" s="88" t="str">
        <f t="shared" si="15"/>
        <v>Attachmenttype[16]</v>
      </c>
      <c r="J156" s="388">
        <f t="shared" si="16"/>
        <v>16</v>
      </c>
      <c r="K156" s="388" t="str">
        <f t="shared" si="17"/>
        <v/>
      </c>
      <c r="L156" s="388" t="str">
        <f t="shared" si="18"/>
        <v/>
      </c>
      <c r="M156" s="388" t="str">
        <f t="shared" si="19"/>
        <v/>
      </c>
      <c r="N156" s="389">
        <f t="shared" si="20"/>
        <v>16</v>
      </c>
    </row>
    <row r="157" spans="1:14" ht="13.5" customHeight="1" x14ac:dyDescent="0.25">
      <c r="A157" s="88" t="str">
        <f t="shared" si="13"/>
        <v>Auxiliar4</v>
      </c>
      <c r="B157" s="88"/>
      <c r="C157" s="88"/>
      <c r="D157" s="88" t="str">
        <f t="shared" si="14"/>
        <v>AA17</v>
      </c>
      <c r="E157" s="88" t="str">
        <f>IF(N157="",IF(J157="j",_xlfn.CONCAT("Load"," ",filename_cont,"1.sim"),IF(K157="k",_xlfn.CONCAT("Load"," ",Data!$W$57,".sim"),"")),"Get Data")</f>
        <v>Get Data</v>
      </c>
      <c r="F157" s="88" t="str">
        <f>CVD_Script_Table!$H$25</f>
        <v>Line</v>
      </c>
      <c r="G157" s="88"/>
      <c r="H157" s="88"/>
      <c r="I157" s="88" t="str">
        <f t="shared" si="15"/>
        <v>Attachmenttype[17]</v>
      </c>
      <c r="J157" s="388">
        <f t="shared" si="16"/>
        <v>17</v>
      </c>
      <c r="K157" s="388" t="str">
        <f t="shared" si="17"/>
        <v/>
      </c>
      <c r="L157" s="388" t="str">
        <f t="shared" si="18"/>
        <v/>
      </c>
      <c r="M157" s="388" t="str">
        <f t="shared" si="19"/>
        <v/>
      </c>
      <c r="N157" s="389">
        <f t="shared" si="20"/>
        <v>17</v>
      </c>
    </row>
    <row r="158" spans="1:14" ht="13.5" customHeight="1" x14ac:dyDescent="0.25">
      <c r="A158" s="88" t="str">
        <f t="shared" si="13"/>
        <v>Auxiliar4</v>
      </c>
      <c r="B158" s="88"/>
      <c r="C158" s="88"/>
      <c r="D158" s="88" t="str">
        <f t="shared" si="14"/>
        <v>AA18</v>
      </c>
      <c r="E158" s="88" t="str">
        <f>IF(N158="",IF(J158="j",_xlfn.CONCAT("Load"," ",filename_cont,"1.sim"),IF(K158="k",_xlfn.CONCAT("Load"," ",Data!$W$57,".sim"),"")),"Get Data")</f>
        <v>Get Data</v>
      </c>
      <c r="F158" s="88" t="str">
        <f>CVD_Script_Table!$H$25</f>
        <v>Line</v>
      </c>
      <c r="G158" s="88"/>
      <c r="H158" s="88"/>
      <c r="I158" s="88" t="str">
        <f t="shared" si="15"/>
        <v>Attachmenttype[18]</v>
      </c>
      <c r="J158" s="388">
        <f t="shared" si="16"/>
        <v>18</v>
      </c>
      <c r="K158" s="388" t="str">
        <f t="shared" si="17"/>
        <v/>
      </c>
      <c r="L158" s="388" t="str">
        <f t="shared" si="18"/>
        <v/>
      </c>
      <c r="M158" s="388" t="str">
        <f t="shared" si="19"/>
        <v/>
      </c>
      <c r="N158" s="389">
        <f t="shared" si="20"/>
        <v>18</v>
      </c>
    </row>
    <row r="159" spans="1:14" ht="13.5" customHeight="1" x14ac:dyDescent="0.25">
      <c r="A159" s="88" t="str">
        <f t="shared" si="13"/>
        <v>Auxiliar4</v>
      </c>
      <c r="B159" s="88"/>
      <c r="C159" s="88"/>
      <c r="D159" s="88" t="str">
        <f t="shared" si="14"/>
        <v>AA19</v>
      </c>
      <c r="E159" s="88" t="str">
        <f>IF(N159="",IF(J159="j",_xlfn.CONCAT("Load"," ",filename_cont,"1.sim"),IF(K159="k",_xlfn.CONCAT("Load"," ",Data!$W$57,".sim"),"")),"Get Data")</f>
        <v>Get Data</v>
      </c>
      <c r="F159" s="88" t="str">
        <f>CVD_Script_Table!$H$25</f>
        <v>Line</v>
      </c>
      <c r="G159" s="88"/>
      <c r="H159" s="88"/>
      <c r="I159" s="88" t="str">
        <f t="shared" si="15"/>
        <v>Attachmenttype[19]</v>
      </c>
      <c r="J159" s="388">
        <f t="shared" si="16"/>
        <v>19</v>
      </c>
      <c r="K159" s="388" t="str">
        <f t="shared" si="17"/>
        <v/>
      </c>
      <c r="L159" s="388" t="str">
        <f t="shared" si="18"/>
        <v/>
      </c>
      <c r="M159" s="388" t="str">
        <f t="shared" si="19"/>
        <v/>
      </c>
      <c r="N159" s="389">
        <f t="shared" si="20"/>
        <v>19</v>
      </c>
    </row>
    <row r="160" spans="1:14" ht="13.5" customHeight="1" x14ac:dyDescent="0.25">
      <c r="A160" s="88" t="str">
        <f t="shared" si="13"/>
        <v>Auxiliar4</v>
      </c>
      <c r="B160" s="88"/>
      <c r="C160" s="88"/>
      <c r="D160" s="88" t="str">
        <f t="shared" si="14"/>
        <v>AA20</v>
      </c>
      <c r="E160" s="88" t="str">
        <f>IF(N160="",IF(J160="j",_xlfn.CONCAT("Load"," ",filename_cont,"1.sim"),IF(K160="k",_xlfn.CONCAT("Load"," ",Data!$W$57,".sim"),"")),"Get Data")</f>
        <v>Get Data</v>
      </c>
      <c r="F160" s="88" t="str">
        <f>CVD_Script_Table!$H$25</f>
        <v>Line</v>
      </c>
      <c r="G160" s="88"/>
      <c r="H160" s="88"/>
      <c r="I160" s="88" t="str">
        <f t="shared" si="15"/>
        <v>Attachmenttype[20]</v>
      </c>
      <c r="J160" s="388">
        <f t="shared" si="16"/>
        <v>20</v>
      </c>
      <c r="K160" s="388" t="str">
        <f t="shared" si="17"/>
        <v/>
      </c>
      <c r="L160" s="388" t="str">
        <f t="shared" si="18"/>
        <v/>
      </c>
      <c r="M160" s="388" t="str">
        <f t="shared" si="19"/>
        <v/>
      </c>
      <c r="N160" s="389">
        <f t="shared" si="20"/>
        <v>20</v>
      </c>
    </row>
    <row r="161" spans="1:14" ht="13.5" customHeight="1" x14ac:dyDescent="0.25">
      <c r="A161" s="88" t="str">
        <f t="shared" si="13"/>
        <v>Auxiliar4</v>
      </c>
      <c r="B161" s="88"/>
      <c r="C161" s="88"/>
      <c r="D161" s="88" t="str">
        <f t="shared" si="14"/>
        <v>AA21</v>
      </c>
      <c r="E161" s="88" t="str">
        <f>IF(N161="",IF(J161="j",_xlfn.CONCAT("Load"," ",filename_cont,"1.sim"),IF(K161="k",_xlfn.CONCAT("Load"," ",Data!$W$57,".sim"),"")),"Get Data")</f>
        <v>Get Data</v>
      </c>
      <c r="F161" s="88" t="str">
        <f>CVD_Script_Table!$H$25</f>
        <v>Line</v>
      </c>
      <c r="G161" s="88"/>
      <c r="H161" s="88"/>
      <c r="I161" s="88" t="str">
        <f t="shared" si="15"/>
        <v>Attachmenttype[21]</v>
      </c>
      <c r="J161" s="388">
        <f t="shared" si="16"/>
        <v>21</v>
      </c>
      <c r="K161" s="388" t="str">
        <f t="shared" si="17"/>
        <v/>
      </c>
      <c r="L161" s="388" t="str">
        <f t="shared" si="18"/>
        <v/>
      </c>
      <c r="M161" s="388" t="str">
        <f t="shared" si="19"/>
        <v/>
      </c>
      <c r="N161" s="389">
        <f t="shared" si="20"/>
        <v>21</v>
      </c>
    </row>
    <row r="162" spans="1:14" ht="13.5" customHeight="1" x14ac:dyDescent="0.25">
      <c r="A162" s="88" t="str">
        <f t="shared" si="13"/>
        <v>Auxiliar4</v>
      </c>
      <c r="B162" s="88"/>
      <c r="C162" s="88"/>
      <c r="D162" s="88" t="str">
        <f t="shared" si="14"/>
        <v>AA22</v>
      </c>
      <c r="E162" s="88" t="str">
        <f>IF(N162="",IF(J162="j",_xlfn.CONCAT("Load"," ",filename_cont,"1.sim"),IF(K162="k",_xlfn.CONCAT("Load"," ",Data!$W$57,".sim"),"")),"Get Data")</f>
        <v>Get Data</v>
      </c>
      <c r="F162" s="88" t="str">
        <f>CVD_Script_Table!$H$25</f>
        <v>Line</v>
      </c>
      <c r="G162" s="88"/>
      <c r="H162" s="88"/>
      <c r="I162" s="88" t="str">
        <f t="shared" si="15"/>
        <v>Attachmenttype[22]</v>
      </c>
      <c r="J162" s="388">
        <f t="shared" si="16"/>
        <v>22</v>
      </c>
      <c r="K162" s="388" t="str">
        <f t="shared" si="17"/>
        <v/>
      </c>
      <c r="L162" s="388" t="str">
        <f t="shared" si="18"/>
        <v/>
      </c>
      <c r="M162" s="388" t="str">
        <f t="shared" si="19"/>
        <v/>
      </c>
      <c r="N162" s="389">
        <f t="shared" si="20"/>
        <v>22</v>
      </c>
    </row>
    <row r="163" spans="1:14" ht="13.5" customHeight="1" x14ac:dyDescent="0.25">
      <c r="A163" s="88" t="str">
        <f t="shared" si="13"/>
        <v>Auxiliar4</v>
      </c>
      <c r="B163" s="88"/>
      <c r="C163" s="88"/>
      <c r="D163" s="88" t="str">
        <f t="shared" si="14"/>
        <v>AA23</v>
      </c>
      <c r="E163" s="88" t="str">
        <f>IF(N163="",IF(J163="j",_xlfn.CONCAT("Load"," ",filename_cont,"1.sim"),IF(K163="k",_xlfn.CONCAT("Load"," ",Data!$W$57,".sim"),"")),"Get Data")</f>
        <v>Get Data</v>
      </c>
      <c r="F163" s="88" t="str">
        <f>CVD_Script_Table!$H$25</f>
        <v>Line</v>
      </c>
      <c r="G163" s="88"/>
      <c r="H163" s="88"/>
      <c r="I163" s="88" t="str">
        <f t="shared" si="15"/>
        <v>Attachmenttype[23]</v>
      </c>
      <c r="J163" s="388">
        <f t="shared" si="16"/>
        <v>23</v>
      </c>
      <c r="K163" s="388" t="str">
        <f t="shared" si="17"/>
        <v/>
      </c>
      <c r="L163" s="388" t="str">
        <f t="shared" si="18"/>
        <v/>
      </c>
      <c r="M163" s="388" t="str">
        <f t="shared" si="19"/>
        <v/>
      </c>
      <c r="N163" s="389">
        <f t="shared" si="20"/>
        <v>23</v>
      </c>
    </row>
    <row r="164" spans="1:14" ht="13.5" customHeight="1" x14ac:dyDescent="0.25">
      <c r="A164" s="88" t="str">
        <f t="shared" si="13"/>
        <v>Auxiliar4</v>
      </c>
      <c r="B164" s="88"/>
      <c r="C164" s="88"/>
      <c r="D164" s="88" t="str">
        <f t="shared" si="14"/>
        <v>AA24</v>
      </c>
      <c r="E164" s="88" t="str">
        <f>IF(N164="",IF(J164="j",_xlfn.CONCAT("Load"," ",filename_cont,"1.sim"),IF(K164="k",_xlfn.CONCAT("Load"," ",Data!$W$57,".sim"),"")),"Get Data")</f>
        <v>Get Data</v>
      </c>
      <c r="F164" s="88" t="str">
        <f>CVD_Script_Table!$H$25</f>
        <v>Line</v>
      </c>
      <c r="G164" s="88"/>
      <c r="H164" s="88"/>
      <c r="I164" s="88" t="str">
        <f t="shared" si="15"/>
        <v>Attachmenttype[24]</v>
      </c>
      <c r="J164" s="388">
        <f t="shared" si="16"/>
        <v>24</v>
      </c>
      <c r="K164" s="388" t="str">
        <f t="shared" si="17"/>
        <v/>
      </c>
      <c r="L164" s="388" t="str">
        <f t="shared" si="18"/>
        <v/>
      </c>
      <c r="M164" s="388" t="str">
        <f t="shared" si="19"/>
        <v/>
      </c>
      <c r="N164" s="389">
        <f t="shared" si="20"/>
        <v>24</v>
      </c>
    </row>
    <row r="165" spans="1:14" ht="13.5" customHeight="1" x14ac:dyDescent="0.25">
      <c r="A165" s="88" t="str">
        <f t="shared" si="13"/>
        <v>Auxiliar4</v>
      </c>
      <c r="B165" s="88"/>
      <c r="C165" s="88"/>
      <c r="D165" s="88" t="str">
        <f t="shared" si="14"/>
        <v>AA25</v>
      </c>
      <c r="E165" s="88" t="str">
        <f>IF(N165="",IF(J165="j",_xlfn.CONCAT("Load"," ",filename_cont,"1.sim"),IF(K165="k",_xlfn.CONCAT("Load"," ",Data!$W$57,".sim"),"")),"Get Data")</f>
        <v>Get Data</v>
      </c>
      <c r="F165" s="88" t="str">
        <f>CVD_Script_Table!$H$25</f>
        <v>Line</v>
      </c>
      <c r="G165" s="88"/>
      <c r="H165" s="88"/>
      <c r="I165" s="88" t="str">
        <f t="shared" si="15"/>
        <v>Attachmenttype[25]</v>
      </c>
      <c r="J165" s="388">
        <f t="shared" si="16"/>
        <v>25</v>
      </c>
      <c r="K165" s="388" t="str">
        <f t="shared" si="17"/>
        <v/>
      </c>
      <c r="L165" s="388" t="str">
        <f t="shared" si="18"/>
        <v/>
      </c>
      <c r="M165" s="388" t="str">
        <f t="shared" si="19"/>
        <v/>
      </c>
      <c r="N165" s="389">
        <f t="shared" si="20"/>
        <v>25</v>
      </c>
    </row>
    <row r="166" spans="1:14" ht="13.5" customHeight="1" x14ac:dyDescent="0.25">
      <c r="A166" s="88" t="str">
        <f t="shared" si="13"/>
        <v>Auxiliar4</v>
      </c>
      <c r="B166" s="88"/>
      <c r="C166" s="88"/>
      <c r="D166" s="88" t="str">
        <f t="shared" si="14"/>
        <v>AA26</v>
      </c>
      <c r="E166" s="88" t="str">
        <f>IF(N166="",IF(J166="j",_xlfn.CONCAT("Load"," ",filename_cont,"1.sim"),IF(K166="k",_xlfn.CONCAT("Load"," ",Data!$W$57,".sim"),"")),"Get Data")</f>
        <v>Get Data</v>
      </c>
      <c r="F166" s="88" t="str">
        <f>CVD_Script_Table!$H$25</f>
        <v>Line</v>
      </c>
      <c r="G166" s="88"/>
      <c r="H166" s="88"/>
      <c r="I166" s="88" t="str">
        <f t="shared" si="15"/>
        <v>Attachmenttype[26]</v>
      </c>
      <c r="J166" s="388">
        <f t="shared" si="16"/>
        <v>26</v>
      </c>
      <c r="K166" s="388" t="str">
        <f t="shared" si="17"/>
        <v/>
      </c>
      <c r="L166" s="388" t="str">
        <f t="shared" si="18"/>
        <v/>
      </c>
      <c r="M166" s="388" t="str">
        <f t="shared" si="19"/>
        <v/>
      </c>
      <c r="N166" s="389">
        <f t="shared" si="20"/>
        <v>26</v>
      </c>
    </row>
    <row r="167" spans="1:14" ht="13.5" customHeight="1" x14ac:dyDescent="0.25">
      <c r="A167" s="88" t="str">
        <f t="shared" si="13"/>
        <v>Auxiliar4</v>
      </c>
      <c r="B167" s="88"/>
      <c r="C167" s="88"/>
      <c r="D167" s="88" t="str">
        <f t="shared" si="14"/>
        <v>AA27</v>
      </c>
      <c r="E167" s="88" t="str">
        <f>IF(N167="",IF(J167="j",_xlfn.CONCAT("Load"," ",filename_cont,"1.sim"),IF(K167="k",_xlfn.CONCAT("Load"," ",Data!$W$57,".sim"),"")),"Get Data")</f>
        <v>Get Data</v>
      </c>
      <c r="F167" s="88" t="str">
        <f>CVD_Script_Table!$H$25</f>
        <v>Line</v>
      </c>
      <c r="G167" s="88"/>
      <c r="H167" s="88"/>
      <c r="I167" s="88" t="str">
        <f t="shared" si="15"/>
        <v>Attachmenttype[27]</v>
      </c>
      <c r="J167" s="388">
        <f t="shared" si="16"/>
        <v>27</v>
      </c>
      <c r="K167" s="388" t="str">
        <f t="shared" si="17"/>
        <v/>
      </c>
      <c r="L167" s="388" t="str">
        <f t="shared" si="18"/>
        <v/>
      </c>
      <c r="M167" s="388" t="str">
        <f t="shared" si="19"/>
        <v/>
      </c>
      <c r="N167" s="389">
        <f t="shared" si="20"/>
        <v>27</v>
      </c>
    </row>
    <row r="168" spans="1:14" ht="13.5" customHeight="1" x14ac:dyDescent="0.25">
      <c r="A168" s="88" t="str">
        <f t="shared" si="13"/>
        <v>Auxiliar4</v>
      </c>
      <c r="B168" s="88"/>
      <c r="C168" s="88"/>
      <c r="D168" s="88" t="str">
        <f t="shared" si="14"/>
        <v>AA28</v>
      </c>
      <c r="E168" s="88" t="str">
        <f>IF(N168="",IF(J168="j",_xlfn.CONCAT("Load"," ",filename_cont,"1.sim"),IF(K168="k",_xlfn.CONCAT("Load"," ",Data!$W$57,".sim"),"")),"Get Data")</f>
        <v>Get Data</v>
      </c>
      <c r="F168" s="88" t="str">
        <f>CVD_Script_Table!$H$25</f>
        <v>Line</v>
      </c>
      <c r="G168" s="88"/>
      <c r="H168" s="88"/>
      <c r="I168" s="88" t="str">
        <f t="shared" si="15"/>
        <v>Attachmenttype[28]</v>
      </c>
      <c r="J168" s="388">
        <f t="shared" si="16"/>
        <v>28</v>
      </c>
      <c r="K168" s="388" t="str">
        <f t="shared" si="17"/>
        <v/>
      </c>
      <c r="L168" s="388" t="str">
        <f t="shared" si="18"/>
        <v/>
      </c>
      <c r="M168" s="388" t="str">
        <f t="shared" si="19"/>
        <v/>
      </c>
      <c r="N168" s="389">
        <f t="shared" si="20"/>
        <v>28</v>
      </c>
    </row>
    <row r="169" spans="1:14" ht="13.5" customHeight="1" x14ac:dyDescent="0.25">
      <c r="A169" s="88" t="str">
        <f t="shared" si="13"/>
        <v>Auxiliar4</v>
      </c>
      <c r="B169" s="88"/>
      <c r="C169" s="88"/>
      <c r="D169" s="88" t="str">
        <f t="shared" si="14"/>
        <v>AA29</v>
      </c>
      <c r="E169" s="88" t="str">
        <f>IF(N169="",IF(J169="j",_xlfn.CONCAT("Load"," ",filename_cont,"1.sim"),IF(K169="k",_xlfn.CONCAT("Load"," ",Data!$W$57,".sim"),"")),"Get Data")</f>
        <v>Get Data</v>
      </c>
      <c r="F169" s="88" t="str">
        <f>CVD_Script_Table!$H$25</f>
        <v>Line</v>
      </c>
      <c r="G169" s="88"/>
      <c r="H169" s="88"/>
      <c r="I169" s="88" t="str">
        <f t="shared" si="15"/>
        <v>Attachmenttype[29]</v>
      </c>
      <c r="J169" s="388">
        <f t="shared" si="16"/>
        <v>29</v>
      </c>
      <c r="K169" s="388" t="str">
        <f t="shared" si="17"/>
        <v/>
      </c>
      <c r="L169" s="388" t="str">
        <f t="shared" si="18"/>
        <v/>
      </c>
      <c r="M169" s="388" t="str">
        <f t="shared" si="19"/>
        <v/>
      </c>
      <c r="N169" s="389">
        <f t="shared" si="20"/>
        <v>29</v>
      </c>
    </row>
    <row r="170" spans="1:14" ht="13.5" customHeight="1" x14ac:dyDescent="0.25">
      <c r="A170" s="88" t="str">
        <f t="shared" si="13"/>
        <v>Auxiliar4</v>
      </c>
      <c r="B170" s="88"/>
      <c r="C170" s="88"/>
      <c r="D170" s="88" t="str">
        <f t="shared" si="14"/>
        <v>AA30</v>
      </c>
      <c r="E170" s="88" t="str">
        <f>IF(N170="",IF(J170="j",_xlfn.CONCAT("Load"," ",filename_cont,"1.sim"),IF(K170="k",_xlfn.CONCAT("Load"," ",Data!$W$57,".sim"),"")),"Get Data")</f>
        <v>Get Data</v>
      </c>
      <c r="F170" s="88" t="str">
        <f>CVD_Script_Table!$H$25</f>
        <v>Line</v>
      </c>
      <c r="G170" s="88"/>
      <c r="H170" s="88"/>
      <c r="I170" s="88" t="str">
        <f t="shared" si="15"/>
        <v>Attachmenttype[30]</v>
      </c>
      <c r="J170" s="388">
        <f t="shared" si="16"/>
        <v>30</v>
      </c>
      <c r="K170" s="388" t="str">
        <f t="shared" si="17"/>
        <v/>
      </c>
      <c r="L170" s="388" t="str">
        <f t="shared" si="18"/>
        <v/>
      </c>
      <c r="M170" s="388" t="str">
        <f t="shared" si="19"/>
        <v/>
      </c>
      <c r="N170" s="389">
        <f t="shared" si="20"/>
        <v>30</v>
      </c>
    </row>
    <row r="171" spans="1:14" ht="13.5" customHeight="1" x14ac:dyDescent="0.25">
      <c r="A171" s="88" t="str">
        <f t="shared" si="13"/>
        <v>Auxiliar4</v>
      </c>
      <c r="B171" s="88"/>
      <c r="C171" s="88"/>
      <c r="D171" s="88" t="str">
        <f t="shared" si="14"/>
        <v>AA31</v>
      </c>
      <c r="E171" s="88" t="str">
        <f>IF(N171="",IF(J171="j",_xlfn.CONCAT("Load"," ",filename_cont,"1.sim"),IF(K171="k",_xlfn.CONCAT("Load"," ",Data!$W$57,".sim"),"")),"Get Data")</f>
        <v>Get Data</v>
      </c>
      <c r="F171" s="88" t="str">
        <f>CVD_Script_Table!$H$25</f>
        <v>Line</v>
      </c>
      <c r="G171" s="88"/>
      <c r="H171" s="88"/>
      <c r="I171" s="88" t="str">
        <f t="shared" si="15"/>
        <v>Attachmenttype[31]</v>
      </c>
      <c r="J171" s="388">
        <f t="shared" si="16"/>
        <v>31</v>
      </c>
      <c r="K171" s="388" t="str">
        <f t="shared" si="17"/>
        <v/>
      </c>
      <c r="L171" s="388" t="str">
        <f t="shared" si="18"/>
        <v/>
      </c>
      <c r="M171" s="388" t="str">
        <f t="shared" si="19"/>
        <v/>
      </c>
      <c r="N171" s="389">
        <f t="shared" si="20"/>
        <v>31</v>
      </c>
    </row>
    <row r="172" spans="1:14" ht="13.5" customHeight="1" x14ac:dyDescent="0.25">
      <c r="A172" s="88" t="str">
        <f t="shared" si="13"/>
        <v>Auxiliar4</v>
      </c>
      <c r="B172" s="88"/>
      <c r="C172" s="88"/>
      <c r="D172" s="88" t="str">
        <f t="shared" si="14"/>
        <v>AA32</v>
      </c>
      <c r="E172" s="88" t="str">
        <f>IF(N172="",IF(J172="j",_xlfn.CONCAT("Load"," ",filename_cont,"1.sim"),IF(K172="k",_xlfn.CONCAT("Load"," ",Data!$W$57,".sim"),"")),"Get Data")</f>
        <v>Get Data</v>
      </c>
      <c r="F172" s="88" t="str">
        <f>CVD_Script_Table!$H$25</f>
        <v>Line</v>
      </c>
      <c r="G172" s="88"/>
      <c r="H172" s="88"/>
      <c r="I172" s="88" t="str">
        <f t="shared" si="15"/>
        <v>Attachmenttype[32]</v>
      </c>
      <c r="J172" s="388">
        <f t="shared" si="16"/>
        <v>32</v>
      </c>
      <c r="K172" s="388" t="str">
        <f t="shared" si="17"/>
        <v/>
      </c>
      <c r="L172" s="388" t="str">
        <f t="shared" si="18"/>
        <v/>
      </c>
      <c r="M172" s="388" t="str">
        <f t="shared" si="19"/>
        <v/>
      </c>
      <c r="N172" s="389">
        <f t="shared" si="20"/>
        <v>32</v>
      </c>
    </row>
    <row r="173" spans="1:14" ht="13.5" customHeight="1" x14ac:dyDescent="0.25">
      <c r="A173" s="88" t="str">
        <f t="shared" si="13"/>
        <v>Auxiliar4</v>
      </c>
      <c r="B173" s="88"/>
      <c r="C173" s="88"/>
      <c r="D173" s="88" t="str">
        <f t="shared" si="14"/>
        <v>AA33</v>
      </c>
      <c r="E173" s="88" t="str">
        <f>IF(N173="",IF(J173="j",_xlfn.CONCAT("Load"," ",filename_cont,"1.sim"),IF(K173="k",_xlfn.CONCAT("Load"," ",Data!$W$57,".sim"),"")),"Get Data")</f>
        <v>Get Data</v>
      </c>
      <c r="F173" s="88" t="str">
        <f>CVD_Script_Table!$H$25</f>
        <v>Line</v>
      </c>
      <c r="G173" s="88"/>
      <c r="H173" s="88"/>
      <c r="I173" s="88" t="str">
        <f t="shared" si="15"/>
        <v>Attachmenttype[33]</v>
      </c>
      <c r="J173" s="388">
        <f t="shared" si="16"/>
        <v>33</v>
      </c>
      <c r="K173" s="388" t="str">
        <f t="shared" si="17"/>
        <v/>
      </c>
      <c r="L173" s="388" t="str">
        <f t="shared" si="18"/>
        <v/>
      </c>
      <c r="M173" s="388" t="str">
        <f t="shared" si="19"/>
        <v/>
      </c>
      <c r="N173" s="389">
        <f t="shared" si="20"/>
        <v>33</v>
      </c>
    </row>
    <row r="174" spans="1:14" ht="13.5" customHeight="1" x14ac:dyDescent="0.25">
      <c r="A174" s="88" t="str">
        <f t="shared" si="13"/>
        <v>Auxiliar4</v>
      </c>
      <c r="B174" s="88"/>
      <c r="C174" s="88"/>
      <c r="D174" s="88" t="str">
        <f t="shared" si="14"/>
        <v>AA34</v>
      </c>
      <c r="E174" s="88" t="str">
        <f>IF(N174="",IF(J174="j",_xlfn.CONCAT("Load"," ",filename_cont,"1.sim"),IF(K174="k",_xlfn.CONCAT("Load"," ",Data!$W$57,".sim"),"")),"Get Data")</f>
        <v>Get Data</v>
      </c>
      <c r="F174" s="88" t="str">
        <f>CVD_Script_Table!$H$25</f>
        <v>Line</v>
      </c>
      <c r="G174" s="88"/>
      <c r="H174" s="88"/>
      <c r="I174" s="88" t="str">
        <f t="shared" si="15"/>
        <v>Attachmenttype[34]</v>
      </c>
      <c r="J174" s="388">
        <f t="shared" si="16"/>
        <v>34</v>
      </c>
      <c r="K174" s="388" t="str">
        <f t="shared" si="17"/>
        <v/>
      </c>
      <c r="L174" s="388" t="str">
        <f t="shared" si="18"/>
        <v/>
      </c>
      <c r="M174" s="388" t="str">
        <f t="shared" si="19"/>
        <v/>
      </c>
      <c r="N174" s="389">
        <f t="shared" si="20"/>
        <v>34</v>
      </c>
    </row>
    <row r="175" spans="1:14" ht="13.5" customHeight="1" x14ac:dyDescent="0.25">
      <c r="A175" s="88" t="str">
        <f t="shared" si="13"/>
        <v>Auxiliar4</v>
      </c>
      <c r="B175" s="88"/>
      <c r="C175" s="88"/>
      <c r="D175" s="88" t="str">
        <f t="shared" si="14"/>
        <v>AA35</v>
      </c>
      <c r="E175" s="88" t="str">
        <f>IF(N175="",IF(J175="j",_xlfn.CONCAT("Load"," ",filename_cont,"1.sim"),IF(K175="k",_xlfn.CONCAT("Load"," ",Data!$W$57,".sim"),"")),"Get Data")</f>
        <v>Get Data</v>
      </c>
      <c r="F175" s="88" t="str">
        <f>CVD_Script_Table!$H$25</f>
        <v>Line</v>
      </c>
      <c r="G175" s="88"/>
      <c r="H175" s="88"/>
      <c r="I175" s="88" t="str">
        <f t="shared" si="15"/>
        <v>Attachmenttype[35]</v>
      </c>
      <c r="J175" s="388">
        <f t="shared" si="16"/>
        <v>35</v>
      </c>
      <c r="K175" s="388" t="str">
        <f t="shared" si="17"/>
        <v/>
      </c>
      <c r="L175" s="388" t="str">
        <f t="shared" si="18"/>
        <v/>
      </c>
      <c r="M175" s="388" t="str">
        <f t="shared" si="19"/>
        <v/>
      </c>
      <c r="N175" s="389">
        <f t="shared" si="20"/>
        <v>35</v>
      </c>
    </row>
    <row r="176" spans="1:14" ht="13.5" customHeight="1" x14ac:dyDescent="0.25">
      <c r="A176" s="88" t="str">
        <f t="shared" si="13"/>
        <v>Auxiliar4</v>
      </c>
      <c r="B176" s="88"/>
      <c r="C176" s="88"/>
      <c r="D176" s="88" t="str">
        <f t="shared" si="14"/>
        <v>AA36</v>
      </c>
      <c r="E176" s="88" t="str">
        <f>IF(N176="",IF(J176="j",_xlfn.CONCAT("Load"," ",filename_cont,"1.sim"),IF(K176="k",_xlfn.CONCAT("Load"," ",Data!$W$57,".sim"),"")),"Get Data")</f>
        <v>Get Data</v>
      </c>
      <c r="F176" s="88" t="str">
        <f>CVD_Script_Table!$H$25</f>
        <v>Line</v>
      </c>
      <c r="G176" s="88"/>
      <c r="H176" s="88"/>
      <c r="I176" s="88" t="str">
        <f t="shared" si="15"/>
        <v>Attachmenttype[36]</v>
      </c>
      <c r="J176" s="388">
        <f t="shared" si="16"/>
        <v>36</v>
      </c>
      <c r="K176" s="388" t="str">
        <f t="shared" si="17"/>
        <v/>
      </c>
      <c r="L176" s="388" t="str">
        <f t="shared" si="18"/>
        <v/>
      </c>
      <c r="M176" s="388" t="str">
        <f t="shared" si="19"/>
        <v/>
      </c>
      <c r="N176" s="389">
        <f t="shared" si="20"/>
        <v>36</v>
      </c>
    </row>
    <row r="177" spans="1:14" ht="13.5" customHeight="1" x14ac:dyDescent="0.25">
      <c r="A177" s="88" t="str">
        <f t="shared" si="13"/>
        <v>Auxiliar4</v>
      </c>
      <c r="B177" s="88"/>
      <c r="C177" s="88"/>
      <c r="D177" s="88" t="str">
        <f t="shared" si="14"/>
        <v>AA37</v>
      </c>
      <c r="E177" s="88" t="str">
        <f>IF(N177="",IF(J177="j",_xlfn.CONCAT("Load"," ",filename_cont,"1.sim"),IF(K177="k",_xlfn.CONCAT("Load"," ",Data!$W$57,".sim"),"")),"Get Data")</f>
        <v>Get Data</v>
      </c>
      <c r="F177" s="88" t="str">
        <f>CVD_Script_Table!$H$25</f>
        <v>Line</v>
      </c>
      <c r="G177" s="88"/>
      <c r="H177" s="88"/>
      <c r="I177" s="88" t="str">
        <f t="shared" si="15"/>
        <v>Attachmenttype[37]</v>
      </c>
      <c r="J177" s="388">
        <f t="shared" si="16"/>
        <v>37</v>
      </c>
      <c r="K177" s="388" t="str">
        <f t="shared" si="17"/>
        <v/>
      </c>
      <c r="L177" s="388" t="str">
        <f t="shared" si="18"/>
        <v/>
      </c>
      <c r="M177" s="388" t="str">
        <f t="shared" si="19"/>
        <v/>
      </c>
      <c r="N177" s="389">
        <f t="shared" si="20"/>
        <v>37</v>
      </c>
    </row>
    <row r="178" spans="1:14" ht="13.5" customHeight="1" x14ac:dyDescent="0.25">
      <c r="A178" s="88" t="str">
        <f t="shared" si="13"/>
        <v>Auxiliar4</v>
      </c>
      <c r="B178" s="88"/>
      <c r="C178" s="88"/>
      <c r="D178" s="88" t="str">
        <f t="shared" si="14"/>
        <v>AA38</v>
      </c>
      <c r="E178" s="88" t="str">
        <f>IF(N178="",IF(J178="j",_xlfn.CONCAT("Load"," ",filename_cont,"1.sim"),IF(K178="k",_xlfn.CONCAT("Load"," ",Data!$W$57,".sim"),"")),"Get Data")</f>
        <v>Get Data</v>
      </c>
      <c r="F178" s="88" t="str">
        <f>CVD_Script_Table!$H$25</f>
        <v>Line</v>
      </c>
      <c r="G178" s="88"/>
      <c r="H178" s="88"/>
      <c r="I178" s="88" t="str">
        <f t="shared" si="15"/>
        <v>Attachmenttype[38]</v>
      </c>
      <c r="J178" s="388">
        <f t="shared" si="16"/>
        <v>38</v>
      </c>
      <c r="K178" s="388" t="str">
        <f t="shared" si="17"/>
        <v/>
      </c>
      <c r="L178" s="388" t="str">
        <f t="shared" si="18"/>
        <v/>
      </c>
      <c r="M178" s="388" t="str">
        <f t="shared" si="19"/>
        <v/>
      </c>
      <c r="N178" s="389">
        <f t="shared" si="20"/>
        <v>38</v>
      </c>
    </row>
    <row r="179" spans="1:14" ht="13.5" customHeight="1" x14ac:dyDescent="0.25">
      <c r="A179" s="88" t="str">
        <f t="shared" si="13"/>
        <v>Auxiliar4</v>
      </c>
      <c r="B179" s="88"/>
      <c r="C179" s="88"/>
      <c r="D179" s="88" t="str">
        <f t="shared" si="14"/>
        <v>AA39</v>
      </c>
      <c r="E179" s="88" t="str">
        <f>IF(N179="",IF(J179="j",_xlfn.CONCAT("Load"," ",filename_cont,"1.sim"),IF(K179="k",_xlfn.CONCAT("Load"," ",Data!$W$57,".sim"),"")),"Get Data")</f>
        <v>Get Data</v>
      </c>
      <c r="F179" s="88" t="str">
        <f>CVD_Script_Table!$H$25</f>
        <v>Line</v>
      </c>
      <c r="G179" s="88"/>
      <c r="H179" s="88"/>
      <c r="I179" s="88" t="str">
        <f t="shared" si="15"/>
        <v>Attachmenttype[39]</v>
      </c>
      <c r="J179" s="388">
        <f t="shared" si="16"/>
        <v>39</v>
      </c>
      <c r="K179" s="388" t="str">
        <f t="shared" si="17"/>
        <v/>
      </c>
      <c r="L179" s="388" t="str">
        <f t="shared" si="18"/>
        <v/>
      </c>
      <c r="M179" s="388" t="str">
        <f t="shared" si="19"/>
        <v/>
      </c>
      <c r="N179" s="389">
        <f t="shared" si="20"/>
        <v>39</v>
      </c>
    </row>
    <row r="180" spans="1:14" ht="13.5" customHeight="1" x14ac:dyDescent="0.25">
      <c r="A180" s="88" t="str">
        <f t="shared" si="13"/>
        <v>Auxiliar4</v>
      </c>
      <c r="B180" s="88"/>
      <c r="C180" s="88"/>
      <c r="D180" s="88" t="str">
        <f t="shared" si="14"/>
        <v>AA40</v>
      </c>
      <c r="E180" s="88" t="str">
        <f>IF(N180="",IF(J180="j",_xlfn.CONCAT("Load"," ",filename_cont,"1.sim"),IF(K180="k",_xlfn.CONCAT("Load"," ",Data!$W$57,".sim"),"")),"Get Data")</f>
        <v>Get Data</v>
      </c>
      <c r="F180" s="88" t="str">
        <f>CVD_Script_Table!$H$25</f>
        <v>Line</v>
      </c>
      <c r="G180" s="88"/>
      <c r="H180" s="88"/>
      <c r="I180" s="88" t="str">
        <f t="shared" si="15"/>
        <v>Attachmenttype[40]</v>
      </c>
      <c r="J180" s="388">
        <f t="shared" si="16"/>
        <v>40</v>
      </c>
      <c r="K180" s="388" t="str">
        <f t="shared" si="17"/>
        <v/>
      </c>
      <c r="L180" s="388" t="str">
        <f t="shared" si="18"/>
        <v/>
      </c>
      <c r="M180" s="388" t="str">
        <f t="shared" si="19"/>
        <v/>
      </c>
      <c r="N180" s="389">
        <f t="shared" si="20"/>
        <v>40</v>
      </c>
    </row>
    <row r="181" spans="1:14" ht="13.5" customHeight="1" x14ac:dyDescent="0.25">
      <c r="A181" s="88" t="str">
        <f t="shared" si="13"/>
        <v>Auxiliar4</v>
      </c>
      <c r="B181" s="88"/>
      <c r="C181" s="88"/>
      <c r="D181" s="88" t="str">
        <f t="shared" si="14"/>
        <v>AA41</v>
      </c>
      <c r="E181" s="88" t="str">
        <f>IF(N181="",IF(J181="j",_xlfn.CONCAT("Load"," ",filename_cont,"1.sim"),IF(K181="k",_xlfn.CONCAT("Load"," ",Data!$W$57,".sim"),"")),"Get Data")</f>
        <v>Get Data</v>
      </c>
      <c r="F181" s="88" t="str">
        <f>CVD_Script_Table!$H$25</f>
        <v>Line</v>
      </c>
      <c r="G181" s="88"/>
      <c r="H181" s="88"/>
      <c r="I181" s="88" t="str">
        <f t="shared" si="15"/>
        <v>Attachmenttype[41]</v>
      </c>
      <c r="J181" s="388">
        <f t="shared" si="16"/>
        <v>41</v>
      </c>
      <c r="K181" s="388" t="str">
        <f t="shared" si="17"/>
        <v/>
      </c>
      <c r="L181" s="388" t="str">
        <f t="shared" si="18"/>
        <v/>
      </c>
      <c r="M181" s="388" t="str">
        <f t="shared" si="19"/>
        <v/>
      </c>
      <c r="N181" s="389">
        <f t="shared" si="20"/>
        <v>41</v>
      </c>
    </row>
    <row r="182" spans="1:14" ht="13.5" customHeight="1" x14ac:dyDescent="0.25">
      <c r="A182" s="88" t="str">
        <f t="shared" si="13"/>
        <v>Auxiliar4</v>
      </c>
      <c r="B182" s="88"/>
      <c r="C182" s="88"/>
      <c r="D182" s="88" t="str">
        <f t="shared" si="14"/>
        <v>AA42</v>
      </c>
      <c r="E182" s="88" t="str">
        <f>IF(N182="",IF(J182="j",_xlfn.CONCAT("Load"," ",filename_cont,"1.sim"),IF(K182="k",_xlfn.CONCAT("Load"," ",Data!$W$57,".sim"),"")),"Get Data")</f>
        <v>Get Data</v>
      </c>
      <c r="F182" s="88" t="str">
        <f>CVD_Script_Table!$H$25</f>
        <v>Line</v>
      </c>
      <c r="G182" s="88"/>
      <c r="H182" s="88"/>
      <c r="I182" s="88" t="str">
        <f t="shared" si="15"/>
        <v>Attachmenttype[42]</v>
      </c>
      <c r="J182" s="388">
        <f t="shared" si="16"/>
        <v>42</v>
      </c>
      <c r="K182" s="388" t="str">
        <f t="shared" si="17"/>
        <v/>
      </c>
      <c r="L182" s="388" t="str">
        <f t="shared" si="18"/>
        <v/>
      </c>
      <c r="M182" s="388" t="str">
        <f t="shared" si="19"/>
        <v/>
      </c>
      <c r="N182" s="389">
        <f t="shared" si="20"/>
        <v>42</v>
      </c>
    </row>
    <row r="183" spans="1:14" ht="13.5" customHeight="1" x14ac:dyDescent="0.25">
      <c r="A183" s="88" t="str">
        <f t="shared" si="13"/>
        <v>Auxiliar4</v>
      </c>
      <c r="B183" s="88"/>
      <c r="C183" s="88"/>
      <c r="D183" s="88" t="str">
        <f t="shared" si="14"/>
        <v>AA43</v>
      </c>
      <c r="E183" s="88" t="str">
        <f>IF(N183="",IF(J183="j",_xlfn.CONCAT("Load"," ",filename_cont,"1.sim"),IF(K183="k",_xlfn.CONCAT("Load"," ",Data!$W$57,".sim"),"")),"Get Data")</f>
        <v>Get Data</v>
      </c>
      <c r="F183" s="88" t="str">
        <f>CVD_Script_Table!$H$25</f>
        <v>Line</v>
      </c>
      <c r="G183" s="88"/>
      <c r="H183" s="88"/>
      <c r="I183" s="88" t="str">
        <f t="shared" si="15"/>
        <v>Attachmenttype[43]</v>
      </c>
      <c r="J183" s="388">
        <f t="shared" si="16"/>
        <v>43</v>
      </c>
      <c r="K183" s="388" t="str">
        <f t="shared" si="17"/>
        <v/>
      </c>
      <c r="L183" s="388" t="str">
        <f t="shared" si="18"/>
        <v/>
      </c>
      <c r="M183" s="388" t="str">
        <f t="shared" si="19"/>
        <v/>
      </c>
      <c r="N183" s="389">
        <f t="shared" si="20"/>
        <v>43</v>
      </c>
    </row>
    <row r="184" spans="1:14" ht="13.5" customHeight="1" x14ac:dyDescent="0.25">
      <c r="A184" s="88" t="str">
        <f t="shared" si="13"/>
        <v>Auxiliar4</v>
      </c>
      <c r="B184" s="88"/>
      <c r="C184" s="88"/>
      <c r="D184" s="88" t="str">
        <f t="shared" si="14"/>
        <v>AA44</v>
      </c>
      <c r="E184" s="88" t="str">
        <f>IF(N184="",IF(J184="j",_xlfn.CONCAT("Load"," ",filename_cont,"1.sim"),IF(K184="k",_xlfn.CONCAT("Load"," ",Data!$W$57,".sim"),"")),"Get Data")</f>
        <v>Get Data</v>
      </c>
      <c r="F184" s="88" t="str">
        <f>CVD_Script_Table!$H$25</f>
        <v>Line</v>
      </c>
      <c r="G184" s="88"/>
      <c r="H184" s="88"/>
      <c r="I184" s="88" t="str">
        <f t="shared" si="15"/>
        <v>Attachmenttype[44]</v>
      </c>
      <c r="J184" s="388">
        <f t="shared" si="16"/>
        <v>44</v>
      </c>
      <c r="K184" s="388" t="str">
        <f t="shared" si="17"/>
        <v/>
      </c>
      <c r="L184" s="388" t="str">
        <f t="shared" si="18"/>
        <v/>
      </c>
      <c r="M184" s="388" t="str">
        <f t="shared" si="19"/>
        <v/>
      </c>
      <c r="N184" s="389">
        <f t="shared" si="20"/>
        <v>44</v>
      </c>
    </row>
    <row r="185" spans="1:14" ht="13.5" customHeight="1" x14ac:dyDescent="0.25">
      <c r="A185" s="88" t="str">
        <f t="shared" si="13"/>
        <v>Auxiliar4</v>
      </c>
      <c r="B185" s="88"/>
      <c r="C185" s="88"/>
      <c r="D185" s="88" t="str">
        <f t="shared" si="14"/>
        <v>AA45</v>
      </c>
      <c r="E185" s="88" t="str">
        <f>IF(N185="",IF(J185="j",_xlfn.CONCAT("Load"," ",filename_cont,"1.sim"),IF(K185="k",_xlfn.CONCAT("Load"," ",Data!$W$57,".sim"),"")),"Get Data")</f>
        <v>Get Data</v>
      </c>
      <c r="F185" s="88" t="str">
        <f>CVD_Script_Table!$H$25</f>
        <v>Line</v>
      </c>
      <c r="G185" s="88"/>
      <c r="H185" s="88"/>
      <c r="I185" s="88" t="str">
        <f t="shared" si="15"/>
        <v>Attachmenttype[45]</v>
      </c>
      <c r="J185" s="388">
        <f t="shared" si="16"/>
        <v>45</v>
      </c>
      <c r="K185" s="388" t="str">
        <f t="shared" si="17"/>
        <v/>
      </c>
      <c r="L185" s="388" t="str">
        <f t="shared" si="18"/>
        <v/>
      </c>
      <c r="M185" s="388" t="str">
        <f t="shared" si="19"/>
        <v/>
      </c>
      <c r="N185" s="389">
        <f t="shared" si="20"/>
        <v>45</v>
      </c>
    </row>
    <row r="186" spans="1:14" ht="13.5" customHeight="1" x14ac:dyDescent="0.25">
      <c r="A186" s="88" t="str">
        <f t="shared" si="13"/>
        <v>Auxiliar4</v>
      </c>
      <c r="B186" s="88"/>
      <c r="C186" s="88"/>
      <c r="D186" s="88" t="str">
        <f t="shared" si="14"/>
        <v>AA46</v>
      </c>
      <c r="E186" s="88" t="str">
        <f>IF(N186="",IF(J186="j",_xlfn.CONCAT("Load"," ",filename_cont,"1.sim"),IF(K186="k",_xlfn.CONCAT("Load"," ",Data!$W$57,".sim"),"")),"Get Data")</f>
        <v>Get Data</v>
      </c>
      <c r="F186" s="88" t="str">
        <f>CVD_Script_Table!$H$25</f>
        <v>Line</v>
      </c>
      <c r="G186" s="88"/>
      <c r="H186" s="88"/>
      <c r="I186" s="88" t="str">
        <f t="shared" si="15"/>
        <v>Attachmenttype[46]</v>
      </c>
      <c r="J186" s="388">
        <f t="shared" si="16"/>
        <v>46</v>
      </c>
      <c r="K186" s="388" t="str">
        <f t="shared" si="17"/>
        <v/>
      </c>
      <c r="L186" s="388" t="str">
        <f t="shared" si="18"/>
        <v/>
      </c>
      <c r="M186" s="388" t="str">
        <f t="shared" si="19"/>
        <v/>
      </c>
      <c r="N186" s="389">
        <f t="shared" si="20"/>
        <v>46</v>
      </c>
    </row>
    <row r="187" spans="1:14" ht="13.5" customHeight="1" x14ac:dyDescent="0.25">
      <c r="A187" s="88" t="str">
        <f t="shared" si="13"/>
        <v>Auxiliar4</v>
      </c>
      <c r="B187" s="88"/>
      <c r="C187" s="88"/>
      <c r="D187" s="88" t="str">
        <f t="shared" si="14"/>
        <v>AA47</v>
      </c>
      <c r="E187" s="88" t="str">
        <f>IF(N187="",IF(J187="j",_xlfn.CONCAT("Load"," ",filename_cont,"1.sim"),IF(K187="k",_xlfn.CONCAT("Load"," ",Data!$W$57,".sim"),"")),"Get Data")</f>
        <v>Get Data</v>
      </c>
      <c r="F187" s="88" t="str">
        <f>CVD_Script_Table!$H$25</f>
        <v>Line</v>
      </c>
      <c r="G187" s="88"/>
      <c r="H187" s="88"/>
      <c r="I187" s="88" t="str">
        <f t="shared" si="15"/>
        <v>Attachmenttype[47]</v>
      </c>
      <c r="J187" s="388">
        <f t="shared" si="16"/>
        <v>47</v>
      </c>
      <c r="K187" s="388" t="str">
        <f t="shared" si="17"/>
        <v/>
      </c>
      <c r="L187" s="388" t="str">
        <f t="shared" si="18"/>
        <v/>
      </c>
      <c r="M187" s="388" t="str">
        <f t="shared" si="19"/>
        <v/>
      </c>
      <c r="N187" s="389">
        <f t="shared" si="20"/>
        <v>47</v>
      </c>
    </row>
    <row r="188" spans="1:14" ht="13.5" customHeight="1" x14ac:dyDescent="0.25">
      <c r="A188" s="88" t="str">
        <f t="shared" si="13"/>
        <v>Auxiliar4</v>
      </c>
      <c r="B188" s="88"/>
      <c r="C188" s="88"/>
      <c r="D188" s="88" t="str">
        <f t="shared" si="14"/>
        <v>AA48</v>
      </c>
      <c r="E188" s="88" t="str">
        <f>IF(N188="",IF(J188="j",_xlfn.CONCAT("Load"," ",filename_cont,"1.sim"),IF(K188="k",_xlfn.CONCAT("Load"," ",Data!$W$57,".sim"),"")),"Get Data")</f>
        <v>Get Data</v>
      </c>
      <c r="F188" s="88" t="str">
        <f>CVD_Script_Table!$H$25</f>
        <v>Line</v>
      </c>
      <c r="G188" s="88"/>
      <c r="H188" s="88"/>
      <c r="I188" s="88" t="str">
        <f t="shared" si="15"/>
        <v>Attachmenttype[48]</v>
      </c>
      <c r="J188" s="388">
        <f t="shared" si="16"/>
        <v>48</v>
      </c>
      <c r="K188" s="388" t="str">
        <f t="shared" si="17"/>
        <v/>
      </c>
      <c r="L188" s="388" t="str">
        <f t="shared" si="18"/>
        <v/>
      </c>
      <c r="M188" s="388" t="str">
        <f t="shared" si="19"/>
        <v/>
      </c>
      <c r="N188" s="389">
        <f t="shared" si="20"/>
        <v>48</v>
      </c>
    </row>
    <row r="189" spans="1:14" ht="13.5" customHeight="1" x14ac:dyDescent="0.25">
      <c r="A189" s="88" t="str">
        <f t="shared" si="13"/>
        <v>Auxiliar4</v>
      </c>
      <c r="B189" s="88"/>
      <c r="C189" s="88"/>
      <c r="D189" s="88" t="str">
        <f t="shared" si="14"/>
        <v>AA49</v>
      </c>
      <c r="E189" s="88" t="str">
        <f>IF(N189="",IF(J189="j",_xlfn.CONCAT("Load"," ",filename_cont,"1.sim"),IF(K189="k",_xlfn.CONCAT("Load"," ",Data!$W$57,".sim"),"")),"Get Data")</f>
        <v>Get Data</v>
      </c>
      <c r="F189" s="88" t="str">
        <f>CVD_Script_Table!$H$25</f>
        <v>Line</v>
      </c>
      <c r="G189" s="88"/>
      <c r="H189" s="88"/>
      <c r="I189" s="88" t="str">
        <f t="shared" si="15"/>
        <v>Attachmenttype[49]</v>
      </c>
      <c r="J189" s="388">
        <f t="shared" si="16"/>
        <v>49</v>
      </c>
      <c r="K189" s="388" t="str">
        <f t="shared" si="17"/>
        <v/>
      </c>
      <c r="L189" s="388" t="str">
        <f t="shared" si="18"/>
        <v/>
      </c>
      <c r="M189" s="388" t="str">
        <f t="shared" si="19"/>
        <v/>
      </c>
      <c r="N189" s="389">
        <f t="shared" si="20"/>
        <v>49</v>
      </c>
    </row>
    <row r="190" spans="1:14" ht="13.5" customHeight="1" x14ac:dyDescent="0.25">
      <c r="A190" s="88" t="str">
        <f t="shared" si="13"/>
        <v>Auxiliar4</v>
      </c>
      <c r="B190" s="88"/>
      <c r="C190" s="88"/>
      <c r="D190" s="88" t="str">
        <f t="shared" si="14"/>
        <v>AA50</v>
      </c>
      <c r="E190" s="88" t="str">
        <f>IF(N190="",IF(J190="j",_xlfn.CONCAT("Load"," ",filename_cont,"1.sim"),IF(K190="k",_xlfn.CONCAT("Load"," ",Data!$W$57,".sim"),"")),"Get Data")</f>
        <v>Get Data</v>
      </c>
      <c r="F190" s="88" t="str">
        <f>CVD_Script_Table!$H$25</f>
        <v>Line</v>
      </c>
      <c r="G190" s="88"/>
      <c r="H190" s="88"/>
      <c r="I190" s="88" t="str">
        <f t="shared" si="15"/>
        <v>Attachmenttype[50]</v>
      </c>
      <c r="J190" s="388">
        <f t="shared" si="16"/>
        <v>50</v>
      </c>
      <c r="K190" s="388" t="str">
        <f t="shared" si="17"/>
        <v/>
      </c>
      <c r="L190" s="388" t="str">
        <f t="shared" si="18"/>
        <v/>
      </c>
      <c r="M190" s="388" t="str">
        <f t="shared" si="19"/>
        <v/>
      </c>
      <c r="N190" s="389">
        <f t="shared" si="20"/>
        <v>50</v>
      </c>
    </row>
    <row r="191" spans="1:14" ht="13.5" customHeight="1" x14ac:dyDescent="0.25">
      <c r="A191" s="88" t="str">
        <f t="shared" si="13"/>
        <v>Auxiliar4</v>
      </c>
      <c r="B191" s="88"/>
      <c r="C191" s="88"/>
      <c r="D191" s="88" t="str">
        <f t="shared" si="14"/>
        <v>AA51</v>
      </c>
      <c r="E191" s="88" t="str">
        <f>IF(N191="",IF(J191="j",_xlfn.CONCAT("Load"," ",filename_cont,"1.sim"),IF(K191="k",_xlfn.CONCAT("Load"," ",Data!$W$57,".sim"),"")),"Get Data")</f>
        <v>Get Data</v>
      </c>
      <c r="F191" s="88" t="str">
        <f>CVD_Script_Table!$H$25</f>
        <v>Line</v>
      </c>
      <c r="G191" s="88"/>
      <c r="H191" s="88"/>
      <c r="I191" s="88" t="str">
        <f t="shared" si="15"/>
        <v>Attachmenttype[51]</v>
      </c>
      <c r="J191" s="388">
        <f t="shared" si="16"/>
        <v>51</v>
      </c>
      <c r="K191" s="388" t="str">
        <f t="shared" si="17"/>
        <v/>
      </c>
      <c r="L191" s="388" t="str">
        <f t="shared" si="18"/>
        <v/>
      </c>
      <c r="M191" s="388" t="str">
        <f t="shared" si="19"/>
        <v/>
      </c>
      <c r="N191" s="389">
        <f t="shared" si="20"/>
        <v>51</v>
      </c>
    </row>
    <row r="192" spans="1:14" ht="13.5" customHeight="1" x14ac:dyDescent="0.25">
      <c r="A192" s="88" t="str">
        <f t="shared" si="13"/>
        <v>Auxiliar4</v>
      </c>
      <c r="B192" s="88"/>
      <c r="C192" s="88"/>
      <c r="D192" s="88" t="str">
        <f t="shared" si="14"/>
        <v>AA52</v>
      </c>
      <c r="E192" s="88" t="str">
        <f>IF(N192="",IF(J192="j",_xlfn.CONCAT("Load"," ",filename_cont,"1.sim"),IF(K192="k",_xlfn.CONCAT("Load"," ",Data!$W$57,".sim"),"")),"Get Data")</f>
        <v>Get Data</v>
      </c>
      <c r="F192" s="88" t="str">
        <f>CVD_Script_Table!$H$25</f>
        <v>Line</v>
      </c>
      <c r="G192" s="88"/>
      <c r="H192" s="88"/>
      <c r="I192" s="88" t="str">
        <f t="shared" si="15"/>
        <v>Attachmenttype[52]</v>
      </c>
      <c r="J192" s="388">
        <f t="shared" si="16"/>
        <v>52</v>
      </c>
      <c r="K192" s="388" t="str">
        <f t="shared" si="17"/>
        <v/>
      </c>
      <c r="L192" s="388" t="str">
        <f t="shared" si="18"/>
        <v/>
      </c>
      <c r="M192" s="388" t="str">
        <f t="shared" si="19"/>
        <v/>
      </c>
      <c r="N192" s="389">
        <f t="shared" si="20"/>
        <v>52</v>
      </c>
    </row>
    <row r="193" spans="1:14" ht="13.5" customHeight="1" x14ac:dyDescent="0.25">
      <c r="A193" s="88" t="str">
        <f t="shared" si="13"/>
        <v>Auxiliar4</v>
      </c>
      <c r="B193" s="88"/>
      <c r="C193" s="88"/>
      <c r="D193" s="88" t="str">
        <f t="shared" si="14"/>
        <v>AA53</v>
      </c>
      <c r="E193" s="88" t="str">
        <f>IF(N193="",IF(J193="j",_xlfn.CONCAT("Load"," ",filename_cont,"1.sim"),IF(K193="k",_xlfn.CONCAT("Load"," ",Data!$W$57,".sim"),"")),"Get Data")</f>
        <v>Get Data</v>
      </c>
      <c r="F193" s="88" t="str">
        <f>CVD_Script_Table!$H$25</f>
        <v>Line</v>
      </c>
      <c r="G193" s="88"/>
      <c r="H193" s="88"/>
      <c r="I193" s="88" t="str">
        <f t="shared" si="15"/>
        <v>Attachmenttype[53]</v>
      </c>
      <c r="J193" s="388">
        <f t="shared" si="16"/>
        <v>53</v>
      </c>
      <c r="K193" s="388" t="str">
        <f t="shared" si="17"/>
        <v/>
      </c>
      <c r="L193" s="388" t="str">
        <f t="shared" si="18"/>
        <v/>
      </c>
      <c r="M193" s="388" t="str">
        <f t="shared" si="19"/>
        <v/>
      </c>
      <c r="N193" s="389">
        <f t="shared" si="20"/>
        <v>53</v>
      </c>
    </row>
    <row r="194" spans="1:14" ht="13.5" customHeight="1" x14ac:dyDescent="0.25">
      <c r="A194" s="88" t="str">
        <f t="shared" si="13"/>
        <v>Auxiliar4</v>
      </c>
      <c r="B194" s="88"/>
      <c r="C194" s="88"/>
      <c r="D194" s="88" t="str">
        <f t="shared" si="14"/>
        <v>AA54</v>
      </c>
      <c r="E194" s="88" t="str">
        <f>IF(N194="",IF(J194="j",_xlfn.CONCAT("Load"," ",filename_cont,"1.sim"),IF(K194="k",_xlfn.CONCAT("Load"," ",Data!$W$57,".sim"),"")),"Get Data")</f>
        <v>Get Data</v>
      </c>
      <c r="F194" s="88" t="str">
        <f>CVD_Script_Table!$H$25</f>
        <v>Line</v>
      </c>
      <c r="G194" s="88"/>
      <c r="H194" s="88"/>
      <c r="I194" s="88" t="str">
        <f t="shared" si="15"/>
        <v>Attachmenttype[54]</v>
      </c>
      <c r="J194" s="388">
        <f t="shared" si="16"/>
        <v>54</v>
      </c>
      <c r="K194" s="388" t="str">
        <f t="shared" si="17"/>
        <v/>
      </c>
      <c r="L194" s="388" t="str">
        <f t="shared" si="18"/>
        <v/>
      </c>
      <c r="M194" s="388" t="str">
        <f t="shared" si="19"/>
        <v/>
      </c>
      <c r="N194" s="389">
        <f t="shared" si="20"/>
        <v>54</v>
      </c>
    </row>
    <row r="195" spans="1:14" ht="13.5" customHeight="1" x14ac:dyDescent="0.25">
      <c r="A195" s="88" t="str">
        <f t="shared" si="13"/>
        <v>Auxiliar4</v>
      </c>
      <c r="B195" s="88"/>
      <c r="C195" s="88"/>
      <c r="D195" s="88" t="str">
        <f t="shared" si="14"/>
        <v>AA55</v>
      </c>
      <c r="E195" s="88" t="str">
        <f>IF(N195="",IF(J195="j",_xlfn.CONCAT("Load"," ",filename_cont,"1.sim"),IF(K195="k",_xlfn.CONCAT("Load"," ",Data!$W$57,".sim"),"")),"Get Data")</f>
        <v>Get Data</v>
      </c>
      <c r="F195" s="88" t="str">
        <f>CVD_Script_Table!$H$25</f>
        <v>Line</v>
      </c>
      <c r="G195" s="88"/>
      <c r="H195" s="88"/>
      <c r="I195" s="88" t="str">
        <f t="shared" si="15"/>
        <v>Attachmenttype[55]</v>
      </c>
      <c r="J195" s="388">
        <f t="shared" si="16"/>
        <v>55</v>
      </c>
      <c r="K195" s="388" t="str">
        <f t="shared" si="17"/>
        <v/>
      </c>
      <c r="L195" s="388" t="str">
        <f t="shared" si="18"/>
        <v/>
      </c>
      <c r="M195" s="388" t="str">
        <f t="shared" si="19"/>
        <v/>
      </c>
      <c r="N195" s="389">
        <f t="shared" si="20"/>
        <v>55</v>
      </c>
    </row>
    <row r="196" spans="1:14" ht="13.5" customHeight="1" x14ac:dyDescent="0.25">
      <c r="A196" s="88" t="str">
        <f t="shared" si="13"/>
        <v>Auxiliar4</v>
      </c>
      <c r="B196" s="88"/>
      <c r="C196" s="88"/>
      <c r="D196" s="88" t="str">
        <f t="shared" si="14"/>
        <v>AA56</v>
      </c>
      <c r="E196" s="88" t="str">
        <f>IF(N196="",IF(J196="j",_xlfn.CONCAT("Load"," ",filename_cont,"1.sim"),IF(K196="k",_xlfn.CONCAT("Load"," ",Data!$W$57,".sim"),"")),"Get Data")</f>
        <v>Get Data</v>
      </c>
      <c r="F196" s="88" t="str">
        <f>CVD_Script_Table!$H$25</f>
        <v>Line</v>
      </c>
      <c r="G196" s="88"/>
      <c r="H196" s="88"/>
      <c r="I196" s="88" t="str">
        <f t="shared" si="15"/>
        <v>Attachmenttype[56]</v>
      </c>
      <c r="J196" s="388">
        <f t="shared" si="16"/>
        <v>56</v>
      </c>
      <c r="K196" s="388" t="str">
        <f t="shared" si="17"/>
        <v/>
      </c>
      <c r="L196" s="388" t="str">
        <f t="shared" si="18"/>
        <v/>
      </c>
      <c r="M196" s="388" t="str">
        <f t="shared" si="19"/>
        <v/>
      </c>
      <c r="N196" s="389">
        <f t="shared" si="20"/>
        <v>56</v>
      </c>
    </row>
    <row r="197" spans="1:14" ht="13.5" customHeight="1" x14ac:dyDescent="0.25">
      <c r="A197" s="88" t="str">
        <f t="shared" si="13"/>
        <v>Auxiliar4</v>
      </c>
      <c r="B197" s="88"/>
      <c r="C197" s="88"/>
      <c r="D197" s="88" t="str">
        <f t="shared" si="14"/>
        <v>AA57</v>
      </c>
      <c r="E197" s="88" t="str">
        <f>IF(N197="",IF(J197="j",_xlfn.CONCAT("Load"," ",filename_cont,"1.sim"),IF(K197="k",_xlfn.CONCAT("Load"," ",Data!$W$57,".sim"),"")),"Get Data")</f>
        <v>Get Data</v>
      </c>
      <c r="F197" s="88" t="str">
        <f>CVD_Script_Table!$H$25</f>
        <v>Line</v>
      </c>
      <c r="G197" s="88"/>
      <c r="H197" s="88"/>
      <c r="I197" s="88" t="str">
        <f t="shared" si="15"/>
        <v>Attachmenttype[57]</v>
      </c>
      <c r="J197" s="388">
        <f t="shared" si="16"/>
        <v>57</v>
      </c>
      <c r="K197" s="388" t="str">
        <f t="shared" si="17"/>
        <v/>
      </c>
      <c r="L197" s="388" t="str">
        <f t="shared" si="18"/>
        <v/>
      </c>
      <c r="M197" s="388" t="str">
        <f t="shared" si="19"/>
        <v/>
      </c>
      <c r="N197" s="389">
        <f t="shared" si="20"/>
        <v>57</v>
      </c>
    </row>
    <row r="198" spans="1:14" ht="13.5" customHeight="1" x14ac:dyDescent="0.25">
      <c r="A198" s="88" t="str">
        <f t="shared" si="13"/>
        <v>Auxiliar4</v>
      </c>
      <c r="B198" s="88"/>
      <c r="C198" s="88"/>
      <c r="D198" s="88" t="str">
        <f t="shared" si="14"/>
        <v>AA58</v>
      </c>
      <c r="E198" s="88" t="str">
        <f>IF(N198="",IF(J198="j",_xlfn.CONCAT("Load"," ",filename_cont,"1.sim"),IF(K198="k",_xlfn.CONCAT("Load"," ",Data!$W$57,".sim"),"")),"Get Data")</f>
        <v>Get Data</v>
      </c>
      <c r="F198" s="88" t="str">
        <f>CVD_Script_Table!$H$25</f>
        <v>Line</v>
      </c>
      <c r="G198" s="88"/>
      <c r="H198" s="88"/>
      <c r="I198" s="88" t="str">
        <f t="shared" si="15"/>
        <v>Attachmenttype[58]</v>
      </c>
      <c r="J198" s="388">
        <f t="shared" si="16"/>
        <v>58</v>
      </c>
      <c r="K198" s="388" t="str">
        <f t="shared" si="17"/>
        <v/>
      </c>
      <c r="L198" s="388" t="str">
        <f t="shared" si="18"/>
        <v/>
      </c>
      <c r="M198" s="388" t="str">
        <f t="shared" si="19"/>
        <v/>
      </c>
      <c r="N198" s="389">
        <f t="shared" si="20"/>
        <v>58</v>
      </c>
    </row>
    <row r="199" spans="1:14" ht="13.5" customHeight="1" x14ac:dyDescent="0.25">
      <c r="A199" s="88" t="str">
        <f t="shared" si="13"/>
        <v>Auxiliar4</v>
      </c>
      <c r="B199" s="88"/>
      <c r="C199" s="88"/>
      <c r="D199" s="88" t="str">
        <f t="shared" si="14"/>
        <v>AA59</v>
      </c>
      <c r="E199" s="88" t="str">
        <f>IF(N199="",IF(J199="j",_xlfn.CONCAT("Load"," ",filename_cont,"1.sim"),IF(K199="k",_xlfn.CONCAT("Load"," ",Data!$W$57,".sim"),"")),"Get Data")</f>
        <v>Get Data</v>
      </c>
      <c r="F199" s="88" t="str">
        <f>CVD_Script_Table!$H$25</f>
        <v>Line</v>
      </c>
      <c r="G199" s="88"/>
      <c r="H199" s="88"/>
      <c r="I199" s="88" t="str">
        <f t="shared" si="15"/>
        <v>Attachmenttype[59]</v>
      </c>
      <c r="J199" s="388">
        <f t="shared" si="16"/>
        <v>59</v>
      </c>
      <c r="K199" s="388" t="str">
        <f t="shared" si="17"/>
        <v/>
      </c>
      <c r="L199" s="388" t="str">
        <f t="shared" si="18"/>
        <v/>
      </c>
      <c r="M199" s="388" t="str">
        <f t="shared" si="19"/>
        <v/>
      </c>
      <c r="N199" s="389">
        <f t="shared" si="20"/>
        <v>59</v>
      </c>
    </row>
    <row r="200" spans="1:14" ht="13.5" customHeight="1" x14ac:dyDescent="0.25">
      <c r="A200" s="88" t="str">
        <f t="shared" si="13"/>
        <v>Auxiliar4</v>
      </c>
      <c r="B200" s="88"/>
      <c r="C200" s="88"/>
      <c r="D200" s="88" t="str">
        <f t="shared" si="14"/>
        <v>AA60</v>
      </c>
      <c r="E200" s="88" t="str">
        <f>IF(N200="",IF(J200="j",_xlfn.CONCAT("Load"," ",filename_cont,"1.sim"),IF(K200="k",_xlfn.CONCAT("Load"," ",Data!$W$57,".sim"),"")),"Get Data")</f>
        <v>Get Data</v>
      </c>
      <c r="F200" s="88" t="str">
        <f>CVD_Script_Table!$H$25</f>
        <v>Line</v>
      </c>
      <c r="G200" s="88"/>
      <c r="H200" s="88"/>
      <c r="I200" s="88" t="str">
        <f t="shared" si="15"/>
        <v>Attachmenttype[60]</v>
      </c>
      <c r="J200" s="388">
        <f t="shared" si="16"/>
        <v>60</v>
      </c>
      <c r="K200" s="388" t="str">
        <f t="shared" si="17"/>
        <v/>
      </c>
      <c r="L200" s="388" t="str">
        <f t="shared" si="18"/>
        <v/>
      </c>
      <c r="M200" s="388" t="str">
        <f t="shared" si="19"/>
        <v/>
      </c>
      <c r="N200" s="389">
        <f t="shared" si="20"/>
        <v>60</v>
      </c>
    </row>
    <row r="201" spans="1:14" ht="13.5" customHeight="1" x14ac:dyDescent="0.25">
      <c r="A201" s="88" t="str">
        <f t="shared" si="13"/>
        <v>Auxiliar4</v>
      </c>
      <c r="B201" s="88"/>
      <c r="C201" s="88"/>
      <c r="D201" s="88" t="str">
        <f t="shared" si="14"/>
        <v>AA61</v>
      </c>
      <c r="E201" s="88" t="str">
        <f>IF(N201="",IF(J201="j",_xlfn.CONCAT("Load"," ",filename_cont,"1.sim"),IF(K201="k",_xlfn.CONCAT("Load"," ",Data!$W$57,".sim"),"")),"Get Data")</f>
        <v>Get Data</v>
      </c>
      <c r="F201" s="88" t="str">
        <f>CVD_Script_Table!$H$25</f>
        <v>Line</v>
      </c>
      <c r="G201" s="88"/>
      <c r="H201" s="88"/>
      <c r="I201" s="88" t="str">
        <f t="shared" si="15"/>
        <v>Attachmenttype[61]</v>
      </c>
      <c r="J201" s="388">
        <f t="shared" si="16"/>
        <v>61</v>
      </c>
      <c r="K201" s="388" t="str">
        <f t="shared" si="17"/>
        <v/>
      </c>
      <c r="L201" s="388" t="str">
        <f t="shared" si="18"/>
        <v/>
      </c>
      <c r="M201" s="388" t="str">
        <f t="shared" si="19"/>
        <v/>
      </c>
      <c r="N201" s="389">
        <f t="shared" si="20"/>
        <v>61</v>
      </c>
    </row>
    <row r="202" spans="1:14" ht="13.5" customHeight="1" x14ac:dyDescent="0.25">
      <c r="A202" s="88" t="str">
        <f t="shared" si="13"/>
        <v>Auxiliar4</v>
      </c>
      <c r="B202" s="88"/>
      <c r="C202" s="88"/>
      <c r="D202" s="88" t="str">
        <f t="shared" si="14"/>
        <v>AA62</v>
      </c>
      <c r="E202" s="88" t="str">
        <f>IF(N202="",IF(J202="j",_xlfn.CONCAT("Load"," ",filename_cont,"1.sim"),IF(K202="k",_xlfn.CONCAT("Load"," ",Data!$W$57,".sim"),"")),"Get Data")</f>
        <v>Get Data</v>
      </c>
      <c r="F202" s="88" t="str">
        <f>CVD_Script_Table!$H$25</f>
        <v>Line</v>
      </c>
      <c r="G202" s="88"/>
      <c r="H202" s="88"/>
      <c r="I202" s="88" t="str">
        <f t="shared" si="15"/>
        <v>Attachmenttype[62]</v>
      </c>
      <c r="J202" s="388">
        <f t="shared" si="16"/>
        <v>62</v>
      </c>
      <c r="K202" s="388" t="str">
        <f t="shared" si="17"/>
        <v/>
      </c>
      <c r="L202" s="388" t="str">
        <f t="shared" si="18"/>
        <v/>
      </c>
      <c r="M202" s="388" t="str">
        <f t="shared" si="19"/>
        <v/>
      </c>
      <c r="N202" s="389">
        <f t="shared" si="20"/>
        <v>62</v>
      </c>
    </row>
    <row r="203" spans="1:14" ht="13.5" customHeight="1" x14ac:dyDescent="0.25">
      <c r="A203" s="88" t="str">
        <f t="shared" si="13"/>
        <v>Auxiliar4</v>
      </c>
      <c r="B203" s="88"/>
      <c r="C203" s="88"/>
      <c r="D203" s="88" t="str">
        <f t="shared" si="14"/>
        <v>AA63</v>
      </c>
      <c r="E203" s="88" t="str">
        <f>IF(N203="",IF(J203="j",_xlfn.CONCAT("Load"," ",filename_cont,"1.sim"),IF(K203="k",_xlfn.CONCAT("Load"," ",Data!$W$57,".sim"),"")),"Get Data")</f>
        <v>Get Data</v>
      </c>
      <c r="F203" s="88" t="str">
        <f>CVD_Script_Table!$H$25</f>
        <v>Line</v>
      </c>
      <c r="G203" s="88"/>
      <c r="H203" s="88"/>
      <c r="I203" s="88" t="str">
        <f t="shared" si="15"/>
        <v>Attachmenttype[63]</v>
      </c>
      <c r="J203" s="388">
        <f t="shared" si="16"/>
        <v>63</v>
      </c>
      <c r="K203" s="388" t="str">
        <f t="shared" si="17"/>
        <v/>
      </c>
      <c r="L203" s="388" t="str">
        <f t="shared" si="18"/>
        <v/>
      </c>
      <c r="M203" s="388" t="str">
        <f t="shared" si="19"/>
        <v/>
      </c>
      <c r="N203" s="389">
        <f t="shared" si="20"/>
        <v>63</v>
      </c>
    </row>
    <row r="204" spans="1:14" ht="13.5" customHeight="1" x14ac:dyDescent="0.25">
      <c r="A204" s="88" t="str">
        <f t="shared" si="13"/>
        <v>Auxiliar4</v>
      </c>
      <c r="B204" s="88"/>
      <c r="C204" s="88"/>
      <c r="D204" s="88" t="str">
        <f t="shared" si="14"/>
        <v>AA64</v>
      </c>
      <c r="E204" s="88" t="str">
        <f>IF(N204="",IF(J204="j",_xlfn.CONCAT("Load"," ",filename_cont,"1.sim"),IF(K204="k",_xlfn.CONCAT("Load"," ",Data!$W$57,".sim"),"")),"Get Data")</f>
        <v>Get Data</v>
      </c>
      <c r="F204" s="88" t="str">
        <f>CVD_Script_Table!$H$25</f>
        <v>Line</v>
      </c>
      <c r="G204" s="88"/>
      <c r="H204" s="88"/>
      <c r="I204" s="88" t="str">
        <f t="shared" si="15"/>
        <v>Attachmenttype[64]</v>
      </c>
      <c r="J204" s="388">
        <f t="shared" si="16"/>
        <v>64</v>
      </c>
      <c r="K204" s="388" t="str">
        <f t="shared" si="17"/>
        <v/>
      </c>
      <c r="L204" s="388" t="str">
        <f t="shared" si="18"/>
        <v/>
      </c>
      <c r="M204" s="388" t="str">
        <f t="shared" si="19"/>
        <v/>
      </c>
      <c r="N204" s="389">
        <f t="shared" si="20"/>
        <v>64</v>
      </c>
    </row>
    <row r="205" spans="1:14" ht="13.5" customHeight="1" x14ac:dyDescent="0.25">
      <c r="A205" s="88" t="str">
        <f t="shared" ref="A205:A268" si="21">IF(N205="","",IF(ISNUMBER(J205),"Auxiliar4",IF(ISNUMBER(K205),"Auxiliar3",IF(ISNUMBER(L205),"Auxiliar2",IF(ISNUMBER(M205),"Auxiliar2")))))</f>
        <v>Auxiliar4</v>
      </c>
      <c r="B205" s="88"/>
      <c r="C205" s="88"/>
      <c r="D205" s="88" t="str">
        <f t="shared" ref="D205:D268" si="22">IF(N205="z",CONCATENATE("AB",M205),IF(N205="","",CONCATENATE("AA",N205)))</f>
        <v>AA65</v>
      </c>
      <c r="E205" s="88" t="str">
        <f>IF(N205="",IF(J205="j",_xlfn.CONCAT("Load"," ",filename_cont,"1.sim"),IF(K205="k",_xlfn.CONCAT("Load"," ",Data!$W$57,".sim"),"")),"Get Data")</f>
        <v>Get Data</v>
      </c>
      <c r="F205" s="88" t="str">
        <f>CVD_Script_Table!$H$25</f>
        <v>Line</v>
      </c>
      <c r="G205" s="88"/>
      <c r="H205" s="88"/>
      <c r="I205" s="88" t="str">
        <f t="shared" ref="I205:I268" si="23">IF(N205="z",CONCATENATE("Attachmentz[",M205,"]"),IF(N205="","",CONCATENATE("Attachmenttype[",N205,"]")))</f>
        <v>Attachmenttype[65]</v>
      </c>
      <c r="J205" s="388">
        <f t="shared" ref="J205:J268" si="24">IFERROR(IF(J204="",J$9+1,IF(J204=J$139,"j",J204+1)),"jj")</f>
        <v>65</v>
      </c>
      <c r="K205" s="388" t="str">
        <f t="shared" ref="K205:K268" si="25">IF((J205="jj"),IFERROR(IF(K204="",J$9+1,IF(K204=J$130,"k",K204+1)),"kk"),"")</f>
        <v/>
      </c>
      <c r="L205" s="388" t="str">
        <f t="shared" ref="L205:L268" si="26">IF((K205="kk"),IFERROR(IF(L204="",2,IF(L204=J$9,"l",L204+1)),"ll"),"")</f>
        <v/>
      </c>
      <c r="M205" s="388" t="str">
        <f t="shared" ref="M205:M268" si="27">IF(OR(L205="l",L205="ll"),IFERROR(IF(M204="",2,IF(M204=J$9,"m",M204+1)),"mm"),"")</f>
        <v/>
      </c>
      <c r="N205" s="389">
        <f t="shared" ref="N205:N268" si="28">IF(ISNUMBER(M205),"z",IF(ISNUMBER(L205),L205,IF(ISNUMBER(K205),K205,IF(ISNUMBER(J205),J205,""))))</f>
        <v>65</v>
      </c>
    </row>
    <row r="206" spans="1:14" ht="13.5" customHeight="1" x14ac:dyDescent="0.25">
      <c r="A206" s="88" t="str">
        <f t="shared" si="21"/>
        <v>Auxiliar4</v>
      </c>
      <c r="B206" s="88"/>
      <c r="C206" s="88"/>
      <c r="D206" s="88" t="str">
        <f t="shared" si="22"/>
        <v>AA66</v>
      </c>
      <c r="E206" s="88" t="str">
        <f>IF(N206="",IF(J206="j",_xlfn.CONCAT("Load"," ",filename_cont,"1.sim"),IF(K206="k",_xlfn.CONCAT("Load"," ",Data!$W$57,".sim"),"")),"Get Data")</f>
        <v>Get Data</v>
      </c>
      <c r="F206" s="88" t="str">
        <f>CVD_Script_Table!$H$25</f>
        <v>Line</v>
      </c>
      <c r="G206" s="88"/>
      <c r="H206" s="88"/>
      <c r="I206" s="88" t="str">
        <f t="shared" si="23"/>
        <v>Attachmenttype[66]</v>
      </c>
      <c r="J206" s="388">
        <f t="shared" si="24"/>
        <v>66</v>
      </c>
      <c r="K206" s="388" t="str">
        <f t="shared" si="25"/>
        <v/>
      </c>
      <c r="L206" s="388" t="str">
        <f t="shared" si="26"/>
        <v/>
      </c>
      <c r="M206" s="388" t="str">
        <f t="shared" si="27"/>
        <v/>
      </c>
      <c r="N206" s="389">
        <f t="shared" si="28"/>
        <v>66</v>
      </c>
    </row>
    <row r="207" spans="1:14" ht="13.5" customHeight="1" x14ac:dyDescent="0.25">
      <c r="A207" s="88" t="str">
        <f t="shared" si="21"/>
        <v>Auxiliar4</v>
      </c>
      <c r="B207" s="88"/>
      <c r="C207" s="88"/>
      <c r="D207" s="88" t="str">
        <f t="shared" si="22"/>
        <v>AA67</v>
      </c>
      <c r="E207" s="88" t="str">
        <f>IF(N207="",IF(J207="j",_xlfn.CONCAT("Load"," ",filename_cont,"1.sim"),IF(K207="k",_xlfn.CONCAT("Load"," ",Data!$W$57,".sim"),"")),"Get Data")</f>
        <v>Get Data</v>
      </c>
      <c r="F207" s="88" t="str">
        <f>CVD_Script_Table!$H$25</f>
        <v>Line</v>
      </c>
      <c r="G207" s="88"/>
      <c r="H207" s="88"/>
      <c r="I207" s="88" t="str">
        <f t="shared" si="23"/>
        <v>Attachmenttype[67]</v>
      </c>
      <c r="J207" s="388">
        <f t="shared" si="24"/>
        <v>67</v>
      </c>
      <c r="K207" s="388" t="str">
        <f t="shared" si="25"/>
        <v/>
      </c>
      <c r="L207" s="388" t="str">
        <f t="shared" si="26"/>
        <v/>
      </c>
      <c r="M207" s="388" t="str">
        <f t="shared" si="27"/>
        <v/>
      </c>
      <c r="N207" s="389">
        <f t="shared" si="28"/>
        <v>67</v>
      </c>
    </row>
    <row r="208" spans="1:14" ht="13.5" customHeight="1" x14ac:dyDescent="0.25">
      <c r="A208" s="88" t="str">
        <f t="shared" si="21"/>
        <v>Auxiliar4</v>
      </c>
      <c r="B208" s="88"/>
      <c r="C208" s="88"/>
      <c r="D208" s="88" t="str">
        <f t="shared" si="22"/>
        <v>AA68</v>
      </c>
      <c r="E208" s="88" t="str">
        <f>IF(N208="",IF(J208="j",_xlfn.CONCAT("Load"," ",filename_cont,"1.sim"),IF(K208="k",_xlfn.CONCAT("Load"," ",Data!$W$57,".sim"),"")),"Get Data")</f>
        <v>Get Data</v>
      </c>
      <c r="F208" s="88" t="str">
        <f>CVD_Script_Table!$H$25</f>
        <v>Line</v>
      </c>
      <c r="G208" s="88"/>
      <c r="H208" s="88"/>
      <c r="I208" s="88" t="str">
        <f t="shared" si="23"/>
        <v>Attachmenttype[68]</v>
      </c>
      <c r="J208" s="388">
        <f t="shared" si="24"/>
        <v>68</v>
      </c>
      <c r="K208" s="388" t="str">
        <f t="shared" si="25"/>
        <v/>
      </c>
      <c r="L208" s="388" t="str">
        <f t="shared" si="26"/>
        <v/>
      </c>
      <c r="M208" s="388" t="str">
        <f t="shared" si="27"/>
        <v/>
      </c>
      <c r="N208" s="389">
        <f t="shared" si="28"/>
        <v>68</v>
      </c>
    </row>
    <row r="209" spans="1:14" ht="13.5" customHeight="1" x14ac:dyDescent="0.25">
      <c r="A209" s="88" t="str">
        <f t="shared" si="21"/>
        <v>Auxiliar4</v>
      </c>
      <c r="B209" s="88"/>
      <c r="C209" s="88"/>
      <c r="D209" s="88" t="str">
        <f t="shared" si="22"/>
        <v>AA69</v>
      </c>
      <c r="E209" s="88" t="str">
        <f>IF(N209="",IF(J209="j",_xlfn.CONCAT("Load"," ",filename_cont,"1.sim"),IF(K209="k",_xlfn.CONCAT("Load"," ",Data!$W$57,".sim"),"")),"Get Data")</f>
        <v>Get Data</v>
      </c>
      <c r="F209" s="88" t="str">
        <f>CVD_Script_Table!$H$25</f>
        <v>Line</v>
      </c>
      <c r="G209" s="88"/>
      <c r="H209" s="88"/>
      <c r="I209" s="88" t="str">
        <f t="shared" si="23"/>
        <v>Attachmenttype[69]</v>
      </c>
      <c r="J209" s="388">
        <f t="shared" si="24"/>
        <v>69</v>
      </c>
      <c r="K209" s="388" t="str">
        <f t="shared" si="25"/>
        <v/>
      </c>
      <c r="L209" s="388" t="str">
        <f t="shared" si="26"/>
        <v/>
      </c>
      <c r="M209" s="388" t="str">
        <f t="shared" si="27"/>
        <v/>
      </c>
      <c r="N209" s="389">
        <f t="shared" si="28"/>
        <v>69</v>
      </c>
    </row>
    <row r="210" spans="1:14" ht="13.5" customHeight="1" x14ac:dyDescent="0.25">
      <c r="A210" s="88" t="str">
        <f t="shared" si="21"/>
        <v>Auxiliar4</v>
      </c>
      <c r="B210" s="88"/>
      <c r="C210" s="88"/>
      <c r="D210" s="88" t="str">
        <f t="shared" si="22"/>
        <v>AA70</v>
      </c>
      <c r="E210" s="88" t="str">
        <f>IF(N210="",IF(J210="j",_xlfn.CONCAT("Load"," ",filename_cont,"1.sim"),IF(K210="k",_xlfn.CONCAT("Load"," ",Data!$W$57,".sim"),"")),"Get Data")</f>
        <v>Get Data</v>
      </c>
      <c r="F210" s="88" t="str">
        <f>CVD_Script_Table!$H$25</f>
        <v>Line</v>
      </c>
      <c r="G210" s="88"/>
      <c r="H210" s="88"/>
      <c r="I210" s="88" t="str">
        <f t="shared" si="23"/>
        <v>Attachmenttype[70]</v>
      </c>
      <c r="J210" s="388">
        <f t="shared" si="24"/>
        <v>70</v>
      </c>
      <c r="K210" s="388" t="str">
        <f t="shared" si="25"/>
        <v/>
      </c>
      <c r="L210" s="388" t="str">
        <f t="shared" si="26"/>
        <v/>
      </c>
      <c r="M210" s="388" t="str">
        <f t="shared" si="27"/>
        <v/>
      </c>
      <c r="N210" s="389">
        <f t="shared" si="28"/>
        <v>70</v>
      </c>
    </row>
    <row r="211" spans="1:14" ht="13.5" customHeight="1" x14ac:dyDescent="0.25">
      <c r="A211" s="88" t="str">
        <f t="shared" si="21"/>
        <v>Auxiliar4</v>
      </c>
      <c r="B211" s="88"/>
      <c r="C211" s="88"/>
      <c r="D211" s="88" t="str">
        <f t="shared" si="22"/>
        <v>AA71</v>
      </c>
      <c r="E211" s="88" t="str">
        <f>IF(N211="",IF(J211="j",_xlfn.CONCAT("Load"," ",filename_cont,"1.sim"),IF(K211="k",_xlfn.CONCAT("Load"," ",Data!$W$57,".sim"),"")),"Get Data")</f>
        <v>Get Data</v>
      </c>
      <c r="F211" s="88" t="str">
        <f>CVD_Script_Table!$H$25</f>
        <v>Line</v>
      </c>
      <c r="G211" s="88"/>
      <c r="H211" s="88"/>
      <c r="I211" s="88" t="str">
        <f t="shared" si="23"/>
        <v>Attachmenttype[71]</v>
      </c>
      <c r="J211" s="388">
        <f t="shared" si="24"/>
        <v>71</v>
      </c>
      <c r="K211" s="388" t="str">
        <f t="shared" si="25"/>
        <v/>
      </c>
      <c r="L211" s="388" t="str">
        <f t="shared" si="26"/>
        <v/>
      </c>
      <c r="M211" s="388" t="str">
        <f t="shared" si="27"/>
        <v/>
      </c>
      <c r="N211" s="389">
        <f t="shared" si="28"/>
        <v>71</v>
      </c>
    </row>
    <row r="212" spans="1:14" ht="13.5" customHeight="1" x14ac:dyDescent="0.25">
      <c r="A212" s="88" t="str">
        <f t="shared" si="21"/>
        <v>Auxiliar4</v>
      </c>
      <c r="B212" s="88"/>
      <c r="C212" s="88"/>
      <c r="D212" s="88" t="str">
        <f t="shared" si="22"/>
        <v>AA72</v>
      </c>
      <c r="E212" s="88" t="str">
        <f>IF(N212="",IF(J212="j",_xlfn.CONCAT("Load"," ",filename_cont,"1.sim"),IF(K212="k",_xlfn.CONCAT("Load"," ",Data!$W$57,".sim"),"")),"Get Data")</f>
        <v>Get Data</v>
      </c>
      <c r="F212" s="88" t="str">
        <f>CVD_Script_Table!$H$25</f>
        <v>Line</v>
      </c>
      <c r="G212" s="88"/>
      <c r="H212" s="88"/>
      <c r="I212" s="88" t="str">
        <f t="shared" si="23"/>
        <v>Attachmenttype[72]</v>
      </c>
      <c r="J212" s="388">
        <f t="shared" si="24"/>
        <v>72</v>
      </c>
      <c r="K212" s="388" t="str">
        <f t="shared" si="25"/>
        <v/>
      </c>
      <c r="L212" s="388" t="str">
        <f t="shared" si="26"/>
        <v/>
      </c>
      <c r="M212" s="388" t="str">
        <f t="shared" si="27"/>
        <v/>
      </c>
      <c r="N212" s="389">
        <f t="shared" si="28"/>
        <v>72</v>
      </c>
    </row>
    <row r="213" spans="1:14" ht="13.5" customHeight="1" x14ac:dyDescent="0.25">
      <c r="A213" s="88" t="str">
        <f t="shared" si="21"/>
        <v>Auxiliar4</v>
      </c>
      <c r="B213" s="88"/>
      <c r="C213" s="88"/>
      <c r="D213" s="88" t="str">
        <f t="shared" si="22"/>
        <v>AA73</v>
      </c>
      <c r="E213" s="88" t="str">
        <f>IF(N213="",IF(J213="j",_xlfn.CONCAT("Load"," ",filename_cont,"1.sim"),IF(K213="k",_xlfn.CONCAT("Load"," ",Data!$W$57,".sim"),"")),"Get Data")</f>
        <v>Get Data</v>
      </c>
      <c r="F213" s="88" t="str">
        <f>CVD_Script_Table!$H$25</f>
        <v>Line</v>
      </c>
      <c r="G213" s="88"/>
      <c r="H213" s="88"/>
      <c r="I213" s="88" t="str">
        <f t="shared" si="23"/>
        <v>Attachmenttype[73]</v>
      </c>
      <c r="J213" s="388">
        <f t="shared" si="24"/>
        <v>73</v>
      </c>
      <c r="K213" s="388" t="str">
        <f t="shared" si="25"/>
        <v/>
      </c>
      <c r="L213" s="388" t="str">
        <f t="shared" si="26"/>
        <v/>
      </c>
      <c r="M213" s="388" t="str">
        <f t="shared" si="27"/>
        <v/>
      </c>
      <c r="N213" s="389">
        <f t="shared" si="28"/>
        <v>73</v>
      </c>
    </row>
    <row r="214" spans="1:14" ht="13.5" customHeight="1" x14ac:dyDescent="0.25">
      <c r="A214" s="88" t="str">
        <f t="shared" si="21"/>
        <v>Auxiliar4</v>
      </c>
      <c r="B214" s="88"/>
      <c r="C214" s="88"/>
      <c r="D214" s="88" t="str">
        <f t="shared" si="22"/>
        <v>AA74</v>
      </c>
      <c r="E214" s="88" t="str">
        <f>IF(N214="",IF(J214="j",_xlfn.CONCAT("Load"," ",filename_cont,"1.sim"),IF(K214="k",_xlfn.CONCAT("Load"," ",Data!$W$57,".sim"),"")),"Get Data")</f>
        <v>Get Data</v>
      </c>
      <c r="F214" s="88" t="str">
        <f>CVD_Script_Table!$H$25</f>
        <v>Line</v>
      </c>
      <c r="G214" s="88"/>
      <c r="H214" s="88"/>
      <c r="I214" s="88" t="str">
        <f t="shared" si="23"/>
        <v>Attachmenttype[74]</v>
      </c>
      <c r="J214" s="388">
        <f t="shared" si="24"/>
        <v>74</v>
      </c>
      <c r="K214" s="388" t="str">
        <f t="shared" si="25"/>
        <v/>
      </c>
      <c r="L214" s="388" t="str">
        <f t="shared" si="26"/>
        <v/>
      </c>
      <c r="M214" s="388" t="str">
        <f t="shared" si="27"/>
        <v/>
      </c>
      <c r="N214" s="389">
        <f t="shared" si="28"/>
        <v>74</v>
      </c>
    </row>
    <row r="215" spans="1:14" ht="13.5" customHeight="1" x14ac:dyDescent="0.25">
      <c r="A215" s="88" t="str">
        <f t="shared" si="21"/>
        <v>Auxiliar4</v>
      </c>
      <c r="B215" s="88"/>
      <c r="C215" s="88"/>
      <c r="D215" s="88" t="str">
        <f t="shared" si="22"/>
        <v>AA75</v>
      </c>
      <c r="E215" s="88" t="str">
        <f>IF(N215="",IF(J215="j",_xlfn.CONCAT("Load"," ",filename_cont,"1.sim"),IF(K215="k",_xlfn.CONCAT("Load"," ",Data!$W$57,".sim"),"")),"Get Data")</f>
        <v>Get Data</v>
      </c>
      <c r="F215" s="88" t="str">
        <f>CVD_Script_Table!$H$25</f>
        <v>Line</v>
      </c>
      <c r="G215" s="88"/>
      <c r="H215" s="88"/>
      <c r="I215" s="88" t="str">
        <f t="shared" si="23"/>
        <v>Attachmenttype[75]</v>
      </c>
      <c r="J215" s="388">
        <f t="shared" si="24"/>
        <v>75</v>
      </c>
      <c r="K215" s="388" t="str">
        <f t="shared" si="25"/>
        <v/>
      </c>
      <c r="L215" s="388" t="str">
        <f t="shared" si="26"/>
        <v/>
      </c>
      <c r="M215" s="388" t="str">
        <f t="shared" si="27"/>
        <v/>
      </c>
      <c r="N215" s="389">
        <f t="shared" si="28"/>
        <v>75</v>
      </c>
    </row>
    <row r="216" spans="1:14" ht="13.5" customHeight="1" x14ac:dyDescent="0.25">
      <c r="A216" s="88" t="str">
        <f t="shared" si="21"/>
        <v>Auxiliar4</v>
      </c>
      <c r="B216" s="88"/>
      <c r="C216" s="88"/>
      <c r="D216" s="88" t="str">
        <f t="shared" si="22"/>
        <v>AA76</v>
      </c>
      <c r="E216" s="88" t="str">
        <f>IF(N216="",IF(J216="j",_xlfn.CONCAT("Load"," ",filename_cont,"1.sim"),IF(K216="k",_xlfn.CONCAT("Load"," ",Data!$W$57,".sim"),"")),"Get Data")</f>
        <v>Get Data</v>
      </c>
      <c r="F216" s="88" t="str">
        <f>CVD_Script_Table!$H$25</f>
        <v>Line</v>
      </c>
      <c r="G216" s="88"/>
      <c r="H216" s="88"/>
      <c r="I216" s="88" t="str">
        <f t="shared" si="23"/>
        <v>Attachmenttype[76]</v>
      </c>
      <c r="J216" s="388">
        <f t="shared" si="24"/>
        <v>76</v>
      </c>
      <c r="K216" s="388" t="str">
        <f t="shared" si="25"/>
        <v/>
      </c>
      <c r="L216" s="388" t="str">
        <f t="shared" si="26"/>
        <v/>
      </c>
      <c r="M216" s="388" t="str">
        <f t="shared" si="27"/>
        <v/>
      </c>
      <c r="N216" s="389">
        <f t="shared" si="28"/>
        <v>76</v>
      </c>
    </row>
    <row r="217" spans="1:14" ht="13.5" customHeight="1" x14ac:dyDescent="0.25">
      <c r="A217" s="88" t="str">
        <f t="shared" si="21"/>
        <v>Auxiliar4</v>
      </c>
      <c r="B217" s="88"/>
      <c r="C217" s="88"/>
      <c r="D217" s="88" t="str">
        <f t="shared" si="22"/>
        <v>AA77</v>
      </c>
      <c r="E217" s="88" t="str">
        <f>IF(N217="",IF(J217="j",_xlfn.CONCAT("Load"," ",filename_cont,"1.sim"),IF(K217="k",_xlfn.CONCAT("Load"," ",Data!$W$57,".sim"),"")),"Get Data")</f>
        <v>Get Data</v>
      </c>
      <c r="F217" s="88" t="str">
        <f>CVD_Script_Table!$H$25</f>
        <v>Line</v>
      </c>
      <c r="G217" s="88"/>
      <c r="H217" s="88"/>
      <c r="I217" s="88" t="str">
        <f t="shared" si="23"/>
        <v>Attachmenttype[77]</v>
      </c>
      <c r="J217" s="388">
        <f t="shared" si="24"/>
        <v>77</v>
      </c>
      <c r="K217" s="388" t="str">
        <f t="shared" si="25"/>
        <v/>
      </c>
      <c r="L217" s="388" t="str">
        <f t="shared" si="26"/>
        <v/>
      </c>
      <c r="M217" s="388" t="str">
        <f t="shared" si="27"/>
        <v/>
      </c>
      <c r="N217" s="389">
        <f t="shared" si="28"/>
        <v>77</v>
      </c>
    </row>
    <row r="218" spans="1:14" ht="13.5" customHeight="1" x14ac:dyDescent="0.25">
      <c r="A218" s="88" t="str">
        <f t="shared" si="21"/>
        <v>Auxiliar4</v>
      </c>
      <c r="B218" s="88"/>
      <c r="C218" s="88"/>
      <c r="D218" s="88" t="str">
        <f t="shared" si="22"/>
        <v>AA78</v>
      </c>
      <c r="E218" s="88" t="str">
        <f>IF(N218="",IF(J218="j",_xlfn.CONCAT("Load"," ",filename_cont,"1.sim"),IF(K218="k",_xlfn.CONCAT("Load"," ",Data!$W$57,".sim"),"")),"Get Data")</f>
        <v>Get Data</v>
      </c>
      <c r="F218" s="88" t="str">
        <f>CVD_Script_Table!$H$25</f>
        <v>Line</v>
      </c>
      <c r="G218" s="88"/>
      <c r="H218" s="88"/>
      <c r="I218" s="88" t="str">
        <f t="shared" si="23"/>
        <v>Attachmenttype[78]</v>
      </c>
      <c r="J218" s="388">
        <f t="shared" si="24"/>
        <v>78</v>
      </c>
      <c r="K218" s="388" t="str">
        <f t="shared" si="25"/>
        <v/>
      </c>
      <c r="L218" s="388" t="str">
        <f t="shared" si="26"/>
        <v/>
      </c>
      <c r="M218" s="388" t="str">
        <f t="shared" si="27"/>
        <v/>
      </c>
      <c r="N218" s="389">
        <f t="shared" si="28"/>
        <v>78</v>
      </c>
    </row>
    <row r="219" spans="1:14" ht="13.5" customHeight="1" x14ac:dyDescent="0.25">
      <c r="A219" s="88" t="str">
        <f t="shared" si="21"/>
        <v>Auxiliar4</v>
      </c>
      <c r="B219" s="88"/>
      <c r="C219" s="88"/>
      <c r="D219" s="88" t="str">
        <f t="shared" si="22"/>
        <v>AA79</v>
      </c>
      <c r="E219" s="88" t="str">
        <f>IF(N219="",IF(J219="j",_xlfn.CONCAT("Load"," ",filename_cont,"1.sim"),IF(K219="k",_xlfn.CONCAT("Load"," ",Data!$W$57,".sim"),"")),"Get Data")</f>
        <v>Get Data</v>
      </c>
      <c r="F219" s="88" t="str">
        <f>CVD_Script_Table!$H$25</f>
        <v>Line</v>
      </c>
      <c r="G219" s="88"/>
      <c r="H219" s="88"/>
      <c r="I219" s="88" t="str">
        <f t="shared" si="23"/>
        <v>Attachmenttype[79]</v>
      </c>
      <c r="J219" s="388">
        <f t="shared" si="24"/>
        <v>79</v>
      </c>
      <c r="K219" s="388" t="str">
        <f t="shared" si="25"/>
        <v/>
      </c>
      <c r="L219" s="388" t="str">
        <f t="shared" si="26"/>
        <v/>
      </c>
      <c r="M219" s="388" t="str">
        <f t="shared" si="27"/>
        <v/>
      </c>
      <c r="N219" s="389">
        <f t="shared" si="28"/>
        <v>79</v>
      </c>
    </row>
    <row r="220" spans="1:14" ht="13.5" customHeight="1" x14ac:dyDescent="0.25">
      <c r="A220" s="88" t="str">
        <f t="shared" si="21"/>
        <v>Auxiliar4</v>
      </c>
      <c r="B220" s="88"/>
      <c r="C220" s="88"/>
      <c r="D220" s="88" t="str">
        <f t="shared" si="22"/>
        <v>AA80</v>
      </c>
      <c r="E220" s="88" t="str">
        <f>IF(N220="",IF(J220="j",_xlfn.CONCAT("Load"," ",filename_cont,"1.sim"),IF(K220="k",_xlfn.CONCAT("Load"," ",Data!$W$57,".sim"),"")),"Get Data")</f>
        <v>Get Data</v>
      </c>
      <c r="F220" s="88" t="str">
        <f>CVD_Script_Table!$H$25</f>
        <v>Line</v>
      </c>
      <c r="G220" s="88"/>
      <c r="H220" s="88"/>
      <c r="I220" s="88" t="str">
        <f t="shared" si="23"/>
        <v>Attachmenttype[80]</v>
      </c>
      <c r="J220" s="388">
        <f t="shared" si="24"/>
        <v>80</v>
      </c>
      <c r="K220" s="388" t="str">
        <f t="shared" si="25"/>
        <v/>
      </c>
      <c r="L220" s="388" t="str">
        <f t="shared" si="26"/>
        <v/>
      </c>
      <c r="M220" s="388" t="str">
        <f t="shared" si="27"/>
        <v/>
      </c>
      <c r="N220" s="389">
        <f t="shared" si="28"/>
        <v>80</v>
      </c>
    </row>
    <row r="221" spans="1:14" ht="13.5" customHeight="1" x14ac:dyDescent="0.25">
      <c r="A221" s="88" t="str">
        <f t="shared" si="21"/>
        <v>Auxiliar4</v>
      </c>
      <c r="B221" s="88"/>
      <c r="C221" s="88"/>
      <c r="D221" s="88" t="str">
        <f t="shared" si="22"/>
        <v>AA81</v>
      </c>
      <c r="E221" s="88" t="str">
        <f>IF(N221="",IF(J221="j",_xlfn.CONCAT("Load"," ",filename_cont,"1.sim"),IF(K221="k",_xlfn.CONCAT("Load"," ",Data!$W$57,".sim"),"")),"Get Data")</f>
        <v>Get Data</v>
      </c>
      <c r="F221" s="88" t="str">
        <f>CVD_Script_Table!$H$25</f>
        <v>Line</v>
      </c>
      <c r="G221" s="88"/>
      <c r="H221" s="88"/>
      <c r="I221" s="88" t="str">
        <f t="shared" si="23"/>
        <v>Attachmenttype[81]</v>
      </c>
      <c r="J221" s="388">
        <f t="shared" si="24"/>
        <v>81</v>
      </c>
      <c r="K221" s="388" t="str">
        <f t="shared" si="25"/>
        <v/>
      </c>
      <c r="L221" s="388" t="str">
        <f t="shared" si="26"/>
        <v/>
      </c>
      <c r="M221" s="388" t="str">
        <f t="shared" si="27"/>
        <v/>
      </c>
      <c r="N221" s="389">
        <f t="shared" si="28"/>
        <v>81</v>
      </c>
    </row>
    <row r="222" spans="1:14" ht="13.5" customHeight="1" x14ac:dyDescent="0.25">
      <c r="A222" s="88" t="str">
        <f t="shared" si="21"/>
        <v>Auxiliar4</v>
      </c>
      <c r="B222" s="88"/>
      <c r="C222" s="88"/>
      <c r="D222" s="88" t="str">
        <f t="shared" si="22"/>
        <v>AA82</v>
      </c>
      <c r="E222" s="88" t="str">
        <f>IF(N222="",IF(J222="j",_xlfn.CONCAT("Load"," ",filename_cont,"1.sim"),IF(K222="k",_xlfn.CONCAT("Load"," ",Data!$W$57,".sim"),"")),"Get Data")</f>
        <v>Get Data</v>
      </c>
      <c r="F222" s="88" t="str">
        <f>CVD_Script_Table!$H$25</f>
        <v>Line</v>
      </c>
      <c r="G222" s="88"/>
      <c r="H222" s="88"/>
      <c r="I222" s="88" t="str">
        <f t="shared" si="23"/>
        <v>Attachmenttype[82]</v>
      </c>
      <c r="J222" s="388">
        <f t="shared" si="24"/>
        <v>82</v>
      </c>
      <c r="K222" s="388" t="str">
        <f t="shared" si="25"/>
        <v/>
      </c>
      <c r="L222" s="388" t="str">
        <f t="shared" si="26"/>
        <v/>
      </c>
      <c r="M222" s="388" t="str">
        <f t="shared" si="27"/>
        <v/>
      </c>
      <c r="N222" s="389">
        <f t="shared" si="28"/>
        <v>82</v>
      </c>
    </row>
    <row r="223" spans="1:14" ht="13.5" customHeight="1" x14ac:dyDescent="0.25">
      <c r="A223" s="88" t="str">
        <f t="shared" si="21"/>
        <v>Auxiliar4</v>
      </c>
      <c r="B223" s="88"/>
      <c r="C223" s="88"/>
      <c r="D223" s="88" t="str">
        <f t="shared" si="22"/>
        <v>AA83</v>
      </c>
      <c r="E223" s="88" t="str">
        <f>IF(N223="",IF(J223="j",_xlfn.CONCAT("Load"," ",filename_cont,"1.sim"),IF(K223="k",_xlfn.CONCAT("Load"," ",Data!$W$57,".sim"),"")),"Get Data")</f>
        <v>Get Data</v>
      </c>
      <c r="F223" s="88" t="str">
        <f>CVD_Script_Table!$H$25</f>
        <v>Line</v>
      </c>
      <c r="G223" s="88"/>
      <c r="H223" s="88"/>
      <c r="I223" s="88" t="str">
        <f t="shared" si="23"/>
        <v>Attachmenttype[83]</v>
      </c>
      <c r="J223" s="388">
        <f t="shared" si="24"/>
        <v>83</v>
      </c>
      <c r="K223" s="388" t="str">
        <f t="shared" si="25"/>
        <v/>
      </c>
      <c r="L223" s="388" t="str">
        <f t="shared" si="26"/>
        <v/>
      </c>
      <c r="M223" s="388" t="str">
        <f t="shared" si="27"/>
        <v/>
      </c>
      <c r="N223" s="389">
        <f t="shared" si="28"/>
        <v>83</v>
      </c>
    </row>
    <row r="224" spans="1:14" ht="13.5" customHeight="1" x14ac:dyDescent="0.25">
      <c r="A224" s="88" t="str">
        <f t="shared" si="21"/>
        <v>Auxiliar4</v>
      </c>
      <c r="B224" s="88"/>
      <c r="C224" s="88"/>
      <c r="D224" s="88" t="str">
        <f t="shared" si="22"/>
        <v>AA84</v>
      </c>
      <c r="E224" s="88" t="str">
        <f>IF(N224="",IF(J224="j",_xlfn.CONCAT("Load"," ",filename_cont,"1.sim"),IF(K224="k",_xlfn.CONCAT("Load"," ",Data!$W$57,".sim"),"")),"Get Data")</f>
        <v>Get Data</v>
      </c>
      <c r="F224" s="88" t="str">
        <f>CVD_Script_Table!$H$25</f>
        <v>Line</v>
      </c>
      <c r="G224" s="88"/>
      <c r="H224" s="88"/>
      <c r="I224" s="88" t="str">
        <f t="shared" si="23"/>
        <v>Attachmenttype[84]</v>
      </c>
      <c r="J224" s="388">
        <f t="shared" si="24"/>
        <v>84</v>
      </c>
      <c r="K224" s="388" t="str">
        <f t="shared" si="25"/>
        <v/>
      </c>
      <c r="L224" s="388" t="str">
        <f t="shared" si="26"/>
        <v/>
      </c>
      <c r="M224" s="388" t="str">
        <f t="shared" si="27"/>
        <v/>
      </c>
      <c r="N224" s="389">
        <f t="shared" si="28"/>
        <v>84</v>
      </c>
    </row>
    <row r="225" spans="1:14" ht="13.5" customHeight="1" x14ac:dyDescent="0.25">
      <c r="A225" s="88" t="str">
        <f t="shared" si="21"/>
        <v>Auxiliar4</v>
      </c>
      <c r="B225" s="88"/>
      <c r="C225" s="88"/>
      <c r="D225" s="88" t="str">
        <f t="shared" si="22"/>
        <v>AA85</v>
      </c>
      <c r="E225" s="88" t="str">
        <f>IF(N225="",IF(J225="j",_xlfn.CONCAT("Load"," ",filename_cont,"1.sim"),IF(K225="k",_xlfn.CONCAT("Load"," ",Data!$W$57,".sim"),"")),"Get Data")</f>
        <v>Get Data</v>
      </c>
      <c r="F225" s="88" t="str">
        <f>CVD_Script_Table!$H$25</f>
        <v>Line</v>
      </c>
      <c r="G225" s="88"/>
      <c r="H225" s="88"/>
      <c r="I225" s="88" t="str">
        <f t="shared" si="23"/>
        <v>Attachmenttype[85]</v>
      </c>
      <c r="J225" s="388">
        <f t="shared" si="24"/>
        <v>85</v>
      </c>
      <c r="K225" s="388" t="str">
        <f t="shared" si="25"/>
        <v/>
      </c>
      <c r="L225" s="388" t="str">
        <f t="shared" si="26"/>
        <v/>
      </c>
      <c r="M225" s="388" t="str">
        <f t="shared" si="27"/>
        <v/>
      </c>
      <c r="N225" s="389">
        <f t="shared" si="28"/>
        <v>85</v>
      </c>
    </row>
    <row r="226" spans="1:14" ht="13.5" customHeight="1" x14ac:dyDescent="0.25">
      <c r="A226" s="88" t="str">
        <f t="shared" si="21"/>
        <v>Auxiliar4</v>
      </c>
      <c r="B226" s="88"/>
      <c r="C226" s="88"/>
      <c r="D226" s="88" t="str">
        <f t="shared" si="22"/>
        <v>AA86</v>
      </c>
      <c r="E226" s="88" t="str">
        <f>IF(N226="",IF(J226="j",_xlfn.CONCAT("Load"," ",filename_cont,"1.sim"),IF(K226="k",_xlfn.CONCAT("Load"," ",Data!$W$57,".sim"),"")),"Get Data")</f>
        <v>Get Data</v>
      </c>
      <c r="F226" s="88" t="str">
        <f>CVD_Script_Table!$H$25</f>
        <v>Line</v>
      </c>
      <c r="G226" s="88"/>
      <c r="H226" s="88"/>
      <c r="I226" s="88" t="str">
        <f t="shared" si="23"/>
        <v>Attachmenttype[86]</v>
      </c>
      <c r="J226" s="388">
        <f t="shared" si="24"/>
        <v>86</v>
      </c>
      <c r="K226" s="388" t="str">
        <f t="shared" si="25"/>
        <v/>
      </c>
      <c r="L226" s="388" t="str">
        <f t="shared" si="26"/>
        <v/>
      </c>
      <c r="M226" s="388" t="str">
        <f t="shared" si="27"/>
        <v/>
      </c>
      <c r="N226" s="389">
        <f t="shared" si="28"/>
        <v>86</v>
      </c>
    </row>
    <row r="227" spans="1:14" ht="13.5" customHeight="1" x14ac:dyDescent="0.25">
      <c r="A227" s="88" t="str">
        <f t="shared" si="21"/>
        <v>Auxiliar4</v>
      </c>
      <c r="B227" s="88"/>
      <c r="C227" s="88"/>
      <c r="D227" s="88" t="str">
        <f t="shared" si="22"/>
        <v>AA87</v>
      </c>
      <c r="E227" s="88" t="str">
        <f>IF(N227="",IF(J227="j",_xlfn.CONCAT("Load"," ",filename_cont,"1.sim"),IF(K227="k",_xlfn.CONCAT("Load"," ",Data!$W$57,".sim"),"")),"Get Data")</f>
        <v>Get Data</v>
      </c>
      <c r="F227" s="88" t="str">
        <f>CVD_Script_Table!$H$25</f>
        <v>Line</v>
      </c>
      <c r="G227" s="88"/>
      <c r="H227" s="88"/>
      <c r="I227" s="88" t="str">
        <f t="shared" si="23"/>
        <v>Attachmenttype[87]</v>
      </c>
      <c r="J227" s="388">
        <f t="shared" si="24"/>
        <v>87</v>
      </c>
      <c r="K227" s="388" t="str">
        <f t="shared" si="25"/>
        <v/>
      </c>
      <c r="L227" s="388" t="str">
        <f t="shared" si="26"/>
        <v/>
      </c>
      <c r="M227" s="388" t="str">
        <f t="shared" si="27"/>
        <v/>
      </c>
      <c r="N227" s="389">
        <f t="shared" si="28"/>
        <v>87</v>
      </c>
    </row>
    <row r="228" spans="1:14" ht="13.5" customHeight="1" x14ac:dyDescent="0.25">
      <c r="A228" s="88" t="str">
        <f t="shared" si="21"/>
        <v>Auxiliar4</v>
      </c>
      <c r="B228" s="88"/>
      <c r="C228" s="88"/>
      <c r="D228" s="88" t="str">
        <f t="shared" si="22"/>
        <v>AA88</v>
      </c>
      <c r="E228" s="88" t="str">
        <f>IF(N228="",IF(J228="j",_xlfn.CONCAT("Load"," ",filename_cont,"1.sim"),IF(K228="k",_xlfn.CONCAT("Load"," ",Data!$W$57,".sim"),"")),"Get Data")</f>
        <v>Get Data</v>
      </c>
      <c r="F228" s="88" t="str">
        <f>CVD_Script_Table!$H$25</f>
        <v>Line</v>
      </c>
      <c r="G228" s="88"/>
      <c r="H228" s="88"/>
      <c r="I228" s="88" t="str">
        <f t="shared" si="23"/>
        <v>Attachmenttype[88]</v>
      </c>
      <c r="J228" s="388">
        <f t="shared" si="24"/>
        <v>88</v>
      </c>
      <c r="K228" s="388" t="str">
        <f t="shared" si="25"/>
        <v/>
      </c>
      <c r="L228" s="388" t="str">
        <f t="shared" si="26"/>
        <v/>
      </c>
      <c r="M228" s="388" t="str">
        <f t="shared" si="27"/>
        <v/>
      </c>
      <c r="N228" s="389">
        <f t="shared" si="28"/>
        <v>88</v>
      </c>
    </row>
    <row r="229" spans="1:14" ht="13.5" customHeight="1" x14ac:dyDescent="0.25">
      <c r="A229" s="88" t="str">
        <f t="shared" si="21"/>
        <v>Auxiliar4</v>
      </c>
      <c r="B229" s="88"/>
      <c r="C229" s="88"/>
      <c r="D229" s="88" t="str">
        <f t="shared" si="22"/>
        <v>AA89</v>
      </c>
      <c r="E229" s="88" t="str">
        <f>IF(N229="",IF(J229="j",_xlfn.CONCAT("Load"," ",filename_cont,"1.sim"),IF(K229="k",_xlfn.CONCAT("Load"," ",Data!$W$57,".sim"),"")),"Get Data")</f>
        <v>Get Data</v>
      </c>
      <c r="F229" s="88" t="str">
        <f>CVD_Script_Table!$H$25</f>
        <v>Line</v>
      </c>
      <c r="G229" s="88"/>
      <c r="H229" s="88"/>
      <c r="I229" s="88" t="str">
        <f t="shared" si="23"/>
        <v>Attachmenttype[89]</v>
      </c>
      <c r="J229" s="388">
        <f t="shared" si="24"/>
        <v>89</v>
      </c>
      <c r="K229" s="388" t="str">
        <f t="shared" si="25"/>
        <v/>
      </c>
      <c r="L229" s="388" t="str">
        <f t="shared" si="26"/>
        <v/>
      </c>
      <c r="M229" s="388" t="str">
        <f t="shared" si="27"/>
        <v/>
      </c>
      <c r="N229" s="389">
        <f t="shared" si="28"/>
        <v>89</v>
      </c>
    </row>
    <row r="230" spans="1:14" ht="13.5" customHeight="1" x14ac:dyDescent="0.25">
      <c r="A230" s="88" t="str">
        <f t="shared" si="21"/>
        <v>Auxiliar4</v>
      </c>
      <c r="B230" s="88"/>
      <c r="C230" s="88"/>
      <c r="D230" s="88" t="str">
        <f t="shared" si="22"/>
        <v>AA90</v>
      </c>
      <c r="E230" s="88" t="str">
        <f>IF(N230="",IF(J230="j",_xlfn.CONCAT("Load"," ",filename_cont,"1.sim"),IF(K230="k",_xlfn.CONCAT("Load"," ",Data!$W$57,".sim"),"")),"Get Data")</f>
        <v>Get Data</v>
      </c>
      <c r="F230" s="88" t="str">
        <f>CVD_Script_Table!$H$25</f>
        <v>Line</v>
      </c>
      <c r="G230" s="88"/>
      <c r="H230" s="88"/>
      <c r="I230" s="88" t="str">
        <f t="shared" si="23"/>
        <v>Attachmenttype[90]</v>
      </c>
      <c r="J230" s="388">
        <f t="shared" si="24"/>
        <v>90</v>
      </c>
      <c r="K230" s="388" t="str">
        <f t="shared" si="25"/>
        <v/>
      </c>
      <c r="L230" s="388" t="str">
        <f t="shared" si="26"/>
        <v/>
      </c>
      <c r="M230" s="388" t="str">
        <f t="shared" si="27"/>
        <v/>
      </c>
      <c r="N230" s="389">
        <f t="shared" si="28"/>
        <v>90</v>
      </c>
    </row>
    <row r="231" spans="1:14" ht="13.5" customHeight="1" x14ac:dyDescent="0.25">
      <c r="A231" s="88" t="str">
        <f t="shared" si="21"/>
        <v>Auxiliar4</v>
      </c>
      <c r="B231" s="88"/>
      <c r="C231" s="88"/>
      <c r="D231" s="88" t="str">
        <f t="shared" si="22"/>
        <v>AA91</v>
      </c>
      <c r="E231" s="88" t="str">
        <f>IF(N231="",IF(J231="j",_xlfn.CONCAT("Load"," ",filename_cont,"1.sim"),IF(K231="k",_xlfn.CONCAT("Load"," ",Data!$W$57,".sim"),"")),"Get Data")</f>
        <v>Get Data</v>
      </c>
      <c r="F231" s="88" t="str">
        <f>CVD_Script_Table!$H$25</f>
        <v>Line</v>
      </c>
      <c r="G231" s="88"/>
      <c r="H231" s="88"/>
      <c r="I231" s="88" t="str">
        <f t="shared" si="23"/>
        <v>Attachmenttype[91]</v>
      </c>
      <c r="J231" s="388">
        <f t="shared" si="24"/>
        <v>91</v>
      </c>
      <c r="K231" s="388" t="str">
        <f t="shared" si="25"/>
        <v/>
      </c>
      <c r="L231" s="388" t="str">
        <f t="shared" si="26"/>
        <v/>
      </c>
      <c r="M231" s="388" t="str">
        <f t="shared" si="27"/>
        <v/>
      </c>
      <c r="N231" s="389">
        <f t="shared" si="28"/>
        <v>91</v>
      </c>
    </row>
    <row r="232" spans="1:14" ht="13.5" customHeight="1" x14ac:dyDescent="0.25">
      <c r="A232" s="88" t="str">
        <f t="shared" si="21"/>
        <v>Auxiliar4</v>
      </c>
      <c r="B232" s="88"/>
      <c r="C232" s="88"/>
      <c r="D232" s="88" t="str">
        <f t="shared" si="22"/>
        <v>AA92</v>
      </c>
      <c r="E232" s="88" t="str">
        <f>IF(N232="",IF(J232="j",_xlfn.CONCAT("Load"," ",filename_cont,"1.sim"),IF(K232="k",_xlfn.CONCAT("Load"," ",Data!$W$57,".sim"),"")),"Get Data")</f>
        <v>Get Data</v>
      </c>
      <c r="F232" s="88" t="str">
        <f>CVD_Script_Table!$H$25</f>
        <v>Line</v>
      </c>
      <c r="G232" s="88"/>
      <c r="H232" s="88"/>
      <c r="I232" s="88" t="str">
        <f t="shared" si="23"/>
        <v>Attachmenttype[92]</v>
      </c>
      <c r="J232" s="388">
        <f t="shared" si="24"/>
        <v>92</v>
      </c>
      <c r="K232" s="388" t="str">
        <f t="shared" si="25"/>
        <v/>
      </c>
      <c r="L232" s="388" t="str">
        <f t="shared" si="26"/>
        <v/>
      </c>
      <c r="M232" s="388" t="str">
        <f t="shared" si="27"/>
        <v/>
      </c>
      <c r="N232" s="389">
        <f t="shared" si="28"/>
        <v>92</v>
      </c>
    </row>
    <row r="233" spans="1:14" ht="13.5" customHeight="1" x14ac:dyDescent="0.25">
      <c r="A233" s="88" t="str">
        <f t="shared" si="21"/>
        <v>Auxiliar4</v>
      </c>
      <c r="B233" s="88"/>
      <c r="C233" s="88"/>
      <c r="D233" s="88" t="str">
        <f t="shared" si="22"/>
        <v>AA93</v>
      </c>
      <c r="E233" s="88" t="str">
        <f>IF(N233="",IF(J233="j",_xlfn.CONCAT("Load"," ",filename_cont,"1.sim"),IF(K233="k",_xlfn.CONCAT("Load"," ",Data!$W$57,".sim"),"")),"Get Data")</f>
        <v>Get Data</v>
      </c>
      <c r="F233" s="88" t="str">
        <f>CVD_Script_Table!$H$25</f>
        <v>Line</v>
      </c>
      <c r="G233" s="88"/>
      <c r="H233" s="88"/>
      <c r="I233" s="88" t="str">
        <f t="shared" si="23"/>
        <v>Attachmenttype[93]</v>
      </c>
      <c r="J233" s="388">
        <f t="shared" si="24"/>
        <v>93</v>
      </c>
      <c r="K233" s="388" t="str">
        <f t="shared" si="25"/>
        <v/>
      </c>
      <c r="L233" s="388" t="str">
        <f t="shared" si="26"/>
        <v/>
      </c>
      <c r="M233" s="388" t="str">
        <f t="shared" si="27"/>
        <v/>
      </c>
      <c r="N233" s="389">
        <f t="shared" si="28"/>
        <v>93</v>
      </c>
    </row>
    <row r="234" spans="1:14" ht="13.5" customHeight="1" x14ac:dyDescent="0.25">
      <c r="A234" s="88" t="str">
        <f t="shared" si="21"/>
        <v>Auxiliar4</v>
      </c>
      <c r="B234" s="88"/>
      <c r="C234" s="88"/>
      <c r="D234" s="88" t="str">
        <f t="shared" si="22"/>
        <v>AA94</v>
      </c>
      <c r="E234" s="88" t="str">
        <f>IF(N234="",IF(J234="j",_xlfn.CONCAT("Load"," ",filename_cont,"1.sim"),IF(K234="k",_xlfn.CONCAT("Load"," ",Data!$W$57,".sim"),"")),"Get Data")</f>
        <v>Get Data</v>
      </c>
      <c r="F234" s="88" t="str">
        <f>CVD_Script_Table!$H$25</f>
        <v>Line</v>
      </c>
      <c r="G234" s="88"/>
      <c r="H234" s="88"/>
      <c r="I234" s="88" t="str">
        <f t="shared" si="23"/>
        <v>Attachmenttype[94]</v>
      </c>
      <c r="J234" s="388">
        <f t="shared" si="24"/>
        <v>94</v>
      </c>
      <c r="K234" s="388" t="str">
        <f t="shared" si="25"/>
        <v/>
      </c>
      <c r="L234" s="388" t="str">
        <f t="shared" si="26"/>
        <v/>
      </c>
      <c r="M234" s="388" t="str">
        <f t="shared" si="27"/>
        <v/>
      </c>
      <c r="N234" s="389">
        <f t="shared" si="28"/>
        <v>94</v>
      </c>
    </row>
    <row r="235" spans="1:14" ht="13.5" customHeight="1" x14ac:dyDescent="0.25">
      <c r="A235" s="88" t="str">
        <f t="shared" si="21"/>
        <v>Auxiliar4</v>
      </c>
      <c r="B235" s="88"/>
      <c r="C235" s="88"/>
      <c r="D235" s="88" t="str">
        <f t="shared" si="22"/>
        <v>AA95</v>
      </c>
      <c r="E235" s="88" t="str">
        <f>IF(N235="",IF(J235="j",_xlfn.CONCAT("Load"," ",filename_cont,"1.sim"),IF(K235="k",_xlfn.CONCAT("Load"," ",Data!$W$57,".sim"),"")),"Get Data")</f>
        <v>Get Data</v>
      </c>
      <c r="F235" s="88" t="str">
        <f>CVD_Script_Table!$H$25</f>
        <v>Line</v>
      </c>
      <c r="G235" s="88"/>
      <c r="H235" s="88"/>
      <c r="I235" s="88" t="str">
        <f t="shared" si="23"/>
        <v>Attachmenttype[95]</v>
      </c>
      <c r="J235" s="388">
        <f t="shared" si="24"/>
        <v>95</v>
      </c>
      <c r="K235" s="388" t="str">
        <f t="shared" si="25"/>
        <v/>
      </c>
      <c r="L235" s="388" t="str">
        <f t="shared" si="26"/>
        <v/>
      </c>
      <c r="M235" s="388" t="str">
        <f t="shared" si="27"/>
        <v/>
      </c>
      <c r="N235" s="389">
        <f t="shared" si="28"/>
        <v>95</v>
      </c>
    </row>
    <row r="236" spans="1:14" ht="13.5" customHeight="1" x14ac:dyDescent="0.25">
      <c r="A236" s="88" t="str">
        <f t="shared" si="21"/>
        <v>Auxiliar4</v>
      </c>
      <c r="B236" s="88"/>
      <c r="C236" s="88"/>
      <c r="D236" s="88" t="str">
        <f t="shared" si="22"/>
        <v>AA96</v>
      </c>
      <c r="E236" s="88" t="str">
        <f>IF(N236="",IF(J236="j",_xlfn.CONCAT("Load"," ",filename_cont,"1.sim"),IF(K236="k",_xlfn.CONCAT("Load"," ",Data!$W$57,".sim"),"")),"Get Data")</f>
        <v>Get Data</v>
      </c>
      <c r="F236" s="88" t="str">
        <f>CVD_Script_Table!$H$25</f>
        <v>Line</v>
      </c>
      <c r="G236" s="88"/>
      <c r="H236" s="88"/>
      <c r="I236" s="88" t="str">
        <f t="shared" si="23"/>
        <v>Attachmenttype[96]</v>
      </c>
      <c r="J236" s="388">
        <f t="shared" si="24"/>
        <v>96</v>
      </c>
      <c r="K236" s="388" t="str">
        <f t="shared" si="25"/>
        <v/>
      </c>
      <c r="L236" s="388" t="str">
        <f t="shared" si="26"/>
        <v/>
      </c>
      <c r="M236" s="388" t="str">
        <f t="shared" si="27"/>
        <v/>
      </c>
      <c r="N236" s="389">
        <f t="shared" si="28"/>
        <v>96</v>
      </c>
    </row>
    <row r="237" spans="1:14" ht="13.5" customHeight="1" x14ac:dyDescent="0.25">
      <c r="A237" s="88" t="str">
        <f t="shared" si="21"/>
        <v>Auxiliar4</v>
      </c>
      <c r="B237" s="88"/>
      <c r="C237" s="88"/>
      <c r="D237" s="88" t="str">
        <f t="shared" si="22"/>
        <v>AA97</v>
      </c>
      <c r="E237" s="88" t="str">
        <f>IF(N237="",IF(J237="j",_xlfn.CONCAT("Load"," ",filename_cont,"1.sim"),IF(K237="k",_xlfn.CONCAT("Load"," ",Data!$W$57,".sim"),"")),"Get Data")</f>
        <v>Get Data</v>
      </c>
      <c r="F237" s="88" t="str">
        <f>CVD_Script_Table!$H$25</f>
        <v>Line</v>
      </c>
      <c r="G237" s="88"/>
      <c r="H237" s="88"/>
      <c r="I237" s="88" t="str">
        <f t="shared" si="23"/>
        <v>Attachmenttype[97]</v>
      </c>
      <c r="J237" s="388">
        <f t="shared" si="24"/>
        <v>97</v>
      </c>
      <c r="K237" s="388" t="str">
        <f t="shared" si="25"/>
        <v/>
      </c>
      <c r="L237" s="388" t="str">
        <f t="shared" si="26"/>
        <v/>
      </c>
      <c r="M237" s="388" t="str">
        <f t="shared" si="27"/>
        <v/>
      </c>
      <c r="N237" s="389">
        <f t="shared" si="28"/>
        <v>97</v>
      </c>
    </row>
    <row r="238" spans="1:14" ht="13.5" customHeight="1" x14ac:dyDescent="0.25">
      <c r="A238" s="88" t="str">
        <f t="shared" si="21"/>
        <v>Auxiliar4</v>
      </c>
      <c r="B238" s="88"/>
      <c r="C238" s="88"/>
      <c r="D238" s="88" t="str">
        <f t="shared" si="22"/>
        <v>AA98</v>
      </c>
      <c r="E238" s="88" t="str">
        <f>IF(N238="",IF(J238="j",_xlfn.CONCAT("Load"," ",filename_cont,"1.sim"),IF(K238="k",_xlfn.CONCAT("Load"," ",Data!$W$57,".sim"),"")),"Get Data")</f>
        <v>Get Data</v>
      </c>
      <c r="F238" s="88" t="str">
        <f>CVD_Script_Table!$H$25</f>
        <v>Line</v>
      </c>
      <c r="G238" s="88"/>
      <c r="H238" s="88"/>
      <c r="I238" s="88" t="str">
        <f t="shared" si="23"/>
        <v>Attachmenttype[98]</v>
      </c>
      <c r="J238" s="388">
        <f t="shared" si="24"/>
        <v>98</v>
      </c>
      <c r="K238" s="388" t="str">
        <f t="shared" si="25"/>
        <v/>
      </c>
      <c r="L238" s="388" t="str">
        <f t="shared" si="26"/>
        <v/>
      </c>
      <c r="M238" s="388" t="str">
        <f t="shared" si="27"/>
        <v/>
      </c>
      <c r="N238" s="389">
        <f t="shared" si="28"/>
        <v>98</v>
      </c>
    </row>
    <row r="239" spans="1:14" ht="13.5" customHeight="1" x14ac:dyDescent="0.25">
      <c r="A239" s="88" t="str">
        <f t="shared" si="21"/>
        <v>Auxiliar4</v>
      </c>
      <c r="B239" s="88"/>
      <c r="C239" s="88"/>
      <c r="D239" s="88" t="str">
        <f t="shared" si="22"/>
        <v>AA99</v>
      </c>
      <c r="E239" s="88" t="str">
        <f>IF(N239="",IF(J239="j",_xlfn.CONCAT("Load"," ",filename_cont,"1.sim"),IF(K239="k",_xlfn.CONCAT("Load"," ",Data!$W$57,".sim"),"")),"Get Data")</f>
        <v>Get Data</v>
      </c>
      <c r="F239" s="88" t="str">
        <f>CVD_Script_Table!$H$25</f>
        <v>Line</v>
      </c>
      <c r="G239" s="88"/>
      <c r="H239" s="88"/>
      <c r="I239" s="88" t="str">
        <f t="shared" si="23"/>
        <v>Attachmenttype[99]</v>
      </c>
      <c r="J239" s="388">
        <f t="shared" si="24"/>
        <v>99</v>
      </c>
      <c r="K239" s="388" t="str">
        <f t="shared" si="25"/>
        <v/>
      </c>
      <c r="L239" s="388" t="str">
        <f t="shared" si="26"/>
        <v/>
      </c>
      <c r="M239" s="388" t="str">
        <f t="shared" si="27"/>
        <v/>
      </c>
      <c r="N239" s="389">
        <f t="shared" si="28"/>
        <v>99</v>
      </c>
    </row>
    <row r="240" spans="1:14" ht="13.5" customHeight="1" x14ac:dyDescent="0.25">
      <c r="A240" s="88" t="str">
        <f t="shared" si="21"/>
        <v>Auxiliar4</v>
      </c>
      <c r="B240" s="88"/>
      <c r="C240" s="88"/>
      <c r="D240" s="88" t="str">
        <f t="shared" si="22"/>
        <v>AA100</v>
      </c>
      <c r="E240" s="88" t="str">
        <f>IF(N240="",IF(J240="j",_xlfn.CONCAT("Load"," ",filename_cont,"1.sim"),IF(K240="k",_xlfn.CONCAT("Load"," ",Data!$W$57,".sim"),"")),"Get Data")</f>
        <v>Get Data</v>
      </c>
      <c r="F240" s="88" t="str">
        <f>CVD_Script_Table!$H$25</f>
        <v>Line</v>
      </c>
      <c r="G240" s="88"/>
      <c r="H240" s="88"/>
      <c r="I240" s="88" t="str">
        <f t="shared" si="23"/>
        <v>Attachmenttype[100]</v>
      </c>
      <c r="J240" s="388">
        <f t="shared" si="24"/>
        <v>100</v>
      </c>
      <c r="K240" s="388" t="str">
        <f t="shared" si="25"/>
        <v/>
      </c>
      <c r="L240" s="388" t="str">
        <f t="shared" si="26"/>
        <v/>
      </c>
      <c r="M240" s="388" t="str">
        <f t="shared" si="27"/>
        <v/>
      </c>
      <c r="N240" s="389">
        <f t="shared" si="28"/>
        <v>100</v>
      </c>
    </row>
    <row r="241" spans="1:14" ht="13.5" customHeight="1" x14ac:dyDescent="0.25">
      <c r="A241" s="88" t="str">
        <f t="shared" si="21"/>
        <v>Auxiliar4</v>
      </c>
      <c r="B241" s="88"/>
      <c r="C241" s="88"/>
      <c r="D241" s="88" t="str">
        <f t="shared" si="22"/>
        <v>AA101</v>
      </c>
      <c r="E241" s="88" t="str">
        <f>IF(N241="",IF(J241="j",_xlfn.CONCAT("Load"," ",filename_cont,"1.sim"),IF(K241="k",_xlfn.CONCAT("Load"," ",Data!$W$57,".sim"),"")),"Get Data")</f>
        <v>Get Data</v>
      </c>
      <c r="F241" s="88" t="str">
        <f>CVD_Script_Table!$H$25</f>
        <v>Line</v>
      </c>
      <c r="G241" s="88"/>
      <c r="H241" s="88"/>
      <c r="I241" s="88" t="str">
        <f t="shared" si="23"/>
        <v>Attachmenttype[101]</v>
      </c>
      <c r="J241" s="388">
        <f t="shared" si="24"/>
        <v>101</v>
      </c>
      <c r="K241" s="388" t="str">
        <f t="shared" si="25"/>
        <v/>
      </c>
      <c r="L241" s="388" t="str">
        <f t="shared" si="26"/>
        <v/>
      </c>
      <c r="M241" s="388" t="str">
        <f t="shared" si="27"/>
        <v/>
      </c>
      <c r="N241" s="389">
        <f t="shared" si="28"/>
        <v>101</v>
      </c>
    </row>
    <row r="242" spans="1:14" ht="13.5" customHeight="1" x14ac:dyDescent="0.25">
      <c r="A242" s="88" t="str">
        <f t="shared" si="21"/>
        <v>Auxiliar4</v>
      </c>
      <c r="B242" s="88"/>
      <c r="C242" s="88"/>
      <c r="D242" s="88" t="str">
        <f t="shared" si="22"/>
        <v>AA102</v>
      </c>
      <c r="E242" s="88" t="str">
        <f>IF(N242="",IF(J242="j",_xlfn.CONCAT("Load"," ",filename_cont,"1.sim"),IF(K242="k",_xlfn.CONCAT("Load"," ",Data!$W$57,".sim"),"")),"Get Data")</f>
        <v>Get Data</v>
      </c>
      <c r="F242" s="88" t="str">
        <f>CVD_Script_Table!$H$25</f>
        <v>Line</v>
      </c>
      <c r="G242" s="88"/>
      <c r="H242" s="88"/>
      <c r="I242" s="88" t="str">
        <f t="shared" si="23"/>
        <v>Attachmenttype[102]</v>
      </c>
      <c r="J242" s="388">
        <f t="shared" si="24"/>
        <v>102</v>
      </c>
      <c r="K242" s="388" t="str">
        <f t="shared" si="25"/>
        <v/>
      </c>
      <c r="L242" s="388" t="str">
        <f t="shared" si="26"/>
        <v/>
      </c>
      <c r="M242" s="388" t="str">
        <f t="shared" si="27"/>
        <v/>
      </c>
      <c r="N242" s="389">
        <f t="shared" si="28"/>
        <v>102</v>
      </c>
    </row>
    <row r="243" spans="1:14" ht="13.5" customHeight="1" x14ac:dyDescent="0.25">
      <c r="A243" s="88" t="str">
        <f t="shared" si="21"/>
        <v>Auxiliar4</v>
      </c>
      <c r="B243" s="88"/>
      <c r="C243" s="88"/>
      <c r="D243" s="88" t="str">
        <f t="shared" si="22"/>
        <v>AA103</v>
      </c>
      <c r="E243" s="88" t="str">
        <f>IF(N243="",IF(J243="j",_xlfn.CONCAT("Load"," ",filename_cont,"1.sim"),IF(K243="k",_xlfn.CONCAT("Load"," ",Data!$W$57,".sim"),"")),"Get Data")</f>
        <v>Get Data</v>
      </c>
      <c r="F243" s="88" t="str">
        <f>CVD_Script_Table!$H$25</f>
        <v>Line</v>
      </c>
      <c r="G243" s="88"/>
      <c r="H243" s="88"/>
      <c r="I243" s="88" t="str">
        <f t="shared" si="23"/>
        <v>Attachmenttype[103]</v>
      </c>
      <c r="J243" s="388">
        <f t="shared" si="24"/>
        <v>103</v>
      </c>
      <c r="K243" s="388" t="str">
        <f t="shared" si="25"/>
        <v/>
      </c>
      <c r="L243" s="388" t="str">
        <f t="shared" si="26"/>
        <v/>
      </c>
      <c r="M243" s="388" t="str">
        <f t="shared" si="27"/>
        <v/>
      </c>
      <c r="N243" s="389">
        <f t="shared" si="28"/>
        <v>103</v>
      </c>
    </row>
    <row r="244" spans="1:14" ht="13.5" customHeight="1" x14ac:dyDescent="0.25">
      <c r="A244" s="88" t="str">
        <f t="shared" si="21"/>
        <v>Auxiliar4</v>
      </c>
      <c r="B244" s="88"/>
      <c r="C244" s="88"/>
      <c r="D244" s="88" t="str">
        <f t="shared" si="22"/>
        <v>AA104</v>
      </c>
      <c r="E244" s="88" t="str">
        <f>IF(N244="",IF(J244="j",_xlfn.CONCAT("Load"," ",filename_cont,"1.sim"),IF(K244="k",_xlfn.CONCAT("Load"," ",Data!$W$57,".sim"),"")),"Get Data")</f>
        <v>Get Data</v>
      </c>
      <c r="F244" s="88" t="str">
        <f>CVD_Script_Table!$H$25</f>
        <v>Line</v>
      </c>
      <c r="G244" s="88"/>
      <c r="H244" s="88"/>
      <c r="I244" s="88" t="str">
        <f t="shared" si="23"/>
        <v>Attachmenttype[104]</v>
      </c>
      <c r="J244" s="388">
        <f t="shared" si="24"/>
        <v>104</v>
      </c>
      <c r="K244" s="388" t="str">
        <f t="shared" si="25"/>
        <v/>
      </c>
      <c r="L244" s="388" t="str">
        <f t="shared" si="26"/>
        <v/>
      </c>
      <c r="M244" s="388" t="str">
        <f t="shared" si="27"/>
        <v/>
      </c>
      <c r="N244" s="389">
        <f t="shared" si="28"/>
        <v>104</v>
      </c>
    </row>
    <row r="245" spans="1:14" ht="13.5" customHeight="1" x14ac:dyDescent="0.25">
      <c r="A245" s="88" t="str">
        <f t="shared" si="21"/>
        <v>Auxiliar4</v>
      </c>
      <c r="B245" s="88"/>
      <c r="C245" s="88"/>
      <c r="D245" s="88" t="str">
        <f t="shared" si="22"/>
        <v>AA105</v>
      </c>
      <c r="E245" s="88" t="str">
        <f>IF(N245="",IF(J245="j",_xlfn.CONCAT("Load"," ",filename_cont,"1.sim"),IF(K245="k",_xlfn.CONCAT("Load"," ",Data!$W$57,".sim"),"")),"Get Data")</f>
        <v>Get Data</v>
      </c>
      <c r="F245" s="88" t="str">
        <f>CVD_Script_Table!$H$25</f>
        <v>Line</v>
      </c>
      <c r="G245" s="88"/>
      <c r="H245" s="88"/>
      <c r="I245" s="88" t="str">
        <f t="shared" si="23"/>
        <v>Attachmenttype[105]</v>
      </c>
      <c r="J245" s="388">
        <f t="shared" si="24"/>
        <v>105</v>
      </c>
      <c r="K245" s="388" t="str">
        <f t="shared" si="25"/>
        <v/>
      </c>
      <c r="L245" s="388" t="str">
        <f t="shared" si="26"/>
        <v/>
      </c>
      <c r="M245" s="388" t="str">
        <f t="shared" si="27"/>
        <v/>
      </c>
      <c r="N245" s="389">
        <f t="shared" si="28"/>
        <v>105</v>
      </c>
    </row>
    <row r="246" spans="1:14" ht="13.5" customHeight="1" x14ac:dyDescent="0.25">
      <c r="A246" s="88" t="str">
        <f t="shared" si="21"/>
        <v>Auxiliar4</v>
      </c>
      <c r="B246" s="88"/>
      <c r="C246" s="88"/>
      <c r="D246" s="88" t="str">
        <f t="shared" si="22"/>
        <v>AA106</v>
      </c>
      <c r="E246" s="88" t="str">
        <f>IF(N246="",IF(J246="j",_xlfn.CONCAT("Load"," ",filename_cont,"1.sim"),IF(K246="k",_xlfn.CONCAT("Load"," ",Data!$W$57,".sim"),"")),"Get Data")</f>
        <v>Get Data</v>
      </c>
      <c r="F246" s="88" t="str">
        <f>CVD_Script_Table!$H$25</f>
        <v>Line</v>
      </c>
      <c r="G246" s="88"/>
      <c r="H246" s="88"/>
      <c r="I246" s="88" t="str">
        <f t="shared" si="23"/>
        <v>Attachmenttype[106]</v>
      </c>
      <c r="J246" s="388">
        <f t="shared" si="24"/>
        <v>106</v>
      </c>
      <c r="K246" s="388" t="str">
        <f t="shared" si="25"/>
        <v/>
      </c>
      <c r="L246" s="388" t="str">
        <f t="shared" si="26"/>
        <v/>
      </c>
      <c r="M246" s="388" t="str">
        <f t="shared" si="27"/>
        <v/>
      </c>
      <c r="N246" s="389">
        <f t="shared" si="28"/>
        <v>106</v>
      </c>
    </row>
    <row r="247" spans="1:14" ht="13.5" customHeight="1" x14ac:dyDescent="0.25">
      <c r="A247" s="88" t="str">
        <f t="shared" si="21"/>
        <v>Auxiliar4</v>
      </c>
      <c r="B247" s="88"/>
      <c r="C247" s="88"/>
      <c r="D247" s="88" t="str">
        <f t="shared" si="22"/>
        <v>AA107</v>
      </c>
      <c r="E247" s="88" t="str">
        <f>IF(N247="",IF(J247="j",_xlfn.CONCAT("Load"," ",filename_cont,"1.sim"),IF(K247="k",_xlfn.CONCAT("Load"," ",Data!$W$57,".sim"),"")),"Get Data")</f>
        <v>Get Data</v>
      </c>
      <c r="F247" s="88" t="str">
        <f>CVD_Script_Table!$H$25</f>
        <v>Line</v>
      </c>
      <c r="G247" s="88"/>
      <c r="H247" s="88"/>
      <c r="I247" s="88" t="str">
        <f t="shared" si="23"/>
        <v>Attachmenttype[107]</v>
      </c>
      <c r="J247" s="388">
        <f t="shared" si="24"/>
        <v>107</v>
      </c>
      <c r="K247" s="388" t="str">
        <f t="shared" si="25"/>
        <v/>
      </c>
      <c r="L247" s="388" t="str">
        <f t="shared" si="26"/>
        <v/>
      </c>
      <c r="M247" s="388" t="str">
        <f t="shared" si="27"/>
        <v/>
      </c>
      <c r="N247" s="389">
        <f t="shared" si="28"/>
        <v>107</v>
      </c>
    </row>
    <row r="248" spans="1:14" ht="13.5" customHeight="1" x14ac:dyDescent="0.25">
      <c r="A248" s="88" t="str">
        <f t="shared" si="21"/>
        <v>Auxiliar4</v>
      </c>
      <c r="B248" s="88"/>
      <c r="C248" s="88"/>
      <c r="D248" s="88" t="str">
        <f t="shared" si="22"/>
        <v>AA108</v>
      </c>
      <c r="E248" s="88" t="str">
        <f>IF(N248="",IF(J248="j",_xlfn.CONCAT("Load"," ",filename_cont,"1.sim"),IF(K248="k",_xlfn.CONCAT("Load"," ",Data!$W$57,".sim"),"")),"Get Data")</f>
        <v>Get Data</v>
      </c>
      <c r="F248" s="88" t="str">
        <f>CVD_Script_Table!$H$25</f>
        <v>Line</v>
      </c>
      <c r="G248" s="88"/>
      <c r="H248" s="88"/>
      <c r="I248" s="88" t="str">
        <f t="shared" si="23"/>
        <v>Attachmenttype[108]</v>
      </c>
      <c r="J248" s="388">
        <f t="shared" si="24"/>
        <v>108</v>
      </c>
      <c r="K248" s="388" t="str">
        <f t="shared" si="25"/>
        <v/>
      </c>
      <c r="L248" s="388" t="str">
        <f t="shared" si="26"/>
        <v/>
      </c>
      <c r="M248" s="388" t="str">
        <f t="shared" si="27"/>
        <v/>
      </c>
      <c r="N248" s="389">
        <f t="shared" si="28"/>
        <v>108</v>
      </c>
    </row>
    <row r="249" spans="1:14" ht="13.5" customHeight="1" x14ac:dyDescent="0.25">
      <c r="A249" s="88" t="str">
        <f t="shared" si="21"/>
        <v>Auxiliar4</v>
      </c>
      <c r="B249" s="88"/>
      <c r="C249" s="88"/>
      <c r="D249" s="88" t="str">
        <f t="shared" si="22"/>
        <v>AA109</v>
      </c>
      <c r="E249" s="88" t="str">
        <f>IF(N249="",IF(J249="j",_xlfn.CONCAT("Load"," ",filename_cont,"1.sim"),IF(K249="k",_xlfn.CONCAT("Load"," ",Data!$W$57,".sim"),"")),"Get Data")</f>
        <v>Get Data</v>
      </c>
      <c r="F249" s="88" t="str">
        <f>CVD_Script_Table!$H$25</f>
        <v>Line</v>
      </c>
      <c r="G249" s="88"/>
      <c r="H249" s="88"/>
      <c r="I249" s="88" t="str">
        <f t="shared" si="23"/>
        <v>Attachmenttype[109]</v>
      </c>
      <c r="J249" s="388">
        <f t="shared" si="24"/>
        <v>109</v>
      </c>
      <c r="K249" s="388" t="str">
        <f t="shared" si="25"/>
        <v/>
      </c>
      <c r="L249" s="388" t="str">
        <f t="shared" si="26"/>
        <v/>
      </c>
      <c r="M249" s="388" t="str">
        <f t="shared" si="27"/>
        <v/>
      </c>
      <c r="N249" s="389">
        <f t="shared" si="28"/>
        <v>109</v>
      </c>
    </row>
    <row r="250" spans="1:14" ht="13.5" customHeight="1" x14ac:dyDescent="0.25">
      <c r="A250" s="88" t="str">
        <f t="shared" si="21"/>
        <v>Auxiliar4</v>
      </c>
      <c r="B250" s="88"/>
      <c r="C250" s="88"/>
      <c r="D250" s="88" t="str">
        <f t="shared" si="22"/>
        <v>AA110</v>
      </c>
      <c r="E250" s="88" t="str">
        <f>IF(N250="",IF(J250="j",_xlfn.CONCAT("Load"," ",filename_cont,"1.sim"),IF(K250="k",_xlfn.CONCAT("Load"," ",Data!$W$57,".sim"),"")),"Get Data")</f>
        <v>Get Data</v>
      </c>
      <c r="F250" s="88" t="str">
        <f>CVD_Script_Table!$H$25</f>
        <v>Line</v>
      </c>
      <c r="G250" s="88"/>
      <c r="H250" s="88"/>
      <c r="I250" s="88" t="str">
        <f t="shared" si="23"/>
        <v>Attachmenttype[110]</v>
      </c>
      <c r="J250" s="388">
        <f t="shared" si="24"/>
        <v>110</v>
      </c>
      <c r="K250" s="388" t="str">
        <f t="shared" si="25"/>
        <v/>
      </c>
      <c r="L250" s="388" t="str">
        <f t="shared" si="26"/>
        <v/>
      </c>
      <c r="M250" s="388" t="str">
        <f t="shared" si="27"/>
        <v/>
      </c>
      <c r="N250" s="389">
        <f t="shared" si="28"/>
        <v>110</v>
      </c>
    </row>
    <row r="251" spans="1:14" ht="13.5" customHeight="1" x14ac:dyDescent="0.25">
      <c r="A251" s="88" t="str">
        <f t="shared" si="21"/>
        <v>Auxiliar4</v>
      </c>
      <c r="B251" s="88"/>
      <c r="C251" s="88"/>
      <c r="D251" s="88" t="str">
        <f t="shared" si="22"/>
        <v>AA111</v>
      </c>
      <c r="E251" s="88" t="str">
        <f>IF(N251="",IF(J251="j",_xlfn.CONCAT("Load"," ",filename_cont,"1.sim"),IF(K251="k",_xlfn.CONCAT("Load"," ",Data!$W$57,".sim"),"")),"Get Data")</f>
        <v>Get Data</v>
      </c>
      <c r="F251" s="88" t="str">
        <f>CVD_Script_Table!$H$25</f>
        <v>Line</v>
      </c>
      <c r="G251" s="88"/>
      <c r="H251" s="88"/>
      <c r="I251" s="88" t="str">
        <f t="shared" si="23"/>
        <v>Attachmenttype[111]</v>
      </c>
      <c r="J251" s="388">
        <f t="shared" si="24"/>
        <v>111</v>
      </c>
      <c r="K251" s="388" t="str">
        <f t="shared" si="25"/>
        <v/>
      </c>
      <c r="L251" s="388" t="str">
        <f t="shared" si="26"/>
        <v/>
      </c>
      <c r="M251" s="388" t="str">
        <f t="shared" si="27"/>
        <v/>
      </c>
      <c r="N251" s="389">
        <f t="shared" si="28"/>
        <v>111</v>
      </c>
    </row>
    <row r="252" spans="1:14" ht="13.5" customHeight="1" x14ac:dyDescent="0.25">
      <c r="A252" s="88" t="str">
        <f t="shared" si="21"/>
        <v>Auxiliar4</v>
      </c>
      <c r="B252" s="88"/>
      <c r="C252" s="88"/>
      <c r="D252" s="88" t="str">
        <f t="shared" si="22"/>
        <v>AA112</v>
      </c>
      <c r="E252" s="88" t="str">
        <f>IF(N252="",IF(J252="j",_xlfn.CONCAT("Load"," ",filename_cont,"1.sim"),IF(K252="k",_xlfn.CONCAT("Load"," ",Data!$W$57,".sim"),"")),"Get Data")</f>
        <v>Get Data</v>
      </c>
      <c r="F252" s="88" t="str">
        <f>CVD_Script_Table!$H$25</f>
        <v>Line</v>
      </c>
      <c r="G252" s="88"/>
      <c r="H252" s="88"/>
      <c r="I252" s="88" t="str">
        <f t="shared" si="23"/>
        <v>Attachmenttype[112]</v>
      </c>
      <c r="J252" s="388">
        <f t="shared" si="24"/>
        <v>112</v>
      </c>
      <c r="K252" s="388" t="str">
        <f t="shared" si="25"/>
        <v/>
      </c>
      <c r="L252" s="388" t="str">
        <f t="shared" si="26"/>
        <v/>
      </c>
      <c r="M252" s="388" t="str">
        <f t="shared" si="27"/>
        <v/>
      </c>
      <c r="N252" s="389">
        <f t="shared" si="28"/>
        <v>112</v>
      </c>
    </row>
    <row r="253" spans="1:14" ht="13.5" customHeight="1" x14ac:dyDescent="0.25">
      <c r="A253" s="88" t="str">
        <f t="shared" si="21"/>
        <v>Auxiliar4</v>
      </c>
      <c r="B253" s="88"/>
      <c r="C253" s="88"/>
      <c r="D253" s="88" t="str">
        <f t="shared" si="22"/>
        <v>AA113</v>
      </c>
      <c r="E253" s="88" t="str">
        <f>IF(N253="",IF(J253="j",_xlfn.CONCAT("Load"," ",filename_cont,"1.sim"),IF(K253="k",_xlfn.CONCAT("Load"," ",Data!$W$57,".sim"),"")),"Get Data")</f>
        <v>Get Data</v>
      </c>
      <c r="F253" s="88" t="str">
        <f>CVD_Script_Table!$H$25</f>
        <v>Line</v>
      </c>
      <c r="G253" s="88"/>
      <c r="H253" s="88"/>
      <c r="I253" s="88" t="str">
        <f t="shared" si="23"/>
        <v>Attachmenttype[113]</v>
      </c>
      <c r="J253" s="388">
        <f t="shared" si="24"/>
        <v>113</v>
      </c>
      <c r="K253" s="388" t="str">
        <f t="shared" si="25"/>
        <v/>
      </c>
      <c r="L253" s="388" t="str">
        <f t="shared" si="26"/>
        <v/>
      </c>
      <c r="M253" s="388" t="str">
        <f t="shared" si="27"/>
        <v/>
      </c>
      <c r="N253" s="389">
        <f t="shared" si="28"/>
        <v>113</v>
      </c>
    </row>
    <row r="254" spans="1:14" ht="13.5" customHeight="1" x14ac:dyDescent="0.25">
      <c r="A254" s="88" t="str">
        <f t="shared" si="21"/>
        <v>Auxiliar4</v>
      </c>
      <c r="B254" s="88"/>
      <c r="C254" s="88"/>
      <c r="D254" s="88" t="str">
        <f t="shared" si="22"/>
        <v>AA114</v>
      </c>
      <c r="E254" s="88" t="str">
        <f>IF(N254="",IF(J254="j",_xlfn.CONCAT("Load"," ",filename_cont,"1.sim"),IF(K254="k",_xlfn.CONCAT("Load"," ",Data!$W$57,".sim"),"")),"Get Data")</f>
        <v>Get Data</v>
      </c>
      <c r="F254" s="88" t="str">
        <f>CVD_Script_Table!$H$25</f>
        <v>Line</v>
      </c>
      <c r="G254" s="88"/>
      <c r="H254" s="88"/>
      <c r="I254" s="88" t="str">
        <f t="shared" si="23"/>
        <v>Attachmenttype[114]</v>
      </c>
      <c r="J254" s="388">
        <f t="shared" si="24"/>
        <v>114</v>
      </c>
      <c r="K254" s="388" t="str">
        <f t="shared" si="25"/>
        <v/>
      </c>
      <c r="L254" s="388" t="str">
        <f t="shared" si="26"/>
        <v/>
      </c>
      <c r="M254" s="388" t="str">
        <f t="shared" si="27"/>
        <v/>
      </c>
      <c r="N254" s="389">
        <f t="shared" si="28"/>
        <v>114</v>
      </c>
    </row>
    <row r="255" spans="1:14" ht="13.5" customHeight="1" x14ac:dyDescent="0.25">
      <c r="A255" s="88" t="str">
        <f t="shared" si="21"/>
        <v>Auxiliar4</v>
      </c>
      <c r="B255" s="88"/>
      <c r="C255" s="88"/>
      <c r="D255" s="88" t="str">
        <f t="shared" si="22"/>
        <v>AA115</v>
      </c>
      <c r="E255" s="88" t="str">
        <f>IF(N255="",IF(J255="j",_xlfn.CONCAT("Load"," ",filename_cont,"1.sim"),IF(K255="k",_xlfn.CONCAT("Load"," ",Data!$W$57,".sim"),"")),"Get Data")</f>
        <v>Get Data</v>
      </c>
      <c r="F255" s="88" t="str">
        <f>CVD_Script_Table!$H$25</f>
        <v>Line</v>
      </c>
      <c r="G255" s="88"/>
      <c r="H255" s="88"/>
      <c r="I255" s="88" t="str">
        <f t="shared" si="23"/>
        <v>Attachmenttype[115]</v>
      </c>
      <c r="J255" s="388">
        <f t="shared" si="24"/>
        <v>115</v>
      </c>
      <c r="K255" s="388" t="str">
        <f t="shared" si="25"/>
        <v/>
      </c>
      <c r="L255" s="388" t="str">
        <f t="shared" si="26"/>
        <v/>
      </c>
      <c r="M255" s="388" t="str">
        <f t="shared" si="27"/>
        <v/>
      </c>
      <c r="N255" s="389">
        <f t="shared" si="28"/>
        <v>115</v>
      </c>
    </row>
    <row r="256" spans="1:14" ht="13.5" customHeight="1" x14ac:dyDescent="0.25">
      <c r="A256" s="88" t="str">
        <f t="shared" si="21"/>
        <v>Auxiliar4</v>
      </c>
      <c r="B256" s="88"/>
      <c r="C256" s="88"/>
      <c r="D256" s="88" t="str">
        <f t="shared" si="22"/>
        <v>AA116</v>
      </c>
      <c r="E256" s="88" t="str">
        <f>IF(N256="",IF(J256="j",_xlfn.CONCAT("Load"," ",filename_cont,"1.sim"),IF(K256="k",_xlfn.CONCAT("Load"," ",Data!$W$57,".sim"),"")),"Get Data")</f>
        <v>Get Data</v>
      </c>
      <c r="F256" s="88" t="str">
        <f>CVD_Script_Table!$H$25</f>
        <v>Line</v>
      </c>
      <c r="G256" s="88"/>
      <c r="H256" s="88"/>
      <c r="I256" s="88" t="str">
        <f t="shared" si="23"/>
        <v>Attachmenttype[116]</v>
      </c>
      <c r="J256" s="388">
        <f t="shared" si="24"/>
        <v>116</v>
      </c>
      <c r="K256" s="388" t="str">
        <f t="shared" si="25"/>
        <v/>
      </c>
      <c r="L256" s="388" t="str">
        <f t="shared" si="26"/>
        <v/>
      </c>
      <c r="M256" s="388" t="str">
        <f t="shared" si="27"/>
        <v/>
      </c>
      <c r="N256" s="389">
        <f t="shared" si="28"/>
        <v>116</v>
      </c>
    </row>
    <row r="257" spans="1:14" ht="13.5" customHeight="1" x14ac:dyDescent="0.25">
      <c r="A257" s="88" t="str">
        <f t="shared" si="21"/>
        <v>Auxiliar4</v>
      </c>
      <c r="B257" s="88"/>
      <c r="C257" s="88"/>
      <c r="D257" s="88" t="str">
        <f t="shared" si="22"/>
        <v>AA117</v>
      </c>
      <c r="E257" s="88" t="str">
        <f>IF(N257="",IF(J257="j",_xlfn.CONCAT("Load"," ",filename_cont,"1.sim"),IF(K257="k",_xlfn.CONCAT("Load"," ",Data!$W$57,".sim"),"")),"Get Data")</f>
        <v>Get Data</v>
      </c>
      <c r="F257" s="88" t="str">
        <f>CVD_Script_Table!$H$25</f>
        <v>Line</v>
      </c>
      <c r="G257" s="88"/>
      <c r="H257" s="88"/>
      <c r="I257" s="88" t="str">
        <f t="shared" si="23"/>
        <v>Attachmenttype[117]</v>
      </c>
      <c r="J257" s="388">
        <f t="shared" si="24"/>
        <v>117</v>
      </c>
      <c r="K257" s="388" t="str">
        <f t="shared" si="25"/>
        <v/>
      </c>
      <c r="L257" s="388" t="str">
        <f t="shared" si="26"/>
        <v/>
      </c>
      <c r="M257" s="388" t="str">
        <f t="shared" si="27"/>
        <v/>
      </c>
      <c r="N257" s="389">
        <f t="shared" si="28"/>
        <v>117</v>
      </c>
    </row>
    <row r="258" spans="1:14" ht="13.5" customHeight="1" x14ac:dyDescent="0.25">
      <c r="A258" s="88" t="str">
        <f t="shared" si="21"/>
        <v>Auxiliar4</v>
      </c>
      <c r="B258" s="88"/>
      <c r="C258" s="88"/>
      <c r="D258" s="88" t="str">
        <f t="shared" si="22"/>
        <v>AA118</v>
      </c>
      <c r="E258" s="88" t="str">
        <f>IF(N258="",IF(J258="j",_xlfn.CONCAT("Load"," ",filename_cont,"1.sim"),IF(K258="k",_xlfn.CONCAT("Load"," ",Data!$W$57,".sim"),"")),"Get Data")</f>
        <v>Get Data</v>
      </c>
      <c r="F258" s="88" t="str">
        <f>CVD_Script_Table!$H$25</f>
        <v>Line</v>
      </c>
      <c r="G258" s="88"/>
      <c r="H258" s="88"/>
      <c r="I258" s="88" t="str">
        <f t="shared" si="23"/>
        <v>Attachmenttype[118]</v>
      </c>
      <c r="J258" s="388">
        <f t="shared" si="24"/>
        <v>118</v>
      </c>
      <c r="K258" s="388" t="str">
        <f t="shared" si="25"/>
        <v/>
      </c>
      <c r="L258" s="388" t="str">
        <f t="shared" si="26"/>
        <v/>
      </c>
      <c r="M258" s="388" t="str">
        <f t="shared" si="27"/>
        <v/>
      </c>
      <c r="N258" s="389">
        <f t="shared" si="28"/>
        <v>118</v>
      </c>
    </row>
    <row r="259" spans="1:14" ht="13.5" customHeight="1" x14ac:dyDescent="0.25">
      <c r="A259" s="88" t="str">
        <f t="shared" si="21"/>
        <v>Auxiliar4</v>
      </c>
      <c r="B259" s="88"/>
      <c r="C259" s="88"/>
      <c r="D259" s="88" t="str">
        <f t="shared" si="22"/>
        <v>AA119</v>
      </c>
      <c r="E259" s="88" t="str">
        <f>IF(N259="",IF(J259="j",_xlfn.CONCAT("Load"," ",filename_cont,"1.sim"),IF(K259="k",_xlfn.CONCAT("Load"," ",Data!$W$57,".sim"),"")),"Get Data")</f>
        <v>Get Data</v>
      </c>
      <c r="F259" s="88" t="str">
        <f>CVD_Script_Table!$H$25</f>
        <v>Line</v>
      </c>
      <c r="G259" s="88"/>
      <c r="H259" s="88"/>
      <c r="I259" s="88" t="str">
        <f t="shared" si="23"/>
        <v>Attachmenttype[119]</v>
      </c>
      <c r="J259" s="388">
        <f t="shared" si="24"/>
        <v>119</v>
      </c>
      <c r="K259" s="388" t="str">
        <f t="shared" si="25"/>
        <v/>
      </c>
      <c r="L259" s="388" t="str">
        <f t="shared" si="26"/>
        <v/>
      </c>
      <c r="M259" s="388" t="str">
        <f t="shared" si="27"/>
        <v/>
      </c>
      <c r="N259" s="389">
        <f t="shared" si="28"/>
        <v>119</v>
      </c>
    </row>
    <row r="260" spans="1:14" ht="13.5" customHeight="1" x14ac:dyDescent="0.25">
      <c r="A260" s="88" t="str">
        <f t="shared" si="21"/>
        <v>Auxiliar4</v>
      </c>
      <c r="B260" s="88"/>
      <c r="C260" s="88"/>
      <c r="D260" s="88" t="str">
        <f t="shared" si="22"/>
        <v>AA120</v>
      </c>
      <c r="E260" s="88" t="str">
        <f>IF(N260="",IF(J260="j",_xlfn.CONCAT("Load"," ",filename_cont,"1.sim"),IF(K260="k",_xlfn.CONCAT("Load"," ",Data!$W$57,".sim"),"")),"Get Data")</f>
        <v>Get Data</v>
      </c>
      <c r="F260" s="88" t="str">
        <f>CVD_Script_Table!$H$25</f>
        <v>Line</v>
      </c>
      <c r="G260" s="88"/>
      <c r="H260" s="88"/>
      <c r="I260" s="88" t="str">
        <f t="shared" si="23"/>
        <v>Attachmenttype[120]</v>
      </c>
      <c r="J260" s="388">
        <f t="shared" si="24"/>
        <v>120</v>
      </c>
      <c r="K260" s="388" t="str">
        <f t="shared" si="25"/>
        <v/>
      </c>
      <c r="L260" s="388" t="str">
        <f t="shared" si="26"/>
        <v/>
      </c>
      <c r="M260" s="388" t="str">
        <f t="shared" si="27"/>
        <v/>
      </c>
      <c r="N260" s="389">
        <f t="shared" si="28"/>
        <v>120</v>
      </c>
    </row>
    <row r="261" spans="1:14" ht="13.5" customHeight="1" x14ac:dyDescent="0.25">
      <c r="A261" s="88" t="str">
        <f t="shared" si="21"/>
        <v>Auxiliar4</v>
      </c>
      <c r="B261" s="88"/>
      <c r="C261" s="88"/>
      <c r="D261" s="88" t="str">
        <f t="shared" si="22"/>
        <v>AA121</v>
      </c>
      <c r="E261" s="88" t="str">
        <f>IF(N261="",IF(J261="j",_xlfn.CONCAT("Load"," ",filename_cont,"1.sim"),IF(K261="k",_xlfn.CONCAT("Load"," ",Data!$W$57,".sim"),"")),"Get Data")</f>
        <v>Get Data</v>
      </c>
      <c r="F261" s="88" t="str">
        <f>CVD_Script_Table!$H$25</f>
        <v>Line</v>
      </c>
      <c r="G261" s="88"/>
      <c r="H261" s="88"/>
      <c r="I261" s="88" t="str">
        <f t="shared" si="23"/>
        <v>Attachmenttype[121]</v>
      </c>
      <c r="J261" s="388">
        <f t="shared" si="24"/>
        <v>121</v>
      </c>
      <c r="K261" s="388" t="str">
        <f t="shared" si="25"/>
        <v/>
      </c>
      <c r="L261" s="388" t="str">
        <f t="shared" si="26"/>
        <v/>
      </c>
      <c r="M261" s="388" t="str">
        <f t="shared" si="27"/>
        <v/>
      </c>
      <c r="N261" s="389">
        <f t="shared" si="28"/>
        <v>121</v>
      </c>
    </row>
    <row r="262" spans="1:14" ht="13.5" customHeight="1" x14ac:dyDescent="0.25">
      <c r="A262" s="88" t="str">
        <f t="shared" si="21"/>
        <v>Auxiliar4</v>
      </c>
      <c r="B262" s="88"/>
      <c r="C262" s="88"/>
      <c r="D262" s="88" t="str">
        <f t="shared" si="22"/>
        <v>AA122</v>
      </c>
      <c r="E262" s="88" t="str">
        <f>IF(N262="",IF(J262="j",_xlfn.CONCAT("Load"," ",filename_cont,"1.sim"),IF(K262="k",_xlfn.CONCAT("Load"," ",Data!$W$57,".sim"),"")),"Get Data")</f>
        <v>Get Data</v>
      </c>
      <c r="F262" s="88" t="str">
        <f>CVD_Script_Table!$H$25</f>
        <v>Line</v>
      </c>
      <c r="G262" s="88"/>
      <c r="H262" s="88"/>
      <c r="I262" s="88" t="str">
        <f t="shared" si="23"/>
        <v>Attachmenttype[122]</v>
      </c>
      <c r="J262" s="388">
        <f t="shared" si="24"/>
        <v>122</v>
      </c>
      <c r="K262" s="388" t="str">
        <f t="shared" si="25"/>
        <v/>
      </c>
      <c r="L262" s="388" t="str">
        <f t="shared" si="26"/>
        <v/>
      </c>
      <c r="M262" s="388" t="str">
        <f t="shared" si="27"/>
        <v/>
      </c>
      <c r="N262" s="389">
        <f t="shared" si="28"/>
        <v>122</v>
      </c>
    </row>
    <row r="263" spans="1:14" ht="13.5" customHeight="1" x14ac:dyDescent="0.25">
      <c r="A263" s="88" t="str">
        <f t="shared" si="21"/>
        <v>Auxiliar4</v>
      </c>
      <c r="B263" s="88"/>
      <c r="C263" s="88"/>
      <c r="D263" s="88" t="str">
        <f t="shared" si="22"/>
        <v>AA123</v>
      </c>
      <c r="E263" s="88" t="str">
        <f>IF(N263="",IF(J263="j",_xlfn.CONCAT("Load"," ",filename_cont,"1.sim"),IF(K263="k",_xlfn.CONCAT("Load"," ",Data!$W$57,".sim"),"")),"Get Data")</f>
        <v>Get Data</v>
      </c>
      <c r="F263" s="88" t="str">
        <f>CVD_Script_Table!$H$25</f>
        <v>Line</v>
      </c>
      <c r="G263" s="88"/>
      <c r="H263" s="88"/>
      <c r="I263" s="88" t="str">
        <f t="shared" si="23"/>
        <v>Attachmenttype[123]</v>
      </c>
      <c r="J263" s="388">
        <f t="shared" si="24"/>
        <v>123</v>
      </c>
      <c r="K263" s="388" t="str">
        <f t="shared" si="25"/>
        <v/>
      </c>
      <c r="L263" s="388" t="str">
        <f t="shared" si="26"/>
        <v/>
      </c>
      <c r="M263" s="388" t="str">
        <f t="shared" si="27"/>
        <v/>
      </c>
      <c r="N263" s="389">
        <f t="shared" si="28"/>
        <v>123</v>
      </c>
    </row>
    <row r="264" spans="1:14" ht="13.5" customHeight="1" x14ac:dyDescent="0.25">
      <c r="A264" s="88" t="str">
        <f t="shared" si="21"/>
        <v>Auxiliar4</v>
      </c>
      <c r="B264" s="88"/>
      <c r="C264" s="88"/>
      <c r="D264" s="88" t="str">
        <f t="shared" si="22"/>
        <v>AA124</v>
      </c>
      <c r="E264" s="88" t="str">
        <f>IF(N264="",IF(J264="j",_xlfn.CONCAT("Load"," ",filename_cont,"1.sim"),IF(K264="k",_xlfn.CONCAT("Load"," ",Data!$W$57,".sim"),"")),"Get Data")</f>
        <v>Get Data</v>
      </c>
      <c r="F264" s="88" t="str">
        <f>CVD_Script_Table!$H$25</f>
        <v>Line</v>
      </c>
      <c r="G264" s="88"/>
      <c r="H264" s="88"/>
      <c r="I264" s="88" t="str">
        <f t="shared" si="23"/>
        <v>Attachmenttype[124]</v>
      </c>
      <c r="J264" s="388">
        <f t="shared" si="24"/>
        <v>124</v>
      </c>
      <c r="K264" s="388" t="str">
        <f t="shared" si="25"/>
        <v/>
      </c>
      <c r="L264" s="388" t="str">
        <f t="shared" si="26"/>
        <v/>
      </c>
      <c r="M264" s="388" t="str">
        <f t="shared" si="27"/>
        <v/>
      </c>
      <c r="N264" s="389">
        <f t="shared" si="28"/>
        <v>124</v>
      </c>
    </row>
    <row r="265" spans="1:14" ht="13.5" customHeight="1" x14ac:dyDescent="0.25">
      <c r="A265" s="88" t="str">
        <f t="shared" si="21"/>
        <v>Auxiliar4</v>
      </c>
      <c r="B265" s="88"/>
      <c r="C265" s="88"/>
      <c r="D265" s="88" t="str">
        <f t="shared" si="22"/>
        <v>AA125</v>
      </c>
      <c r="E265" s="88" t="str">
        <f>IF(N265="",IF(J265="j",_xlfn.CONCAT("Load"," ",filename_cont,"1.sim"),IF(K265="k",_xlfn.CONCAT("Load"," ",Data!$W$57,".sim"),"")),"Get Data")</f>
        <v>Get Data</v>
      </c>
      <c r="F265" s="88" t="str">
        <f>CVD_Script_Table!$H$25</f>
        <v>Line</v>
      </c>
      <c r="G265" s="88"/>
      <c r="H265" s="88"/>
      <c r="I265" s="88" t="str">
        <f t="shared" si="23"/>
        <v>Attachmenttype[125]</v>
      </c>
      <c r="J265" s="388">
        <f t="shared" si="24"/>
        <v>125</v>
      </c>
      <c r="K265" s="388" t="str">
        <f t="shared" si="25"/>
        <v/>
      </c>
      <c r="L265" s="388" t="str">
        <f t="shared" si="26"/>
        <v/>
      </c>
      <c r="M265" s="388" t="str">
        <f t="shared" si="27"/>
        <v/>
      </c>
      <c r="N265" s="389">
        <f t="shared" si="28"/>
        <v>125</v>
      </c>
    </row>
    <row r="266" spans="1:14" ht="13.5" customHeight="1" x14ac:dyDescent="0.25">
      <c r="A266" s="88" t="str">
        <f t="shared" si="21"/>
        <v>Auxiliar4</v>
      </c>
      <c r="B266" s="88"/>
      <c r="C266" s="88"/>
      <c r="D266" s="88" t="str">
        <f t="shared" si="22"/>
        <v>AA126</v>
      </c>
      <c r="E266" s="88" t="str">
        <f>IF(N266="",IF(J266="j",_xlfn.CONCAT("Load"," ",filename_cont,"1.sim"),IF(K266="k",_xlfn.CONCAT("Load"," ",Data!$W$57,".sim"),"")),"Get Data")</f>
        <v>Get Data</v>
      </c>
      <c r="F266" s="88" t="str">
        <f>CVD_Script_Table!$H$25</f>
        <v>Line</v>
      </c>
      <c r="G266" s="88"/>
      <c r="H266" s="88"/>
      <c r="I266" s="88" t="str">
        <f t="shared" si="23"/>
        <v>Attachmenttype[126]</v>
      </c>
      <c r="J266" s="388">
        <f t="shared" si="24"/>
        <v>126</v>
      </c>
      <c r="K266" s="388" t="str">
        <f t="shared" si="25"/>
        <v/>
      </c>
      <c r="L266" s="388" t="str">
        <f t="shared" si="26"/>
        <v/>
      </c>
      <c r="M266" s="388" t="str">
        <f t="shared" si="27"/>
        <v/>
      </c>
      <c r="N266" s="389">
        <f t="shared" si="28"/>
        <v>126</v>
      </c>
    </row>
    <row r="267" spans="1:14" ht="13.5" customHeight="1" x14ac:dyDescent="0.25">
      <c r="A267" s="88" t="str">
        <f t="shared" si="21"/>
        <v>Auxiliar4</v>
      </c>
      <c r="B267" s="88"/>
      <c r="C267" s="88"/>
      <c r="D267" s="88" t="str">
        <f t="shared" si="22"/>
        <v>AA127</v>
      </c>
      <c r="E267" s="88" t="str">
        <f>IF(N267="",IF(J267="j",_xlfn.CONCAT("Load"," ",filename_cont,"1.sim"),IF(K267="k",_xlfn.CONCAT("Load"," ",Data!$W$57,".sim"),"")),"Get Data")</f>
        <v>Get Data</v>
      </c>
      <c r="F267" s="88" t="str">
        <f>CVD_Script_Table!$H$25</f>
        <v>Line</v>
      </c>
      <c r="G267" s="88"/>
      <c r="H267" s="88"/>
      <c r="I267" s="88" t="str">
        <f t="shared" si="23"/>
        <v>Attachmenttype[127]</v>
      </c>
      <c r="J267" s="388">
        <f t="shared" si="24"/>
        <v>127</v>
      </c>
      <c r="K267" s="388" t="str">
        <f t="shared" si="25"/>
        <v/>
      </c>
      <c r="L267" s="388" t="str">
        <f t="shared" si="26"/>
        <v/>
      </c>
      <c r="M267" s="388" t="str">
        <f t="shared" si="27"/>
        <v/>
      </c>
      <c r="N267" s="389">
        <f t="shared" si="28"/>
        <v>127</v>
      </c>
    </row>
    <row r="268" spans="1:14" ht="13.5" customHeight="1" x14ac:dyDescent="0.25">
      <c r="A268" s="88" t="str">
        <f t="shared" si="21"/>
        <v>Auxiliar4</v>
      </c>
      <c r="B268" s="88"/>
      <c r="C268" s="88"/>
      <c r="D268" s="88" t="str">
        <f t="shared" si="22"/>
        <v>AA128</v>
      </c>
      <c r="E268" s="88" t="str">
        <f>IF(N268="",IF(J268="j",_xlfn.CONCAT("Load"," ",filename_cont,"1.sim"),IF(K268="k",_xlfn.CONCAT("Load"," ",Data!$W$57,".sim"),"")),"Get Data")</f>
        <v>Get Data</v>
      </c>
      <c r="F268" s="88" t="str">
        <f>CVD_Script_Table!$H$25</f>
        <v>Line</v>
      </c>
      <c r="G268" s="88"/>
      <c r="H268" s="88"/>
      <c r="I268" s="88" t="str">
        <f t="shared" si="23"/>
        <v>Attachmenttype[128]</v>
      </c>
      <c r="J268" s="388">
        <f t="shared" si="24"/>
        <v>128</v>
      </c>
      <c r="K268" s="388" t="str">
        <f t="shared" si="25"/>
        <v/>
      </c>
      <c r="L268" s="388" t="str">
        <f t="shared" si="26"/>
        <v/>
      </c>
      <c r="M268" s="388" t="str">
        <f t="shared" si="27"/>
        <v/>
      </c>
      <c r="N268" s="389">
        <f t="shared" si="28"/>
        <v>128</v>
      </c>
    </row>
    <row r="269" spans="1:14" ht="13.5" customHeight="1" x14ac:dyDescent="0.25">
      <c r="A269" s="88" t="str">
        <f t="shared" ref="A269:A332" si="29">IF(N269="","",IF(ISNUMBER(J269),"Auxiliar4",IF(ISNUMBER(K269),"Auxiliar3",IF(ISNUMBER(L269),"Auxiliar2",IF(ISNUMBER(M269),"Auxiliar2")))))</f>
        <v>Auxiliar4</v>
      </c>
      <c r="B269" s="88"/>
      <c r="C269" s="88"/>
      <c r="D269" s="88" t="str">
        <f t="shared" ref="D269:D332" si="30">IF(N269="z",CONCATENATE("AB",M269),IF(N269="","",CONCATENATE("AA",N269)))</f>
        <v>AA129</v>
      </c>
      <c r="E269" s="88" t="str">
        <f>IF(N269="",IF(J269="j",_xlfn.CONCAT("Load"," ",filename_cont,"1.sim"),IF(K269="k",_xlfn.CONCAT("Load"," ",Data!$W$57,".sim"),"")),"Get Data")</f>
        <v>Get Data</v>
      </c>
      <c r="F269" s="88" t="str">
        <f>CVD_Script_Table!$H$25</f>
        <v>Line</v>
      </c>
      <c r="G269" s="88"/>
      <c r="H269" s="88"/>
      <c r="I269" s="88" t="str">
        <f t="shared" ref="I269:I332" si="31">IF(N269="z",CONCATENATE("Attachmentz[",M269,"]"),IF(N269="","",CONCATENATE("Attachmenttype[",N269,"]")))</f>
        <v>Attachmenttype[129]</v>
      </c>
      <c r="J269" s="388">
        <f t="shared" ref="J269:J332" si="32">IFERROR(IF(J268="",J$9+1,IF(J268=J$139,"j",J268+1)),"jj")</f>
        <v>129</v>
      </c>
      <c r="K269" s="388" t="str">
        <f t="shared" ref="K269:K332" si="33">IF((J269="jj"),IFERROR(IF(K268="",J$9+1,IF(K268=J$130,"k",K268+1)),"kk"),"")</f>
        <v/>
      </c>
      <c r="L269" s="388" t="str">
        <f t="shared" ref="L269:L332" si="34">IF((K269="kk"),IFERROR(IF(L268="",2,IF(L268=J$9,"l",L268+1)),"ll"),"")</f>
        <v/>
      </c>
      <c r="M269" s="388" t="str">
        <f t="shared" ref="M269:M332" si="35">IF(OR(L269="l",L269="ll"),IFERROR(IF(M268="",2,IF(M268=J$9,"m",M268+1)),"mm"),"")</f>
        <v/>
      </c>
      <c r="N269" s="389">
        <f t="shared" ref="N269:N332" si="36">IF(ISNUMBER(M269),"z",IF(ISNUMBER(L269),L269,IF(ISNUMBER(K269),K269,IF(ISNUMBER(J269),J269,""))))</f>
        <v>129</v>
      </c>
    </row>
    <row r="270" spans="1:14" ht="13.5" customHeight="1" x14ac:dyDescent="0.25">
      <c r="A270" s="88" t="str">
        <f t="shared" si="29"/>
        <v>Auxiliar4</v>
      </c>
      <c r="B270" s="88"/>
      <c r="C270" s="88"/>
      <c r="D270" s="88" t="str">
        <f t="shared" si="30"/>
        <v>AA130</v>
      </c>
      <c r="E270" s="88" t="str">
        <f>IF(N270="",IF(J270="j",_xlfn.CONCAT("Load"," ",filename_cont,"1.sim"),IF(K270="k",_xlfn.CONCAT("Load"," ",Data!$W$57,".sim"),"")),"Get Data")</f>
        <v>Get Data</v>
      </c>
      <c r="F270" s="88" t="str">
        <f>CVD_Script_Table!$H$25</f>
        <v>Line</v>
      </c>
      <c r="G270" s="88"/>
      <c r="H270" s="88"/>
      <c r="I270" s="88" t="str">
        <f t="shared" si="31"/>
        <v>Attachmenttype[130]</v>
      </c>
      <c r="J270" s="388">
        <f t="shared" si="32"/>
        <v>130</v>
      </c>
      <c r="K270" s="388" t="str">
        <f t="shared" si="33"/>
        <v/>
      </c>
      <c r="L270" s="388" t="str">
        <f t="shared" si="34"/>
        <v/>
      </c>
      <c r="M270" s="388" t="str">
        <f t="shared" si="35"/>
        <v/>
      </c>
      <c r="N270" s="389">
        <f t="shared" si="36"/>
        <v>130</v>
      </c>
    </row>
    <row r="271" spans="1:14" ht="13.5" customHeight="1" x14ac:dyDescent="0.25">
      <c r="A271" s="88" t="str">
        <f t="shared" si="29"/>
        <v>Auxiliar4</v>
      </c>
      <c r="B271" s="88"/>
      <c r="C271" s="88"/>
      <c r="D271" s="88" t="str">
        <f t="shared" si="30"/>
        <v>AA131</v>
      </c>
      <c r="E271" s="88" t="str">
        <f>IF(N271="",IF(J271="j",_xlfn.CONCAT("Load"," ",filename_cont,"1.sim"),IF(K271="k",_xlfn.CONCAT("Load"," ",Data!$W$57,".sim"),"")),"Get Data")</f>
        <v>Get Data</v>
      </c>
      <c r="F271" s="88" t="str">
        <f>CVD_Script_Table!$H$25</f>
        <v>Line</v>
      </c>
      <c r="G271" s="88"/>
      <c r="H271" s="88"/>
      <c r="I271" s="88" t="str">
        <f t="shared" si="31"/>
        <v>Attachmenttype[131]</v>
      </c>
      <c r="J271" s="388">
        <f t="shared" si="32"/>
        <v>131</v>
      </c>
      <c r="K271" s="388" t="str">
        <f t="shared" si="33"/>
        <v/>
      </c>
      <c r="L271" s="388" t="str">
        <f t="shared" si="34"/>
        <v/>
      </c>
      <c r="M271" s="388" t="str">
        <f t="shared" si="35"/>
        <v/>
      </c>
      <c r="N271" s="389">
        <f t="shared" si="36"/>
        <v>131</v>
      </c>
    </row>
    <row r="272" spans="1:14" ht="13.5" customHeight="1" x14ac:dyDescent="0.25">
      <c r="A272" s="88" t="str">
        <f t="shared" si="29"/>
        <v>Auxiliar4</v>
      </c>
      <c r="B272" s="88"/>
      <c r="C272" s="88"/>
      <c r="D272" s="88" t="str">
        <f t="shared" si="30"/>
        <v>AA132</v>
      </c>
      <c r="E272" s="88" t="str">
        <f>IF(N272="",IF(J272="j",_xlfn.CONCAT("Load"," ",filename_cont,"1.sim"),IF(K272="k",_xlfn.CONCAT("Load"," ",Data!$W$57,".sim"),"")),"Get Data")</f>
        <v>Get Data</v>
      </c>
      <c r="F272" s="88" t="str">
        <f>CVD_Script_Table!$H$25</f>
        <v>Line</v>
      </c>
      <c r="G272" s="88"/>
      <c r="H272" s="88"/>
      <c r="I272" s="88" t="str">
        <f t="shared" si="31"/>
        <v>Attachmenttype[132]</v>
      </c>
      <c r="J272" s="388">
        <f t="shared" si="32"/>
        <v>132</v>
      </c>
      <c r="K272" s="388" t="str">
        <f t="shared" si="33"/>
        <v/>
      </c>
      <c r="L272" s="388" t="str">
        <f t="shared" si="34"/>
        <v/>
      </c>
      <c r="M272" s="388" t="str">
        <f t="shared" si="35"/>
        <v/>
      </c>
      <c r="N272" s="389">
        <f t="shared" si="36"/>
        <v>132</v>
      </c>
    </row>
    <row r="273" spans="1:14" ht="13.5" customHeight="1" x14ac:dyDescent="0.25">
      <c r="A273" s="88" t="str">
        <f t="shared" si="29"/>
        <v>Auxiliar4</v>
      </c>
      <c r="B273" s="88"/>
      <c r="C273" s="88"/>
      <c r="D273" s="88" t="str">
        <f t="shared" si="30"/>
        <v>AA133</v>
      </c>
      <c r="E273" s="88" t="str">
        <f>IF(N273="",IF(J273="j",_xlfn.CONCAT("Load"," ",filename_cont,"1.sim"),IF(K273="k",_xlfn.CONCAT("Load"," ",Data!$W$57,".sim"),"")),"Get Data")</f>
        <v>Get Data</v>
      </c>
      <c r="F273" s="88" t="str">
        <f>CVD_Script_Table!$H$25</f>
        <v>Line</v>
      </c>
      <c r="G273" s="88"/>
      <c r="H273" s="88"/>
      <c r="I273" s="88" t="str">
        <f t="shared" si="31"/>
        <v>Attachmenttype[133]</v>
      </c>
      <c r="J273" s="388">
        <f t="shared" si="32"/>
        <v>133</v>
      </c>
      <c r="K273" s="388" t="str">
        <f t="shared" si="33"/>
        <v/>
      </c>
      <c r="L273" s="388" t="str">
        <f t="shared" si="34"/>
        <v/>
      </c>
      <c r="M273" s="388" t="str">
        <f t="shared" si="35"/>
        <v/>
      </c>
      <c r="N273" s="389">
        <f t="shared" si="36"/>
        <v>133</v>
      </c>
    </row>
    <row r="274" spans="1:14" ht="13.5" customHeight="1" x14ac:dyDescent="0.25">
      <c r="A274" s="88" t="str">
        <f t="shared" si="29"/>
        <v>Auxiliar4</v>
      </c>
      <c r="B274" s="88"/>
      <c r="C274" s="88"/>
      <c r="D274" s="88" t="str">
        <f t="shared" si="30"/>
        <v>AA134</v>
      </c>
      <c r="E274" s="88" t="str">
        <f>IF(N274="",IF(J274="j",_xlfn.CONCAT("Load"," ",filename_cont,"1.sim"),IF(K274="k",_xlfn.CONCAT("Load"," ",Data!$W$57,".sim"),"")),"Get Data")</f>
        <v>Get Data</v>
      </c>
      <c r="F274" s="88" t="str">
        <f>CVD_Script_Table!$H$25</f>
        <v>Line</v>
      </c>
      <c r="G274" s="88"/>
      <c r="H274" s="88"/>
      <c r="I274" s="88" t="str">
        <f t="shared" si="31"/>
        <v>Attachmenttype[134]</v>
      </c>
      <c r="J274" s="388">
        <f t="shared" si="32"/>
        <v>134</v>
      </c>
      <c r="K274" s="388" t="str">
        <f t="shared" si="33"/>
        <v/>
      </c>
      <c r="L274" s="388" t="str">
        <f t="shared" si="34"/>
        <v/>
      </c>
      <c r="M274" s="388" t="str">
        <f t="shared" si="35"/>
        <v/>
      </c>
      <c r="N274" s="389">
        <f t="shared" si="36"/>
        <v>134</v>
      </c>
    </row>
    <row r="275" spans="1:14" ht="13.5" customHeight="1" x14ac:dyDescent="0.25">
      <c r="A275" s="88" t="str">
        <f t="shared" si="29"/>
        <v>Auxiliar4</v>
      </c>
      <c r="B275" s="88"/>
      <c r="C275" s="88"/>
      <c r="D275" s="88" t="str">
        <f t="shared" si="30"/>
        <v>AA135</v>
      </c>
      <c r="E275" s="88" t="str">
        <f>IF(N275="",IF(J275="j",_xlfn.CONCAT("Load"," ",filename_cont,"1.sim"),IF(K275="k",_xlfn.CONCAT("Load"," ",Data!$W$57,".sim"),"")),"Get Data")</f>
        <v>Get Data</v>
      </c>
      <c r="F275" s="88" t="str">
        <f>CVD_Script_Table!$H$25</f>
        <v>Line</v>
      </c>
      <c r="G275" s="88"/>
      <c r="H275" s="88"/>
      <c r="I275" s="88" t="str">
        <f t="shared" si="31"/>
        <v>Attachmenttype[135]</v>
      </c>
      <c r="J275" s="388">
        <f t="shared" si="32"/>
        <v>135</v>
      </c>
      <c r="K275" s="388" t="str">
        <f t="shared" si="33"/>
        <v/>
      </c>
      <c r="L275" s="388" t="str">
        <f t="shared" si="34"/>
        <v/>
      </c>
      <c r="M275" s="388" t="str">
        <f t="shared" si="35"/>
        <v/>
      </c>
      <c r="N275" s="389">
        <f t="shared" si="36"/>
        <v>135</v>
      </c>
    </row>
    <row r="276" spans="1:14" ht="13.5" customHeight="1" x14ac:dyDescent="0.25">
      <c r="A276" s="88" t="str">
        <f t="shared" si="29"/>
        <v>Auxiliar4</v>
      </c>
      <c r="B276" s="88"/>
      <c r="C276" s="88"/>
      <c r="D276" s="88" t="str">
        <f t="shared" si="30"/>
        <v>AA136</v>
      </c>
      <c r="E276" s="88" t="str">
        <f>IF(N276="",IF(J276="j",_xlfn.CONCAT("Load"," ",filename_cont,"1.sim"),IF(K276="k",_xlfn.CONCAT("Load"," ",Data!$W$57,".sim"),"")),"Get Data")</f>
        <v>Get Data</v>
      </c>
      <c r="F276" s="88" t="str">
        <f>CVD_Script_Table!$H$25</f>
        <v>Line</v>
      </c>
      <c r="G276" s="88"/>
      <c r="H276" s="88"/>
      <c r="I276" s="88" t="str">
        <f t="shared" si="31"/>
        <v>Attachmenttype[136]</v>
      </c>
      <c r="J276" s="388">
        <f t="shared" si="32"/>
        <v>136</v>
      </c>
      <c r="K276" s="388" t="str">
        <f t="shared" si="33"/>
        <v/>
      </c>
      <c r="L276" s="388" t="str">
        <f t="shared" si="34"/>
        <v/>
      </c>
      <c r="M276" s="388" t="str">
        <f t="shared" si="35"/>
        <v/>
      </c>
      <c r="N276" s="389">
        <f t="shared" si="36"/>
        <v>136</v>
      </c>
    </row>
    <row r="277" spans="1:14" ht="13.5" customHeight="1" x14ac:dyDescent="0.25">
      <c r="A277" s="88" t="str">
        <f t="shared" si="29"/>
        <v>Auxiliar4</v>
      </c>
      <c r="B277" s="88"/>
      <c r="C277" s="88"/>
      <c r="D277" s="88" t="str">
        <f t="shared" si="30"/>
        <v>AA137</v>
      </c>
      <c r="E277" s="88" t="str">
        <f>IF(N277="",IF(J277="j",_xlfn.CONCAT("Load"," ",filename_cont,"1.sim"),IF(K277="k",_xlfn.CONCAT("Load"," ",Data!$W$57,".sim"),"")),"Get Data")</f>
        <v>Get Data</v>
      </c>
      <c r="F277" s="88" t="str">
        <f>CVD_Script_Table!$H$25</f>
        <v>Line</v>
      </c>
      <c r="G277" s="88"/>
      <c r="H277" s="88"/>
      <c r="I277" s="88" t="str">
        <f t="shared" si="31"/>
        <v>Attachmenttype[137]</v>
      </c>
      <c r="J277" s="388">
        <f t="shared" si="32"/>
        <v>137</v>
      </c>
      <c r="K277" s="388" t="str">
        <f t="shared" si="33"/>
        <v/>
      </c>
      <c r="L277" s="388" t="str">
        <f t="shared" si="34"/>
        <v/>
      </c>
      <c r="M277" s="388" t="str">
        <f t="shared" si="35"/>
        <v/>
      </c>
      <c r="N277" s="389">
        <f t="shared" si="36"/>
        <v>137</v>
      </c>
    </row>
    <row r="278" spans="1:14" ht="13.5" customHeight="1" x14ac:dyDescent="0.25">
      <c r="A278" s="88" t="str">
        <f t="shared" si="29"/>
        <v>Auxiliar4</v>
      </c>
      <c r="B278" s="88"/>
      <c r="C278" s="88"/>
      <c r="D278" s="88" t="str">
        <f t="shared" si="30"/>
        <v>AA138</v>
      </c>
      <c r="E278" s="88" t="str">
        <f>IF(N278="",IF(J278="j",_xlfn.CONCAT("Load"," ",filename_cont,"1.sim"),IF(K278="k",_xlfn.CONCAT("Load"," ",Data!$W$57,".sim"),"")),"Get Data")</f>
        <v>Get Data</v>
      </c>
      <c r="F278" s="88" t="str">
        <f>CVD_Script_Table!$H$25</f>
        <v>Line</v>
      </c>
      <c r="G278" s="88"/>
      <c r="H278" s="88"/>
      <c r="I278" s="88" t="str">
        <f t="shared" si="31"/>
        <v>Attachmenttype[138]</v>
      </c>
      <c r="J278" s="388">
        <f t="shared" si="32"/>
        <v>138</v>
      </c>
      <c r="K278" s="388" t="str">
        <f t="shared" si="33"/>
        <v/>
      </c>
      <c r="L278" s="388" t="str">
        <f t="shared" si="34"/>
        <v/>
      </c>
      <c r="M278" s="388" t="str">
        <f t="shared" si="35"/>
        <v/>
      </c>
      <c r="N278" s="389">
        <f t="shared" si="36"/>
        <v>138</v>
      </c>
    </row>
    <row r="279" spans="1:14" ht="13.5" customHeight="1" x14ac:dyDescent="0.25">
      <c r="A279" s="88" t="str">
        <f t="shared" si="29"/>
        <v>Auxiliar4</v>
      </c>
      <c r="B279" s="88"/>
      <c r="C279" s="88"/>
      <c r="D279" s="88" t="str">
        <f t="shared" si="30"/>
        <v>AA139</v>
      </c>
      <c r="E279" s="88" t="str">
        <f>IF(N279="",IF(J279="j",_xlfn.CONCAT("Load"," ",filename_cont,"1.sim"),IF(K279="k",_xlfn.CONCAT("Load"," ",Data!$W$57,".sim"),"")),"Get Data")</f>
        <v>Get Data</v>
      </c>
      <c r="F279" s="88" t="str">
        <f>CVD_Script_Table!$H$25</f>
        <v>Line</v>
      </c>
      <c r="G279" s="88"/>
      <c r="H279" s="88"/>
      <c r="I279" s="88" t="str">
        <f t="shared" si="31"/>
        <v>Attachmenttype[139]</v>
      </c>
      <c r="J279" s="388">
        <f t="shared" si="32"/>
        <v>139</v>
      </c>
      <c r="K279" s="388" t="str">
        <f t="shared" si="33"/>
        <v/>
      </c>
      <c r="L279" s="388" t="str">
        <f t="shared" si="34"/>
        <v/>
      </c>
      <c r="M279" s="388" t="str">
        <f t="shared" si="35"/>
        <v/>
      </c>
      <c r="N279" s="389">
        <f t="shared" si="36"/>
        <v>139</v>
      </c>
    </row>
    <row r="280" spans="1:14" ht="13.5" customHeight="1" x14ac:dyDescent="0.25">
      <c r="A280" s="88" t="str">
        <f t="shared" si="29"/>
        <v>Auxiliar4</v>
      </c>
      <c r="B280" s="88"/>
      <c r="C280" s="88"/>
      <c r="D280" s="88" t="str">
        <f t="shared" si="30"/>
        <v>AA140</v>
      </c>
      <c r="E280" s="88" t="str">
        <f>IF(N280="",IF(J280="j",_xlfn.CONCAT("Load"," ",filename_cont,"1.sim"),IF(K280="k",_xlfn.CONCAT("Load"," ",Data!$W$57,".sim"),"")),"Get Data")</f>
        <v>Get Data</v>
      </c>
      <c r="F280" s="88" t="str">
        <f>CVD_Script_Table!$H$25</f>
        <v>Line</v>
      </c>
      <c r="G280" s="88"/>
      <c r="H280" s="88"/>
      <c r="I280" s="88" t="str">
        <f t="shared" si="31"/>
        <v>Attachmenttype[140]</v>
      </c>
      <c r="J280" s="388">
        <f t="shared" si="32"/>
        <v>140</v>
      </c>
      <c r="K280" s="388" t="str">
        <f t="shared" si="33"/>
        <v/>
      </c>
      <c r="L280" s="388" t="str">
        <f t="shared" si="34"/>
        <v/>
      </c>
      <c r="M280" s="388" t="str">
        <f t="shared" si="35"/>
        <v/>
      </c>
      <c r="N280" s="389">
        <f t="shared" si="36"/>
        <v>140</v>
      </c>
    </row>
    <row r="281" spans="1:14" ht="13.5" customHeight="1" x14ac:dyDescent="0.25">
      <c r="A281" s="88" t="str">
        <f t="shared" si="29"/>
        <v>Auxiliar4</v>
      </c>
      <c r="B281" s="88"/>
      <c r="C281" s="88"/>
      <c r="D281" s="88" t="str">
        <f t="shared" si="30"/>
        <v>AA141</v>
      </c>
      <c r="E281" s="88" t="str">
        <f>IF(N281="",IF(J281="j",_xlfn.CONCAT("Load"," ",filename_cont,"1.sim"),IF(K281="k",_xlfn.CONCAT("Load"," ",Data!$W$57,".sim"),"")),"Get Data")</f>
        <v>Get Data</v>
      </c>
      <c r="F281" s="88" t="str">
        <f>CVD_Script_Table!$H$25</f>
        <v>Line</v>
      </c>
      <c r="G281" s="88"/>
      <c r="H281" s="88"/>
      <c r="I281" s="88" t="str">
        <f t="shared" si="31"/>
        <v>Attachmenttype[141]</v>
      </c>
      <c r="J281" s="388">
        <f t="shared" si="32"/>
        <v>141</v>
      </c>
      <c r="K281" s="388" t="str">
        <f t="shared" si="33"/>
        <v/>
      </c>
      <c r="L281" s="388" t="str">
        <f t="shared" si="34"/>
        <v/>
      </c>
      <c r="M281" s="388" t="str">
        <f t="shared" si="35"/>
        <v/>
      </c>
      <c r="N281" s="389">
        <f t="shared" si="36"/>
        <v>141</v>
      </c>
    </row>
    <row r="282" spans="1:14" ht="13.5" customHeight="1" x14ac:dyDescent="0.25">
      <c r="A282" s="88" t="str">
        <f t="shared" si="29"/>
        <v>Auxiliar4</v>
      </c>
      <c r="B282" s="88"/>
      <c r="C282" s="88"/>
      <c r="D282" s="88" t="str">
        <f t="shared" si="30"/>
        <v>AA142</v>
      </c>
      <c r="E282" s="88" t="str">
        <f>IF(N282="",IF(J282="j",_xlfn.CONCAT("Load"," ",filename_cont,"1.sim"),IF(K282="k",_xlfn.CONCAT("Load"," ",Data!$W$57,".sim"),"")),"Get Data")</f>
        <v>Get Data</v>
      </c>
      <c r="F282" s="88" t="str">
        <f>CVD_Script_Table!$H$25</f>
        <v>Line</v>
      </c>
      <c r="G282" s="88"/>
      <c r="H282" s="88"/>
      <c r="I282" s="88" t="str">
        <f t="shared" si="31"/>
        <v>Attachmenttype[142]</v>
      </c>
      <c r="J282" s="388">
        <f t="shared" si="32"/>
        <v>142</v>
      </c>
      <c r="K282" s="388" t="str">
        <f t="shared" si="33"/>
        <v/>
      </c>
      <c r="L282" s="388" t="str">
        <f t="shared" si="34"/>
        <v/>
      </c>
      <c r="M282" s="388" t="str">
        <f t="shared" si="35"/>
        <v/>
      </c>
      <c r="N282" s="389">
        <f t="shared" si="36"/>
        <v>142</v>
      </c>
    </row>
    <row r="283" spans="1:14" ht="13.5" customHeight="1" x14ac:dyDescent="0.25">
      <c r="A283" s="88" t="str">
        <f t="shared" si="29"/>
        <v>Auxiliar4</v>
      </c>
      <c r="B283" s="88"/>
      <c r="C283" s="88"/>
      <c r="D283" s="88" t="str">
        <f t="shared" si="30"/>
        <v>AA143</v>
      </c>
      <c r="E283" s="88" t="str">
        <f>IF(N283="",IF(J283="j",_xlfn.CONCAT("Load"," ",filename_cont,"1.sim"),IF(K283="k",_xlfn.CONCAT("Load"," ",Data!$W$57,".sim"),"")),"Get Data")</f>
        <v>Get Data</v>
      </c>
      <c r="F283" s="88" t="str">
        <f>CVD_Script_Table!$H$25</f>
        <v>Line</v>
      </c>
      <c r="G283" s="88"/>
      <c r="H283" s="88"/>
      <c r="I283" s="88" t="str">
        <f t="shared" si="31"/>
        <v>Attachmenttype[143]</v>
      </c>
      <c r="J283" s="388">
        <f t="shared" si="32"/>
        <v>143</v>
      </c>
      <c r="K283" s="388" t="str">
        <f t="shared" si="33"/>
        <v/>
      </c>
      <c r="L283" s="388" t="str">
        <f t="shared" si="34"/>
        <v/>
      </c>
      <c r="M283" s="388" t="str">
        <f t="shared" si="35"/>
        <v/>
      </c>
      <c r="N283" s="389">
        <f t="shared" si="36"/>
        <v>143</v>
      </c>
    </row>
    <row r="284" spans="1:14" ht="13.5" customHeight="1" x14ac:dyDescent="0.25">
      <c r="A284" s="88" t="str">
        <f t="shared" si="29"/>
        <v>Auxiliar4</v>
      </c>
      <c r="B284" s="88"/>
      <c r="C284" s="88"/>
      <c r="D284" s="88" t="str">
        <f t="shared" si="30"/>
        <v>AA144</v>
      </c>
      <c r="E284" s="88" t="str">
        <f>IF(N284="",IF(J284="j",_xlfn.CONCAT("Load"," ",filename_cont,"1.sim"),IF(K284="k",_xlfn.CONCAT("Load"," ",Data!$W$57,".sim"),"")),"Get Data")</f>
        <v>Get Data</v>
      </c>
      <c r="F284" s="88" t="str">
        <f>CVD_Script_Table!$H$25</f>
        <v>Line</v>
      </c>
      <c r="G284" s="88"/>
      <c r="H284" s="88"/>
      <c r="I284" s="88" t="str">
        <f t="shared" si="31"/>
        <v>Attachmenttype[144]</v>
      </c>
      <c r="J284" s="388">
        <f t="shared" si="32"/>
        <v>144</v>
      </c>
      <c r="K284" s="388" t="str">
        <f t="shared" si="33"/>
        <v/>
      </c>
      <c r="L284" s="388" t="str">
        <f t="shared" si="34"/>
        <v/>
      </c>
      <c r="M284" s="388" t="str">
        <f t="shared" si="35"/>
        <v/>
      </c>
      <c r="N284" s="389">
        <f t="shared" si="36"/>
        <v>144</v>
      </c>
    </row>
    <row r="285" spans="1:14" ht="13.5" customHeight="1" x14ac:dyDescent="0.25">
      <c r="A285" s="88" t="str">
        <f t="shared" si="29"/>
        <v>Auxiliar4</v>
      </c>
      <c r="B285" s="88"/>
      <c r="C285" s="88"/>
      <c r="D285" s="88" t="str">
        <f t="shared" si="30"/>
        <v>AA145</v>
      </c>
      <c r="E285" s="88" t="str">
        <f>IF(N285="",IF(J285="j",_xlfn.CONCAT("Load"," ",filename_cont,"1.sim"),IF(K285="k",_xlfn.CONCAT("Load"," ",Data!$W$57,".sim"),"")),"Get Data")</f>
        <v>Get Data</v>
      </c>
      <c r="F285" s="88" t="str">
        <f>CVD_Script_Table!$H$25</f>
        <v>Line</v>
      </c>
      <c r="G285" s="88"/>
      <c r="H285" s="88"/>
      <c r="I285" s="88" t="str">
        <f t="shared" si="31"/>
        <v>Attachmenttype[145]</v>
      </c>
      <c r="J285" s="388">
        <f t="shared" si="32"/>
        <v>145</v>
      </c>
      <c r="K285" s="388" t="str">
        <f t="shared" si="33"/>
        <v/>
      </c>
      <c r="L285" s="388" t="str">
        <f t="shared" si="34"/>
        <v/>
      </c>
      <c r="M285" s="388" t="str">
        <f t="shared" si="35"/>
        <v/>
      </c>
      <c r="N285" s="389">
        <f t="shared" si="36"/>
        <v>145</v>
      </c>
    </row>
    <row r="286" spans="1:14" ht="13.5" customHeight="1" x14ac:dyDescent="0.25">
      <c r="A286" s="88" t="str">
        <f t="shared" si="29"/>
        <v>Auxiliar4</v>
      </c>
      <c r="B286" s="88"/>
      <c r="C286" s="88"/>
      <c r="D286" s="88" t="str">
        <f t="shared" si="30"/>
        <v>AA146</v>
      </c>
      <c r="E286" s="88" t="str">
        <f>IF(N286="",IF(J286="j",_xlfn.CONCAT("Load"," ",filename_cont,"1.sim"),IF(K286="k",_xlfn.CONCAT("Load"," ",Data!$W$57,".sim"),"")),"Get Data")</f>
        <v>Get Data</v>
      </c>
      <c r="F286" s="88" t="str">
        <f>CVD_Script_Table!$H$25</f>
        <v>Line</v>
      </c>
      <c r="G286" s="88"/>
      <c r="H286" s="88"/>
      <c r="I286" s="88" t="str">
        <f t="shared" si="31"/>
        <v>Attachmenttype[146]</v>
      </c>
      <c r="J286" s="388">
        <f t="shared" si="32"/>
        <v>146</v>
      </c>
      <c r="K286" s="388" t="str">
        <f t="shared" si="33"/>
        <v/>
      </c>
      <c r="L286" s="388" t="str">
        <f t="shared" si="34"/>
        <v/>
      </c>
      <c r="M286" s="388" t="str">
        <f t="shared" si="35"/>
        <v/>
      </c>
      <c r="N286" s="389">
        <f t="shared" si="36"/>
        <v>146</v>
      </c>
    </row>
    <row r="287" spans="1:14" ht="13.5" customHeight="1" x14ac:dyDescent="0.25">
      <c r="A287" s="88" t="str">
        <f t="shared" si="29"/>
        <v>Auxiliar4</v>
      </c>
      <c r="B287" s="88"/>
      <c r="C287" s="88"/>
      <c r="D287" s="88" t="str">
        <f t="shared" si="30"/>
        <v>AA147</v>
      </c>
      <c r="E287" s="88" t="str">
        <f>IF(N287="",IF(J287="j",_xlfn.CONCAT("Load"," ",filename_cont,"1.sim"),IF(K287="k",_xlfn.CONCAT("Load"," ",Data!$W$57,".sim"),"")),"Get Data")</f>
        <v>Get Data</v>
      </c>
      <c r="F287" s="88" t="str">
        <f>CVD_Script_Table!$H$25</f>
        <v>Line</v>
      </c>
      <c r="G287" s="88"/>
      <c r="H287" s="88"/>
      <c r="I287" s="88" t="str">
        <f t="shared" si="31"/>
        <v>Attachmenttype[147]</v>
      </c>
      <c r="J287" s="388">
        <f t="shared" si="32"/>
        <v>147</v>
      </c>
      <c r="K287" s="388" t="str">
        <f t="shared" si="33"/>
        <v/>
      </c>
      <c r="L287" s="388" t="str">
        <f t="shared" si="34"/>
        <v/>
      </c>
      <c r="M287" s="388" t="str">
        <f t="shared" si="35"/>
        <v/>
      </c>
      <c r="N287" s="389">
        <f t="shared" si="36"/>
        <v>147</v>
      </c>
    </row>
    <row r="288" spans="1:14" ht="13.5" customHeight="1" x14ac:dyDescent="0.25">
      <c r="A288" s="88" t="str">
        <f t="shared" si="29"/>
        <v>Auxiliar4</v>
      </c>
      <c r="B288" s="88"/>
      <c r="C288" s="88"/>
      <c r="D288" s="88" t="str">
        <f t="shared" si="30"/>
        <v>AA148</v>
      </c>
      <c r="E288" s="88" t="str">
        <f>IF(N288="",IF(J288="j",_xlfn.CONCAT("Load"," ",filename_cont,"1.sim"),IF(K288="k",_xlfn.CONCAT("Load"," ",Data!$W$57,".sim"),"")),"Get Data")</f>
        <v>Get Data</v>
      </c>
      <c r="F288" s="88" t="str">
        <f>CVD_Script_Table!$H$25</f>
        <v>Line</v>
      </c>
      <c r="G288" s="88"/>
      <c r="H288" s="88"/>
      <c r="I288" s="88" t="str">
        <f t="shared" si="31"/>
        <v>Attachmenttype[148]</v>
      </c>
      <c r="J288" s="388">
        <f t="shared" si="32"/>
        <v>148</v>
      </c>
      <c r="K288" s="388" t="str">
        <f t="shared" si="33"/>
        <v/>
      </c>
      <c r="L288" s="388" t="str">
        <f t="shared" si="34"/>
        <v/>
      </c>
      <c r="M288" s="388" t="str">
        <f t="shared" si="35"/>
        <v/>
      </c>
      <c r="N288" s="389">
        <f t="shared" si="36"/>
        <v>148</v>
      </c>
    </row>
    <row r="289" spans="1:14" ht="13.5" customHeight="1" x14ac:dyDescent="0.25">
      <c r="A289" s="88" t="str">
        <f t="shared" si="29"/>
        <v>Auxiliar4</v>
      </c>
      <c r="B289" s="88"/>
      <c r="C289" s="88"/>
      <c r="D289" s="88" t="str">
        <f t="shared" si="30"/>
        <v>AA149</v>
      </c>
      <c r="E289" s="88" t="str">
        <f>IF(N289="",IF(J289="j",_xlfn.CONCAT("Load"," ",filename_cont,"1.sim"),IF(K289="k",_xlfn.CONCAT("Load"," ",Data!$W$57,".sim"),"")),"Get Data")</f>
        <v>Get Data</v>
      </c>
      <c r="F289" s="88" t="str">
        <f>CVD_Script_Table!$H$25</f>
        <v>Line</v>
      </c>
      <c r="G289" s="88"/>
      <c r="H289" s="88"/>
      <c r="I289" s="88" t="str">
        <f t="shared" si="31"/>
        <v>Attachmenttype[149]</v>
      </c>
      <c r="J289" s="388">
        <f t="shared" si="32"/>
        <v>149</v>
      </c>
      <c r="K289" s="388" t="str">
        <f t="shared" si="33"/>
        <v/>
      </c>
      <c r="L289" s="388" t="str">
        <f t="shared" si="34"/>
        <v/>
      </c>
      <c r="M289" s="388" t="str">
        <f t="shared" si="35"/>
        <v/>
      </c>
      <c r="N289" s="389">
        <f t="shared" si="36"/>
        <v>149</v>
      </c>
    </row>
    <row r="290" spans="1:14" ht="13.5" customHeight="1" x14ac:dyDescent="0.25">
      <c r="A290" s="88" t="str">
        <f t="shared" si="29"/>
        <v>Auxiliar4</v>
      </c>
      <c r="B290" s="88"/>
      <c r="C290" s="88"/>
      <c r="D290" s="88" t="str">
        <f t="shared" si="30"/>
        <v>AA150</v>
      </c>
      <c r="E290" s="88" t="str">
        <f>IF(N290="",IF(J290="j",_xlfn.CONCAT("Load"," ",filename_cont,"1.sim"),IF(K290="k",_xlfn.CONCAT("Load"," ",Data!$W$57,".sim"),"")),"Get Data")</f>
        <v>Get Data</v>
      </c>
      <c r="F290" s="88" t="str">
        <f>CVD_Script_Table!$H$25</f>
        <v>Line</v>
      </c>
      <c r="G290" s="88"/>
      <c r="H290" s="88"/>
      <c r="I290" s="88" t="str">
        <f t="shared" si="31"/>
        <v>Attachmenttype[150]</v>
      </c>
      <c r="J290" s="388">
        <f t="shared" si="32"/>
        <v>150</v>
      </c>
      <c r="K290" s="388" t="str">
        <f t="shared" si="33"/>
        <v/>
      </c>
      <c r="L290" s="388" t="str">
        <f t="shared" si="34"/>
        <v/>
      </c>
      <c r="M290" s="388" t="str">
        <f t="shared" si="35"/>
        <v/>
      </c>
      <c r="N290" s="389">
        <f t="shared" si="36"/>
        <v>150</v>
      </c>
    </row>
    <row r="291" spans="1:14" ht="13.5" customHeight="1" x14ac:dyDescent="0.25">
      <c r="A291" s="88" t="str">
        <f t="shared" si="29"/>
        <v>Auxiliar4</v>
      </c>
      <c r="B291" s="88"/>
      <c r="C291" s="88"/>
      <c r="D291" s="88" t="str">
        <f t="shared" si="30"/>
        <v>AA151</v>
      </c>
      <c r="E291" s="88" t="str">
        <f>IF(N291="",IF(J291="j",_xlfn.CONCAT("Load"," ",filename_cont,"1.sim"),IF(K291="k",_xlfn.CONCAT("Load"," ",Data!$W$57,".sim"),"")),"Get Data")</f>
        <v>Get Data</v>
      </c>
      <c r="F291" s="88" t="str">
        <f>CVD_Script_Table!$H$25</f>
        <v>Line</v>
      </c>
      <c r="G291" s="88"/>
      <c r="H291" s="88"/>
      <c r="I291" s="88" t="str">
        <f t="shared" si="31"/>
        <v>Attachmenttype[151]</v>
      </c>
      <c r="J291" s="388">
        <f t="shared" si="32"/>
        <v>151</v>
      </c>
      <c r="K291" s="388" t="str">
        <f t="shared" si="33"/>
        <v/>
      </c>
      <c r="L291" s="388" t="str">
        <f t="shared" si="34"/>
        <v/>
      </c>
      <c r="M291" s="388" t="str">
        <f t="shared" si="35"/>
        <v/>
      </c>
      <c r="N291" s="389">
        <f t="shared" si="36"/>
        <v>151</v>
      </c>
    </row>
    <row r="292" spans="1:14" ht="13.5" customHeight="1" x14ac:dyDescent="0.25">
      <c r="A292" s="88" t="str">
        <f t="shared" si="29"/>
        <v>Auxiliar4</v>
      </c>
      <c r="B292" s="88"/>
      <c r="C292" s="88"/>
      <c r="D292" s="88" t="str">
        <f t="shared" si="30"/>
        <v>AA152</v>
      </c>
      <c r="E292" s="88" t="str">
        <f>IF(N292="",IF(J292="j",_xlfn.CONCAT("Load"," ",filename_cont,"1.sim"),IF(K292="k",_xlfn.CONCAT("Load"," ",Data!$W$57,".sim"),"")),"Get Data")</f>
        <v>Get Data</v>
      </c>
      <c r="F292" s="88" t="str">
        <f>CVD_Script_Table!$H$25</f>
        <v>Line</v>
      </c>
      <c r="G292" s="88"/>
      <c r="H292" s="88"/>
      <c r="I292" s="88" t="str">
        <f t="shared" si="31"/>
        <v>Attachmenttype[152]</v>
      </c>
      <c r="J292" s="388">
        <f t="shared" si="32"/>
        <v>152</v>
      </c>
      <c r="K292" s="388" t="str">
        <f t="shared" si="33"/>
        <v/>
      </c>
      <c r="L292" s="388" t="str">
        <f t="shared" si="34"/>
        <v/>
      </c>
      <c r="M292" s="388" t="str">
        <f t="shared" si="35"/>
        <v/>
      </c>
      <c r="N292" s="389">
        <f t="shared" si="36"/>
        <v>152</v>
      </c>
    </row>
    <row r="293" spans="1:14" ht="13.5" customHeight="1" x14ac:dyDescent="0.25">
      <c r="A293" s="88" t="str">
        <f t="shared" si="29"/>
        <v>Auxiliar4</v>
      </c>
      <c r="B293" s="88"/>
      <c r="C293" s="88"/>
      <c r="D293" s="88" t="str">
        <f t="shared" si="30"/>
        <v>AA153</v>
      </c>
      <c r="E293" s="88" t="str">
        <f>IF(N293="",IF(J293="j",_xlfn.CONCAT("Load"," ",filename_cont,"1.sim"),IF(K293="k",_xlfn.CONCAT("Load"," ",Data!$W$57,".sim"),"")),"Get Data")</f>
        <v>Get Data</v>
      </c>
      <c r="F293" s="88" t="str">
        <f>CVD_Script_Table!$H$25</f>
        <v>Line</v>
      </c>
      <c r="G293" s="88"/>
      <c r="H293" s="88"/>
      <c r="I293" s="88" t="str">
        <f t="shared" si="31"/>
        <v>Attachmenttype[153]</v>
      </c>
      <c r="J293" s="388">
        <f t="shared" si="32"/>
        <v>153</v>
      </c>
      <c r="K293" s="388" t="str">
        <f t="shared" si="33"/>
        <v/>
      </c>
      <c r="L293" s="388" t="str">
        <f t="shared" si="34"/>
        <v/>
      </c>
      <c r="M293" s="388" t="str">
        <f t="shared" si="35"/>
        <v/>
      </c>
      <c r="N293" s="389">
        <f t="shared" si="36"/>
        <v>153</v>
      </c>
    </row>
    <row r="294" spans="1:14" ht="13.5" customHeight="1" x14ac:dyDescent="0.25">
      <c r="A294" s="88" t="str">
        <f t="shared" si="29"/>
        <v>Auxiliar4</v>
      </c>
      <c r="B294" s="88"/>
      <c r="C294" s="88"/>
      <c r="D294" s="88" t="str">
        <f t="shared" si="30"/>
        <v>AA154</v>
      </c>
      <c r="E294" s="88" t="str">
        <f>IF(N294="",IF(J294="j",_xlfn.CONCAT("Load"," ",filename_cont,"1.sim"),IF(K294="k",_xlfn.CONCAT("Load"," ",Data!$W$57,".sim"),"")),"Get Data")</f>
        <v>Get Data</v>
      </c>
      <c r="F294" s="88" t="str">
        <f>CVD_Script_Table!$H$25</f>
        <v>Line</v>
      </c>
      <c r="G294" s="88"/>
      <c r="H294" s="88"/>
      <c r="I294" s="88" t="str">
        <f t="shared" si="31"/>
        <v>Attachmenttype[154]</v>
      </c>
      <c r="J294" s="388">
        <f t="shared" si="32"/>
        <v>154</v>
      </c>
      <c r="K294" s="388" t="str">
        <f t="shared" si="33"/>
        <v/>
      </c>
      <c r="L294" s="388" t="str">
        <f t="shared" si="34"/>
        <v/>
      </c>
      <c r="M294" s="388" t="str">
        <f t="shared" si="35"/>
        <v/>
      </c>
      <c r="N294" s="389">
        <f t="shared" si="36"/>
        <v>154</v>
      </c>
    </row>
    <row r="295" spans="1:14" ht="13.5" customHeight="1" x14ac:dyDescent="0.25">
      <c r="A295" s="88" t="str">
        <f t="shared" si="29"/>
        <v>Auxiliar4</v>
      </c>
      <c r="B295" s="88"/>
      <c r="C295" s="88"/>
      <c r="D295" s="88" t="str">
        <f t="shared" si="30"/>
        <v>AA155</v>
      </c>
      <c r="E295" s="88" t="str">
        <f>IF(N295="",IF(J295="j",_xlfn.CONCAT("Load"," ",filename_cont,"1.sim"),IF(K295="k",_xlfn.CONCAT("Load"," ",Data!$W$57,".sim"),"")),"Get Data")</f>
        <v>Get Data</v>
      </c>
      <c r="F295" s="88" t="str">
        <f>CVD_Script_Table!$H$25</f>
        <v>Line</v>
      </c>
      <c r="G295" s="88"/>
      <c r="H295" s="88"/>
      <c r="I295" s="88" t="str">
        <f t="shared" si="31"/>
        <v>Attachmenttype[155]</v>
      </c>
      <c r="J295" s="388">
        <f t="shared" si="32"/>
        <v>155</v>
      </c>
      <c r="K295" s="388" t="str">
        <f t="shared" si="33"/>
        <v/>
      </c>
      <c r="L295" s="388" t="str">
        <f t="shared" si="34"/>
        <v/>
      </c>
      <c r="M295" s="388" t="str">
        <f t="shared" si="35"/>
        <v/>
      </c>
      <c r="N295" s="389">
        <f t="shared" si="36"/>
        <v>155</v>
      </c>
    </row>
    <row r="296" spans="1:14" ht="13.5" customHeight="1" x14ac:dyDescent="0.25">
      <c r="A296" s="88" t="str">
        <f t="shared" si="29"/>
        <v>Auxiliar4</v>
      </c>
      <c r="B296" s="88"/>
      <c r="C296" s="88"/>
      <c r="D296" s="88" t="str">
        <f t="shared" si="30"/>
        <v>AA156</v>
      </c>
      <c r="E296" s="88" t="str">
        <f>IF(N296="",IF(J296="j",_xlfn.CONCAT("Load"," ",filename_cont,"1.sim"),IF(K296="k",_xlfn.CONCAT("Load"," ",Data!$W$57,".sim"),"")),"Get Data")</f>
        <v>Get Data</v>
      </c>
      <c r="F296" s="88" t="str">
        <f>CVD_Script_Table!$H$25</f>
        <v>Line</v>
      </c>
      <c r="G296" s="88"/>
      <c r="H296" s="88"/>
      <c r="I296" s="88" t="str">
        <f t="shared" si="31"/>
        <v>Attachmenttype[156]</v>
      </c>
      <c r="J296" s="388">
        <f t="shared" si="32"/>
        <v>156</v>
      </c>
      <c r="K296" s="388" t="str">
        <f t="shared" si="33"/>
        <v/>
      </c>
      <c r="L296" s="388" t="str">
        <f t="shared" si="34"/>
        <v/>
      </c>
      <c r="M296" s="388" t="str">
        <f t="shared" si="35"/>
        <v/>
      </c>
      <c r="N296" s="389">
        <f t="shared" si="36"/>
        <v>156</v>
      </c>
    </row>
    <row r="297" spans="1:14" ht="13.5" customHeight="1" x14ac:dyDescent="0.25">
      <c r="A297" s="88" t="str">
        <f t="shared" si="29"/>
        <v>Auxiliar4</v>
      </c>
      <c r="B297" s="88"/>
      <c r="C297" s="88"/>
      <c r="D297" s="88" t="str">
        <f t="shared" si="30"/>
        <v>AA157</v>
      </c>
      <c r="E297" s="88" t="str">
        <f>IF(N297="",IF(J297="j",_xlfn.CONCAT("Load"," ",filename_cont,"1.sim"),IF(K297="k",_xlfn.CONCAT("Load"," ",Data!$W$57,".sim"),"")),"Get Data")</f>
        <v>Get Data</v>
      </c>
      <c r="F297" s="88" t="str">
        <f>CVD_Script_Table!$H$25</f>
        <v>Line</v>
      </c>
      <c r="G297" s="88"/>
      <c r="H297" s="88"/>
      <c r="I297" s="88" t="str">
        <f t="shared" si="31"/>
        <v>Attachmenttype[157]</v>
      </c>
      <c r="J297" s="388">
        <f t="shared" si="32"/>
        <v>157</v>
      </c>
      <c r="K297" s="388" t="str">
        <f t="shared" si="33"/>
        <v/>
      </c>
      <c r="L297" s="388" t="str">
        <f t="shared" si="34"/>
        <v/>
      </c>
      <c r="M297" s="388" t="str">
        <f t="shared" si="35"/>
        <v/>
      </c>
      <c r="N297" s="389">
        <f t="shared" si="36"/>
        <v>157</v>
      </c>
    </row>
    <row r="298" spans="1:14" ht="13.5" customHeight="1" x14ac:dyDescent="0.25">
      <c r="A298" s="88" t="str">
        <f t="shared" si="29"/>
        <v>Auxiliar4</v>
      </c>
      <c r="B298" s="88"/>
      <c r="C298" s="88"/>
      <c r="D298" s="88" t="str">
        <f t="shared" si="30"/>
        <v>AA158</v>
      </c>
      <c r="E298" s="88" t="str">
        <f>IF(N298="",IF(J298="j",_xlfn.CONCAT("Load"," ",filename_cont,"1.sim"),IF(K298="k",_xlfn.CONCAT("Load"," ",Data!$W$57,".sim"),"")),"Get Data")</f>
        <v>Get Data</v>
      </c>
      <c r="F298" s="88" t="str">
        <f>CVD_Script_Table!$H$25</f>
        <v>Line</v>
      </c>
      <c r="G298" s="88"/>
      <c r="H298" s="88"/>
      <c r="I298" s="88" t="str">
        <f t="shared" si="31"/>
        <v>Attachmenttype[158]</v>
      </c>
      <c r="J298" s="388">
        <f t="shared" si="32"/>
        <v>158</v>
      </c>
      <c r="K298" s="388" t="str">
        <f t="shared" si="33"/>
        <v/>
      </c>
      <c r="L298" s="388" t="str">
        <f t="shared" si="34"/>
        <v/>
      </c>
      <c r="M298" s="388" t="str">
        <f t="shared" si="35"/>
        <v/>
      </c>
      <c r="N298" s="389">
        <f t="shared" si="36"/>
        <v>158</v>
      </c>
    </row>
    <row r="299" spans="1:14" ht="13.5" customHeight="1" x14ac:dyDescent="0.25">
      <c r="A299" s="88" t="str">
        <f t="shared" si="29"/>
        <v>Auxiliar4</v>
      </c>
      <c r="B299" s="88"/>
      <c r="C299" s="88"/>
      <c r="D299" s="88" t="str">
        <f t="shared" si="30"/>
        <v>AA159</v>
      </c>
      <c r="E299" s="88" t="str">
        <f>IF(N299="",IF(J299="j",_xlfn.CONCAT("Load"," ",filename_cont,"1.sim"),IF(K299="k",_xlfn.CONCAT("Load"," ",Data!$W$57,".sim"),"")),"Get Data")</f>
        <v>Get Data</v>
      </c>
      <c r="F299" s="88" t="str">
        <f>CVD_Script_Table!$H$25</f>
        <v>Line</v>
      </c>
      <c r="G299" s="88"/>
      <c r="H299" s="88"/>
      <c r="I299" s="88" t="str">
        <f t="shared" si="31"/>
        <v>Attachmenttype[159]</v>
      </c>
      <c r="J299" s="388">
        <f t="shared" si="32"/>
        <v>159</v>
      </c>
      <c r="K299" s="388" t="str">
        <f t="shared" si="33"/>
        <v/>
      </c>
      <c r="L299" s="388" t="str">
        <f t="shared" si="34"/>
        <v/>
      </c>
      <c r="M299" s="388" t="str">
        <f t="shared" si="35"/>
        <v/>
      </c>
      <c r="N299" s="389">
        <f t="shared" si="36"/>
        <v>159</v>
      </c>
    </row>
    <row r="300" spans="1:14" ht="13.5" customHeight="1" x14ac:dyDescent="0.25">
      <c r="A300" s="88" t="str">
        <f t="shared" si="29"/>
        <v>Auxiliar4</v>
      </c>
      <c r="B300" s="88"/>
      <c r="C300" s="88"/>
      <c r="D300" s="88" t="str">
        <f t="shared" si="30"/>
        <v>AA160</v>
      </c>
      <c r="E300" s="88" t="str">
        <f>IF(N300="",IF(J300="j",_xlfn.CONCAT("Load"," ",filename_cont,"1.sim"),IF(K300="k",_xlfn.CONCAT("Load"," ",Data!$W$57,".sim"),"")),"Get Data")</f>
        <v>Get Data</v>
      </c>
      <c r="F300" s="88" t="str">
        <f>CVD_Script_Table!$H$25</f>
        <v>Line</v>
      </c>
      <c r="G300" s="88"/>
      <c r="H300" s="88"/>
      <c r="I300" s="88" t="str">
        <f t="shared" si="31"/>
        <v>Attachmenttype[160]</v>
      </c>
      <c r="J300" s="388">
        <f t="shared" si="32"/>
        <v>160</v>
      </c>
      <c r="K300" s="388" t="str">
        <f t="shared" si="33"/>
        <v/>
      </c>
      <c r="L300" s="388" t="str">
        <f t="shared" si="34"/>
        <v/>
      </c>
      <c r="M300" s="388" t="str">
        <f t="shared" si="35"/>
        <v/>
      </c>
      <c r="N300" s="389">
        <f t="shared" si="36"/>
        <v>160</v>
      </c>
    </row>
    <row r="301" spans="1:14" ht="13.5" customHeight="1" x14ac:dyDescent="0.25">
      <c r="A301" s="88" t="str">
        <f t="shared" si="29"/>
        <v>Auxiliar4</v>
      </c>
      <c r="B301" s="88"/>
      <c r="C301" s="88"/>
      <c r="D301" s="88" t="str">
        <f t="shared" si="30"/>
        <v>AA161</v>
      </c>
      <c r="E301" s="88" t="str">
        <f>IF(N301="",IF(J301="j",_xlfn.CONCAT("Load"," ",filename_cont,"1.sim"),IF(K301="k",_xlfn.CONCAT("Load"," ",Data!$W$57,".sim"),"")),"Get Data")</f>
        <v>Get Data</v>
      </c>
      <c r="F301" s="88" t="str">
        <f>CVD_Script_Table!$H$25</f>
        <v>Line</v>
      </c>
      <c r="G301" s="88"/>
      <c r="H301" s="88"/>
      <c r="I301" s="88" t="str">
        <f t="shared" si="31"/>
        <v>Attachmenttype[161]</v>
      </c>
      <c r="J301" s="388">
        <f t="shared" si="32"/>
        <v>161</v>
      </c>
      <c r="K301" s="388" t="str">
        <f t="shared" si="33"/>
        <v/>
      </c>
      <c r="L301" s="388" t="str">
        <f t="shared" si="34"/>
        <v/>
      </c>
      <c r="M301" s="388" t="str">
        <f t="shared" si="35"/>
        <v/>
      </c>
      <c r="N301" s="389">
        <f t="shared" si="36"/>
        <v>161</v>
      </c>
    </row>
    <row r="302" spans="1:14" ht="13.5" customHeight="1" x14ac:dyDescent="0.25">
      <c r="A302" s="88" t="str">
        <f t="shared" si="29"/>
        <v>Auxiliar4</v>
      </c>
      <c r="B302" s="88"/>
      <c r="C302" s="88"/>
      <c r="D302" s="88" t="str">
        <f t="shared" si="30"/>
        <v>AA162</v>
      </c>
      <c r="E302" s="88" t="str">
        <f>IF(N302="",IF(J302="j",_xlfn.CONCAT("Load"," ",filename_cont,"1.sim"),IF(K302="k",_xlfn.CONCAT("Load"," ",Data!$W$57,".sim"),"")),"Get Data")</f>
        <v>Get Data</v>
      </c>
      <c r="F302" s="88" t="str">
        <f>CVD_Script_Table!$H$25</f>
        <v>Line</v>
      </c>
      <c r="G302" s="88"/>
      <c r="H302" s="88"/>
      <c r="I302" s="88" t="str">
        <f t="shared" si="31"/>
        <v>Attachmenttype[162]</v>
      </c>
      <c r="J302" s="388">
        <f t="shared" si="32"/>
        <v>162</v>
      </c>
      <c r="K302" s="388" t="str">
        <f t="shared" si="33"/>
        <v/>
      </c>
      <c r="L302" s="388" t="str">
        <f t="shared" si="34"/>
        <v/>
      </c>
      <c r="M302" s="388" t="str">
        <f t="shared" si="35"/>
        <v/>
      </c>
      <c r="N302" s="389">
        <f t="shared" si="36"/>
        <v>162</v>
      </c>
    </row>
    <row r="303" spans="1:14" ht="13.5" customHeight="1" x14ac:dyDescent="0.25">
      <c r="A303" s="88" t="str">
        <f t="shared" si="29"/>
        <v>Auxiliar4</v>
      </c>
      <c r="B303" s="88"/>
      <c r="C303" s="88"/>
      <c r="D303" s="88" t="str">
        <f t="shared" si="30"/>
        <v>AA163</v>
      </c>
      <c r="E303" s="88" t="str">
        <f>IF(N303="",IF(J303="j",_xlfn.CONCAT("Load"," ",filename_cont,"1.sim"),IF(K303="k",_xlfn.CONCAT("Load"," ",Data!$W$57,".sim"),"")),"Get Data")</f>
        <v>Get Data</v>
      </c>
      <c r="F303" s="88" t="str">
        <f>CVD_Script_Table!$H$25</f>
        <v>Line</v>
      </c>
      <c r="G303" s="88"/>
      <c r="H303" s="88"/>
      <c r="I303" s="88" t="str">
        <f t="shared" si="31"/>
        <v>Attachmenttype[163]</v>
      </c>
      <c r="J303" s="388">
        <f t="shared" si="32"/>
        <v>163</v>
      </c>
      <c r="K303" s="388" t="str">
        <f t="shared" si="33"/>
        <v/>
      </c>
      <c r="L303" s="388" t="str">
        <f t="shared" si="34"/>
        <v/>
      </c>
      <c r="M303" s="388" t="str">
        <f t="shared" si="35"/>
        <v/>
      </c>
      <c r="N303" s="389">
        <f t="shared" si="36"/>
        <v>163</v>
      </c>
    </row>
    <row r="304" spans="1:14" ht="13.5" customHeight="1" x14ac:dyDescent="0.25">
      <c r="A304" s="88" t="str">
        <f t="shared" si="29"/>
        <v>Auxiliar4</v>
      </c>
      <c r="B304" s="88"/>
      <c r="C304" s="88"/>
      <c r="D304" s="88" t="str">
        <f t="shared" si="30"/>
        <v>AA164</v>
      </c>
      <c r="E304" s="88" t="str">
        <f>IF(N304="",IF(J304="j",_xlfn.CONCAT("Load"," ",filename_cont,"1.sim"),IF(K304="k",_xlfn.CONCAT("Load"," ",Data!$W$57,".sim"),"")),"Get Data")</f>
        <v>Get Data</v>
      </c>
      <c r="F304" s="88" t="str">
        <f>CVD_Script_Table!$H$25</f>
        <v>Line</v>
      </c>
      <c r="G304" s="88"/>
      <c r="H304" s="88"/>
      <c r="I304" s="88" t="str">
        <f t="shared" si="31"/>
        <v>Attachmenttype[164]</v>
      </c>
      <c r="J304" s="388">
        <f t="shared" si="32"/>
        <v>164</v>
      </c>
      <c r="K304" s="388" t="str">
        <f t="shared" si="33"/>
        <v/>
      </c>
      <c r="L304" s="388" t="str">
        <f t="shared" si="34"/>
        <v/>
      </c>
      <c r="M304" s="388" t="str">
        <f t="shared" si="35"/>
        <v/>
      </c>
      <c r="N304" s="389">
        <f t="shared" si="36"/>
        <v>164</v>
      </c>
    </row>
    <row r="305" spans="1:14" ht="13.5" customHeight="1" x14ac:dyDescent="0.25">
      <c r="A305" s="88" t="str">
        <f t="shared" si="29"/>
        <v>Auxiliar4</v>
      </c>
      <c r="B305" s="88"/>
      <c r="C305" s="88"/>
      <c r="D305" s="88" t="str">
        <f t="shared" si="30"/>
        <v>AA165</v>
      </c>
      <c r="E305" s="88" t="str">
        <f>IF(N305="",IF(J305="j",_xlfn.CONCAT("Load"," ",filename_cont,"1.sim"),IF(K305="k",_xlfn.CONCAT("Load"," ",Data!$W$57,".sim"),"")),"Get Data")</f>
        <v>Get Data</v>
      </c>
      <c r="F305" s="88" t="str">
        <f>CVD_Script_Table!$H$25</f>
        <v>Line</v>
      </c>
      <c r="G305" s="88"/>
      <c r="H305" s="88"/>
      <c r="I305" s="88" t="str">
        <f t="shared" si="31"/>
        <v>Attachmenttype[165]</v>
      </c>
      <c r="J305" s="388">
        <f t="shared" si="32"/>
        <v>165</v>
      </c>
      <c r="K305" s="388" t="str">
        <f t="shared" si="33"/>
        <v/>
      </c>
      <c r="L305" s="388" t="str">
        <f t="shared" si="34"/>
        <v/>
      </c>
      <c r="M305" s="388" t="str">
        <f t="shared" si="35"/>
        <v/>
      </c>
      <c r="N305" s="389">
        <f t="shared" si="36"/>
        <v>165</v>
      </c>
    </row>
    <row r="306" spans="1:14" ht="13.5" customHeight="1" x14ac:dyDescent="0.25">
      <c r="A306" s="88" t="str">
        <f t="shared" si="29"/>
        <v>Auxiliar4</v>
      </c>
      <c r="B306" s="88"/>
      <c r="C306" s="88"/>
      <c r="D306" s="88" t="str">
        <f t="shared" si="30"/>
        <v>AA166</v>
      </c>
      <c r="E306" s="88" t="str">
        <f>IF(N306="",IF(J306="j",_xlfn.CONCAT("Load"," ",filename_cont,"1.sim"),IF(K306="k",_xlfn.CONCAT("Load"," ",Data!$W$57,".sim"),"")),"Get Data")</f>
        <v>Get Data</v>
      </c>
      <c r="F306" s="88" t="str">
        <f>CVD_Script_Table!$H$25</f>
        <v>Line</v>
      </c>
      <c r="G306" s="88"/>
      <c r="H306" s="88"/>
      <c r="I306" s="88" t="str">
        <f t="shared" si="31"/>
        <v>Attachmenttype[166]</v>
      </c>
      <c r="J306" s="388">
        <f t="shared" si="32"/>
        <v>166</v>
      </c>
      <c r="K306" s="388" t="str">
        <f t="shared" si="33"/>
        <v/>
      </c>
      <c r="L306" s="388" t="str">
        <f t="shared" si="34"/>
        <v/>
      </c>
      <c r="M306" s="388" t="str">
        <f t="shared" si="35"/>
        <v/>
      </c>
      <c r="N306" s="389">
        <f t="shared" si="36"/>
        <v>166</v>
      </c>
    </row>
    <row r="307" spans="1:14" ht="13.5" customHeight="1" x14ac:dyDescent="0.25">
      <c r="A307" s="88" t="str">
        <f t="shared" si="29"/>
        <v>Auxiliar4</v>
      </c>
      <c r="B307" s="88"/>
      <c r="C307" s="88"/>
      <c r="D307" s="88" t="str">
        <f t="shared" si="30"/>
        <v>AA167</v>
      </c>
      <c r="E307" s="88" t="str">
        <f>IF(N307="",IF(J307="j",_xlfn.CONCAT("Load"," ",filename_cont,"1.sim"),IF(K307="k",_xlfn.CONCAT("Load"," ",Data!$W$57,".sim"),"")),"Get Data")</f>
        <v>Get Data</v>
      </c>
      <c r="F307" s="88" t="str">
        <f>CVD_Script_Table!$H$25</f>
        <v>Line</v>
      </c>
      <c r="G307" s="88"/>
      <c r="H307" s="88"/>
      <c r="I307" s="88" t="str">
        <f t="shared" si="31"/>
        <v>Attachmenttype[167]</v>
      </c>
      <c r="J307" s="388">
        <f t="shared" si="32"/>
        <v>167</v>
      </c>
      <c r="K307" s="388" t="str">
        <f t="shared" si="33"/>
        <v/>
      </c>
      <c r="L307" s="388" t="str">
        <f t="shared" si="34"/>
        <v/>
      </c>
      <c r="M307" s="388" t="str">
        <f t="shared" si="35"/>
        <v/>
      </c>
      <c r="N307" s="389">
        <f t="shared" si="36"/>
        <v>167</v>
      </c>
    </row>
    <row r="308" spans="1:14" ht="13.5" customHeight="1" x14ac:dyDescent="0.25">
      <c r="A308" s="88" t="str">
        <f t="shared" si="29"/>
        <v>Auxiliar4</v>
      </c>
      <c r="B308" s="88"/>
      <c r="C308" s="88"/>
      <c r="D308" s="88" t="str">
        <f t="shared" si="30"/>
        <v>AA168</v>
      </c>
      <c r="E308" s="88" t="str">
        <f>IF(N308="",IF(J308="j",_xlfn.CONCAT("Load"," ",filename_cont,"1.sim"),IF(K308="k",_xlfn.CONCAT("Load"," ",Data!$W$57,".sim"),"")),"Get Data")</f>
        <v>Get Data</v>
      </c>
      <c r="F308" s="88" t="str">
        <f>CVD_Script_Table!$H$25</f>
        <v>Line</v>
      </c>
      <c r="G308" s="88"/>
      <c r="H308" s="88"/>
      <c r="I308" s="88" t="str">
        <f t="shared" si="31"/>
        <v>Attachmenttype[168]</v>
      </c>
      <c r="J308" s="388">
        <f t="shared" si="32"/>
        <v>168</v>
      </c>
      <c r="K308" s="388" t="str">
        <f t="shared" si="33"/>
        <v/>
      </c>
      <c r="L308" s="388" t="str">
        <f t="shared" si="34"/>
        <v/>
      </c>
      <c r="M308" s="388" t="str">
        <f t="shared" si="35"/>
        <v/>
      </c>
      <c r="N308" s="389">
        <f t="shared" si="36"/>
        <v>168</v>
      </c>
    </row>
    <row r="309" spans="1:14" ht="13.5" customHeight="1" x14ac:dyDescent="0.25">
      <c r="A309" s="88" t="str">
        <f t="shared" si="29"/>
        <v>Auxiliar4</v>
      </c>
      <c r="B309" s="88"/>
      <c r="C309" s="88"/>
      <c r="D309" s="88" t="str">
        <f t="shared" si="30"/>
        <v>AA169</v>
      </c>
      <c r="E309" s="88" t="str">
        <f>IF(N309="",IF(J309="j",_xlfn.CONCAT("Load"," ",filename_cont,"1.sim"),IF(K309="k",_xlfn.CONCAT("Load"," ",Data!$W$57,".sim"),"")),"Get Data")</f>
        <v>Get Data</v>
      </c>
      <c r="F309" s="88" t="str">
        <f>CVD_Script_Table!$H$25</f>
        <v>Line</v>
      </c>
      <c r="G309" s="88"/>
      <c r="H309" s="88"/>
      <c r="I309" s="88" t="str">
        <f t="shared" si="31"/>
        <v>Attachmenttype[169]</v>
      </c>
      <c r="J309" s="388">
        <f t="shared" si="32"/>
        <v>169</v>
      </c>
      <c r="K309" s="388" t="str">
        <f t="shared" si="33"/>
        <v/>
      </c>
      <c r="L309" s="388" t="str">
        <f t="shared" si="34"/>
        <v/>
      </c>
      <c r="M309" s="388" t="str">
        <f t="shared" si="35"/>
        <v/>
      </c>
      <c r="N309" s="389">
        <f t="shared" si="36"/>
        <v>169</v>
      </c>
    </row>
    <row r="310" spans="1:14" ht="13.5" customHeight="1" x14ac:dyDescent="0.25">
      <c r="A310" s="88" t="str">
        <f t="shared" si="29"/>
        <v>Auxiliar4</v>
      </c>
      <c r="B310" s="88"/>
      <c r="C310" s="88"/>
      <c r="D310" s="88" t="str">
        <f t="shared" si="30"/>
        <v>AA170</v>
      </c>
      <c r="E310" s="88" t="str">
        <f>IF(N310="",IF(J310="j",_xlfn.CONCAT("Load"," ",filename_cont,"1.sim"),IF(K310="k",_xlfn.CONCAT("Load"," ",Data!$W$57,".sim"),"")),"Get Data")</f>
        <v>Get Data</v>
      </c>
      <c r="F310" s="88" t="str">
        <f>CVD_Script_Table!$H$25</f>
        <v>Line</v>
      </c>
      <c r="G310" s="88"/>
      <c r="H310" s="88"/>
      <c r="I310" s="88" t="str">
        <f t="shared" si="31"/>
        <v>Attachmenttype[170]</v>
      </c>
      <c r="J310" s="388">
        <f t="shared" si="32"/>
        <v>170</v>
      </c>
      <c r="K310" s="388" t="str">
        <f t="shared" si="33"/>
        <v/>
      </c>
      <c r="L310" s="388" t="str">
        <f t="shared" si="34"/>
        <v/>
      </c>
      <c r="M310" s="388" t="str">
        <f t="shared" si="35"/>
        <v/>
      </c>
      <c r="N310" s="389">
        <f t="shared" si="36"/>
        <v>170</v>
      </c>
    </row>
    <row r="311" spans="1:14" ht="13.5" customHeight="1" x14ac:dyDescent="0.25">
      <c r="A311" s="88" t="str">
        <f t="shared" si="29"/>
        <v>Auxiliar4</v>
      </c>
      <c r="B311" s="88"/>
      <c r="C311" s="88"/>
      <c r="D311" s="88" t="str">
        <f t="shared" si="30"/>
        <v>AA171</v>
      </c>
      <c r="E311" s="88" t="str">
        <f>IF(N311="",IF(J311="j",_xlfn.CONCAT("Load"," ",filename_cont,"1.sim"),IF(K311="k",_xlfn.CONCAT("Load"," ",Data!$W$57,".sim"),"")),"Get Data")</f>
        <v>Get Data</v>
      </c>
      <c r="F311" s="88" t="str">
        <f>CVD_Script_Table!$H$25</f>
        <v>Line</v>
      </c>
      <c r="G311" s="88"/>
      <c r="H311" s="88"/>
      <c r="I311" s="88" t="str">
        <f t="shared" si="31"/>
        <v>Attachmenttype[171]</v>
      </c>
      <c r="J311" s="388">
        <f t="shared" si="32"/>
        <v>171</v>
      </c>
      <c r="K311" s="388" t="str">
        <f t="shared" si="33"/>
        <v/>
      </c>
      <c r="L311" s="388" t="str">
        <f t="shared" si="34"/>
        <v/>
      </c>
      <c r="M311" s="388" t="str">
        <f t="shared" si="35"/>
        <v/>
      </c>
      <c r="N311" s="389">
        <f t="shared" si="36"/>
        <v>171</v>
      </c>
    </row>
    <row r="312" spans="1:14" ht="13.5" customHeight="1" x14ac:dyDescent="0.25">
      <c r="A312" s="88" t="str">
        <f t="shared" si="29"/>
        <v>Auxiliar4</v>
      </c>
      <c r="B312" s="88"/>
      <c r="C312" s="88"/>
      <c r="D312" s="88" t="str">
        <f t="shared" si="30"/>
        <v>AA172</v>
      </c>
      <c r="E312" s="88" t="str">
        <f>IF(N312="",IF(J312="j",_xlfn.CONCAT("Load"," ",filename_cont,"1.sim"),IF(K312="k",_xlfn.CONCAT("Load"," ",Data!$W$57,".sim"),"")),"Get Data")</f>
        <v>Get Data</v>
      </c>
      <c r="F312" s="88" t="str">
        <f>CVD_Script_Table!$H$25</f>
        <v>Line</v>
      </c>
      <c r="G312" s="88"/>
      <c r="H312" s="88"/>
      <c r="I312" s="88" t="str">
        <f t="shared" si="31"/>
        <v>Attachmenttype[172]</v>
      </c>
      <c r="J312" s="388">
        <f t="shared" si="32"/>
        <v>172</v>
      </c>
      <c r="K312" s="388" t="str">
        <f t="shared" si="33"/>
        <v/>
      </c>
      <c r="L312" s="388" t="str">
        <f t="shared" si="34"/>
        <v/>
      </c>
      <c r="M312" s="388" t="str">
        <f t="shared" si="35"/>
        <v/>
      </c>
      <c r="N312" s="389">
        <f t="shared" si="36"/>
        <v>172</v>
      </c>
    </row>
    <row r="313" spans="1:14" ht="13.5" customHeight="1" x14ac:dyDescent="0.25">
      <c r="A313" s="88" t="str">
        <f t="shared" si="29"/>
        <v>Auxiliar4</v>
      </c>
      <c r="B313" s="88"/>
      <c r="C313" s="88"/>
      <c r="D313" s="88" t="str">
        <f t="shared" si="30"/>
        <v>AA173</v>
      </c>
      <c r="E313" s="88" t="str">
        <f>IF(N313="",IF(J313="j",_xlfn.CONCAT("Load"," ",filename_cont,"1.sim"),IF(K313="k",_xlfn.CONCAT("Load"," ",Data!$W$57,".sim"),"")),"Get Data")</f>
        <v>Get Data</v>
      </c>
      <c r="F313" s="88" t="str">
        <f>CVD_Script_Table!$H$25</f>
        <v>Line</v>
      </c>
      <c r="G313" s="88"/>
      <c r="H313" s="88"/>
      <c r="I313" s="88" t="str">
        <f t="shared" si="31"/>
        <v>Attachmenttype[173]</v>
      </c>
      <c r="J313" s="388">
        <f t="shared" si="32"/>
        <v>173</v>
      </c>
      <c r="K313" s="388" t="str">
        <f t="shared" si="33"/>
        <v/>
      </c>
      <c r="L313" s="388" t="str">
        <f t="shared" si="34"/>
        <v/>
      </c>
      <c r="M313" s="388" t="str">
        <f t="shared" si="35"/>
        <v/>
      </c>
      <c r="N313" s="389">
        <f t="shared" si="36"/>
        <v>173</v>
      </c>
    </row>
    <row r="314" spans="1:14" ht="13.5" customHeight="1" x14ac:dyDescent="0.25">
      <c r="A314" s="88" t="str">
        <f t="shared" si="29"/>
        <v>Auxiliar4</v>
      </c>
      <c r="B314" s="88"/>
      <c r="C314" s="88"/>
      <c r="D314" s="88" t="str">
        <f t="shared" si="30"/>
        <v>AA174</v>
      </c>
      <c r="E314" s="88" t="str">
        <f>IF(N314="",IF(J314="j",_xlfn.CONCAT("Load"," ",filename_cont,"1.sim"),IF(K314="k",_xlfn.CONCAT("Load"," ",Data!$W$57,".sim"),"")),"Get Data")</f>
        <v>Get Data</v>
      </c>
      <c r="F314" s="88" t="str">
        <f>CVD_Script_Table!$H$25</f>
        <v>Line</v>
      </c>
      <c r="G314" s="88"/>
      <c r="H314" s="88"/>
      <c r="I314" s="88" t="str">
        <f t="shared" si="31"/>
        <v>Attachmenttype[174]</v>
      </c>
      <c r="J314" s="388">
        <f t="shared" si="32"/>
        <v>174</v>
      </c>
      <c r="K314" s="388" t="str">
        <f t="shared" si="33"/>
        <v/>
      </c>
      <c r="L314" s="388" t="str">
        <f t="shared" si="34"/>
        <v/>
      </c>
      <c r="M314" s="388" t="str">
        <f t="shared" si="35"/>
        <v/>
      </c>
      <c r="N314" s="389">
        <f t="shared" si="36"/>
        <v>174</v>
      </c>
    </row>
    <row r="315" spans="1:14" ht="13.5" customHeight="1" x14ac:dyDescent="0.25">
      <c r="A315" s="88" t="str">
        <f t="shared" si="29"/>
        <v>Auxiliar4</v>
      </c>
      <c r="B315" s="88"/>
      <c r="C315" s="88"/>
      <c r="D315" s="88" t="str">
        <f t="shared" si="30"/>
        <v>AA175</v>
      </c>
      <c r="E315" s="88" t="str">
        <f>IF(N315="",IF(J315="j",_xlfn.CONCAT("Load"," ",filename_cont,"1.sim"),IF(K315="k",_xlfn.CONCAT("Load"," ",Data!$W$57,".sim"),"")),"Get Data")</f>
        <v>Get Data</v>
      </c>
      <c r="F315" s="88" t="str">
        <f>CVD_Script_Table!$H$25</f>
        <v>Line</v>
      </c>
      <c r="G315" s="88"/>
      <c r="H315" s="88"/>
      <c r="I315" s="88" t="str">
        <f t="shared" si="31"/>
        <v>Attachmenttype[175]</v>
      </c>
      <c r="J315" s="388">
        <f t="shared" si="32"/>
        <v>175</v>
      </c>
      <c r="K315" s="388" t="str">
        <f t="shared" si="33"/>
        <v/>
      </c>
      <c r="L315" s="388" t="str">
        <f t="shared" si="34"/>
        <v/>
      </c>
      <c r="M315" s="388" t="str">
        <f t="shared" si="35"/>
        <v/>
      </c>
      <c r="N315" s="389">
        <f t="shared" si="36"/>
        <v>175</v>
      </c>
    </row>
    <row r="316" spans="1:14" ht="13.5" customHeight="1" x14ac:dyDescent="0.25">
      <c r="A316" s="88" t="str">
        <f t="shared" si="29"/>
        <v>Auxiliar4</v>
      </c>
      <c r="B316" s="88"/>
      <c r="C316" s="88"/>
      <c r="D316" s="88" t="str">
        <f t="shared" si="30"/>
        <v>AA176</v>
      </c>
      <c r="E316" s="88" t="str">
        <f>IF(N316="",IF(J316="j",_xlfn.CONCAT("Load"," ",filename_cont,"1.sim"),IF(K316="k",_xlfn.CONCAT("Load"," ",Data!$W$57,".sim"),"")),"Get Data")</f>
        <v>Get Data</v>
      </c>
      <c r="F316" s="88" t="str">
        <f>CVD_Script_Table!$H$25</f>
        <v>Line</v>
      </c>
      <c r="G316" s="88"/>
      <c r="H316" s="88"/>
      <c r="I316" s="88" t="str">
        <f t="shared" si="31"/>
        <v>Attachmenttype[176]</v>
      </c>
      <c r="J316" s="388">
        <f t="shared" si="32"/>
        <v>176</v>
      </c>
      <c r="K316" s="388" t="str">
        <f t="shared" si="33"/>
        <v/>
      </c>
      <c r="L316" s="388" t="str">
        <f t="shared" si="34"/>
        <v/>
      </c>
      <c r="M316" s="388" t="str">
        <f t="shared" si="35"/>
        <v/>
      </c>
      <c r="N316" s="389">
        <f t="shared" si="36"/>
        <v>176</v>
      </c>
    </row>
    <row r="317" spans="1:14" ht="13.5" customHeight="1" x14ac:dyDescent="0.25">
      <c r="A317" s="88" t="str">
        <f t="shared" si="29"/>
        <v>Auxiliar4</v>
      </c>
      <c r="B317" s="88"/>
      <c r="C317" s="88"/>
      <c r="D317" s="88" t="str">
        <f t="shared" si="30"/>
        <v>AA177</v>
      </c>
      <c r="E317" s="88" t="str">
        <f>IF(N317="",IF(J317="j",_xlfn.CONCAT("Load"," ",filename_cont,"1.sim"),IF(K317="k",_xlfn.CONCAT("Load"," ",Data!$W$57,".sim"),"")),"Get Data")</f>
        <v>Get Data</v>
      </c>
      <c r="F317" s="88" t="str">
        <f>CVD_Script_Table!$H$25</f>
        <v>Line</v>
      </c>
      <c r="G317" s="88"/>
      <c r="H317" s="88"/>
      <c r="I317" s="88" t="str">
        <f t="shared" si="31"/>
        <v>Attachmenttype[177]</v>
      </c>
      <c r="J317" s="388">
        <f t="shared" si="32"/>
        <v>177</v>
      </c>
      <c r="K317" s="388" t="str">
        <f t="shared" si="33"/>
        <v/>
      </c>
      <c r="L317" s="388" t="str">
        <f t="shared" si="34"/>
        <v/>
      </c>
      <c r="M317" s="388" t="str">
        <f t="shared" si="35"/>
        <v/>
      </c>
      <c r="N317" s="389">
        <f t="shared" si="36"/>
        <v>177</v>
      </c>
    </row>
    <row r="318" spans="1:14" ht="13.5" customHeight="1" x14ac:dyDescent="0.25">
      <c r="A318" s="88" t="str">
        <f t="shared" si="29"/>
        <v>Auxiliar4</v>
      </c>
      <c r="B318" s="88"/>
      <c r="C318" s="88"/>
      <c r="D318" s="88" t="str">
        <f t="shared" si="30"/>
        <v>AA178</v>
      </c>
      <c r="E318" s="88" t="str">
        <f>IF(N318="",IF(J318="j",_xlfn.CONCAT("Load"," ",filename_cont,"1.sim"),IF(K318="k",_xlfn.CONCAT("Load"," ",Data!$W$57,".sim"),"")),"Get Data")</f>
        <v>Get Data</v>
      </c>
      <c r="F318" s="88" t="str">
        <f>CVD_Script_Table!$H$25</f>
        <v>Line</v>
      </c>
      <c r="G318" s="88"/>
      <c r="H318" s="88"/>
      <c r="I318" s="88" t="str">
        <f t="shared" si="31"/>
        <v>Attachmenttype[178]</v>
      </c>
      <c r="J318" s="388">
        <f t="shared" si="32"/>
        <v>178</v>
      </c>
      <c r="K318" s="388" t="str">
        <f t="shared" si="33"/>
        <v/>
      </c>
      <c r="L318" s="388" t="str">
        <f t="shared" si="34"/>
        <v/>
      </c>
      <c r="M318" s="388" t="str">
        <f t="shared" si="35"/>
        <v/>
      </c>
      <c r="N318" s="389">
        <f t="shared" si="36"/>
        <v>178</v>
      </c>
    </row>
    <row r="319" spans="1:14" ht="13.5" customHeight="1" x14ac:dyDescent="0.25">
      <c r="A319" s="88" t="str">
        <f t="shared" si="29"/>
        <v>Auxiliar4</v>
      </c>
      <c r="B319" s="88"/>
      <c r="C319" s="88"/>
      <c r="D319" s="88" t="str">
        <f t="shared" si="30"/>
        <v>AA179</v>
      </c>
      <c r="E319" s="88" t="str">
        <f>IF(N319="",IF(J319="j",_xlfn.CONCAT("Load"," ",filename_cont,"1.sim"),IF(K319="k",_xlfn.CONCAT("Load"," ",Data!$W$57,".sim"),"")),"Get Data")</f>
        <v>Get Data</v>
      </c>
      <c r="F319" s="88" t="str">
        <f>CVD_Script_Table!$H$25</f>
        <v>Line</v>
      </c>
      <c r="G319" s="88"/>
      <c r="H319" s="88"/>
      <c r="I319" s="88" t="str">
        <f t="shared" si="31"/>
        <v>Attachmenttype[179]</v>
      </c>
      <c r="J319" s="388">
        <f t="shared" si="32"/>
        <v>179</v>
      </c>
      <c r="K319" s="388" t="str">
        <f t="shared" si="33"/>
        <v/>
      </c>
      <c r="L319" s="388" t="str">
        <f t="shared" si="34"/>
        <v/>
      </c>
      <c r="M319" s="388" t="str">
        <f t="shared" si="35"/>
        <v/>
      </c>
      <c r="N319" s="389">
        <f t="shared" si="36"/>
        <v>179</v>
      </c>
    </row>
    <row r="320" spans="1:14" ht="13.5" customHeight="1" x14ac:dyDescent="0.25">
      <c r="A320" s="88" t="str">
        <f t="shared" si="29"/>
        <v>Auxiliar4</v>
      </c>
      <c r="B320" s="88"/>
      <c r="C320" s="88"/>
      <c r="D320" s="88" t="str">
        <f t="shared" si="30"/>
        <v>AA180</v>
      </c>
      <c r="E320" s="88" t="str">
        <f>IF(N320="",IF(J320="j",_xlfn.CONCAT("Load"," ",filename_cont,"1.sim"),IF(K320="k",_xlfn.CONCAT("Load"," ",Data!$W$57,".sim"),"")),"Get Data")</f>
        <v>Get Data</v>
      </c>
      <c r="F320" s="88" t="str">
        <f>CVD_Script_Table!$H$25</f>
        <v>Line</v>
      </c>
      <c r="G320" s="88"/>
      <c r="H320" s="88"/>
      <c r="I320" s="88" t="str">
        <f t="shared" si="31"/>
        <v>Attachmenttype[180]</v>
      </c>
      <c r="J320" s="388">
        <f t="shared" si="32"/>
        <v>180</v>
      </c>
      <c r="K320" s="388" t="str">
        <f t="shared" si="33"/>
        <v/>
      </c>
      <c r="L320" s="388" t="str">
        <f t="shared" si="34"/>
        <v/>
      </c>
      <c r="M320" s="388" t="str">
        <f t="shared" si="35"/>
        <v/>
      </c>
      <c r="N320" s="389">
        <f t="shared" si="36"/>
        <v>180</v>
      </c>
    </row>
    <row r="321" spans="1:14" ht="13.5" customHeight="1" x14ac:dyDescent="0.25">
      <c r="A321" s="88" t="str">
        <f t="shared" si="29"/>
        <v>Auxiliar4</v>
      </c>
      <c r="B321" s="88"/>
      <c r="C321" s="88"/>
      <c r="D321" s="88" t="str">
        <f t="shared" si="30"/>
        <v>AA181</v>
      </c>
      <c r="E321" s="88" t="str">
        <f>IF(N321="",IF(J321="j",_xlfn.CONCAT("Load"," ",filename_cont,"1.sim"),IF(K321="k",_xlfn.CONCAT("Load"," ",Data!$W$57,".sim"),"")),"Get Data")</f>
        <v>Get Data</v>
      </c>
      <c r="F321" s="88" t="str">
        <f>CVD_Script_Table!$H$25</f>
        <v>Line</v>
      </c>
      <c r="G321" s="88"/>
      <c r="H321" s="88"/>
      <c r="I321" s="88" t="str">
        <f t="shared" si="31"/>
        <v>Attachmenttype[181]</v>
      </c>
      <c r="J321" s="388">
        <f t="shared" si="32"/>
        <v>181</v>
      </c>
      <c r="K321" s="388" t="str">
        <f t="shared" si="33"/>
        <v/>
      </c>
      <c r="L321" s="388" t="str">
        <f t="shared" si="34"/>
        <v/>
      </c>
      <c r="M321" s="388" t="str">
        <f t="shared" si="35"/>
        <v/>
      </c>
      <c r="N321" s="389">
        <f t="shared" si="36"/>
        <v>181</v>
      </c>
    </row>
    <row r="322" spans="1:14" ht="13.5" customHeight="1" x14ac:dyDescent="0.25">
      <c r="A322" s="88" t="str">
        <f t="shared" si="29"/>
        <v>Auxiliar4</v>
      </c>
      <c r="B322" s="88"/>
      <c r="C322" s="88"/>
      <c r="D322" s="88" t="str">
        <f t="shared" si="30"/>
        <v>AA182</v>
      </c>
      <c r="E322" s="88" t="str">
        <f>IF(N322="",IF(J322="j",_xlfn.CONCAT("Load"," ",filename_cont,"1.sim"),IF(K322="k",_xlfn.CONCAT("Load"," ",Data!$W$57,".sim"),"")),"Get Data")</f>
        <v>Get Data</v>
      </c>
      <c r="F322" s="88" t="str">
        <f>CVD_Script_Table!$H$25</f>
        <v>Line</v>
      </c>
      <c r="G322" s="88"/>
      <c r="H322" s="88"/>
      <c r="I322" s="88" t="str">
        <f t="shared" si="31"/>
        <v>Attachmenttype[182]</v>
      </c>
      <c r="J322" s="388">
        <f t="shared" si="32"/>
        <v>182</v>
      </c>
      <c r="K322" s="388" t="str">
        <f t="shared" si="33"/>
        <v/>
      </c>
      <c r="L322" s="388" t="str">
        <f t="shared" si="34"/>
        <v/>
      </c>
      <c r="M322" s="388" t="str">
        <f t="shared" si="35"/>
        <v/>
      </c>
      <c r="N322" s="389">
        <f t="shared" si="36"/>
        <v>182</v>
      </c>
    </row>
    <row r="323" spans="1:14" ht="13.5" customHeight="1" x14ac:dyDescent="0.25">
      <c r="A323" s="88" t="str">
        <f t="shared" si="29"/>
        <v>Auxiliar4</v>
      </c>
      <c r="B323" s="88"/>
      <c r="C323" s="88"/>
      <c r="D323" s="88" t="str">
        <f t="shared" si="30"/>
        <v>AA183</v>
      </c>
      <c r="E323" s="88" t="str">
        <f>IF(N323="",IF(J323="j",_xlfn.CONCAT("Load"," ",filename_cont,"1.sim"),IF(K323="k",_xlfn.CONCAT("Load"," ",Data!$W$57,".sim"),"")),"Get Data")</f>
        <v>Get Data</v>
      </c>
      <c r="F323" s="88" t="str">
        <f>CVD_Script_Table!$H$25</f>
        <v>Line</v>
      </c>
      <c r="G323" s="88"/>
      <c r="H323" s="88"/>
      <c r="I323" s="88" t="str">
        <f t="shared" si="31"/>
        <v>Attachmenttype[183]</v>
      </c>
      <c r="J323" s="388">
        <f t="shared" si="32"/>
        <v>183</v>
      </c>
      <c r="K323" s="388" t="str">
        <f t="shared" si="33"/>
        <v/>
      </c>
      <c r="L323" s="388" t="str">
        <f t="shared" si="34"/>
        <v/>
      </c>
      <c r="M323" s="388" t="str">
        <f t="shared" si="35"/>
        <v/>
      </c>
      <c r="N323" s="389">
        <f t="shared" si="36"/>
        <v>183</v>
      </c>
    </row>
    <row r="324" spans="1:14" ht="13.5" customHeight="1" x14ac:dyDescent="0.25">
      <c r="A324" s="88" t="str">
        <f t="shared" si="29"/>
        <v>Auxiliar4</v>
      </c>
      <c r="B324" s="88"/>
      <c r="C324" s="88"/>
      <c r="D324" s="88" t="str">
        <f t="shared" si="30"/>
        <v>AA184</v>
      </c>
      <c r="E324" s="88" t="str">
        <f>IF(N324="",IF(J324="j",_xlfn.CONCAT("Load"," ",filename_cont,"1.sim"),IF(K324="k",_xlfn.CONCAT("Load"," ",Data!$W$57,".sim"),"")),"Get Data")</f>
        <v>Get Data</v>
      </c>
      <c r="F324" s="88" t="str">
        <f>CVD_Script_Table!$H$25</f>
        <v>Line</v>
      </c>
      <c r="G324" s="88"/>
      <c r="H324" s="88"/>
      <c r="I324" s="88" t="str">
        <f t="shared" si="31"/>
        <v>Attachmenttype[184]</v>
      </c>
      <c r="J324" s="388">
        <f t="shared" si="32"/>
        <v>184</v>
      </c>
      <c r="K324" s="388" t="str">
        <f t="shared" si="33"/>
        <v/>
      </c>
      <c r="L324" s="388" t="str">
        <f t="shared" si="34"/>
        <v/>
      </c>
      <c r="M324" s="388" t="str">
        <f t="shared" si="35"/>
        <v/>
      </c>
      <c r="N324" s="389">
        <f t="shared" si="36"/>
        <v>184</v>
      </c>
    </row>
    <row r="325" spans="1:14" ht="13.5" customHeight="1" x14ac:dyDescent="0.25">
      <c r="A325" s="88" t="str">
        <f t="shared" si="29"/>
        <v>Auxiliar4</v>
      </c>
      <c r="B325" s="88"/>
      <c r="C325" s="88"/>
      <c r="D325" s="88" t="str">
        <f t="shared" si="30"/>
        <v>AA185</v>
      </c>
      <c r="E325" s="88" t="str">
        <f>IF(N325="",IF(J325="j",_xlfn.CONCAT("Load"," ",filename_cont,"1.sim"),IF(K325="k",_xlfn.CONCAT("Load"," ",Data!$W$57,".sim"),"")),"Get Data")</f>
        <v>Get Data</v>
      </c>
      <c r="F325" s="88" t="str">
        <f>CVD_Script_Table!$H$25</f>
        <v>Line</v>
      </c>
      <c r="G325" s="88"/>
      <c r="H325" s="88"/>
      <c r="I325" s="88" t="str">
        <f t="shared" si="31"/>
        <v>Attachmenttype[185]</v>
      </c>
      <c r="J325" s="388">
        <f t="shared" si="32"/>
        <v>185</v>
      </c>
      <c r="K325" s="388" t="str">
        <f t="shared" si="33"/>
        <v/>
      </c>
      <c r="L325" s="388" t="str">
        <f t="shared" si="34"/>
        <v/>
      </c>
      <c r="M325" s="388" t="str">
        <f t="shared" si="35"/>
        <v/>
      </c>
      <c r="N325" s="389">
        <f t="shared" si="36"/>
        <v>185</v>
      </c>
    </row>
    <row r="326" spans="1:14" ht="13.5" customHeight="1" x14ac:dyDescent="0.25">
      <c r="A326" s="88" t="str">
        <f t="shared" si="29"/>
        <v>Auxiliar4</v>
      </c>
      <c r="B326" s="88"/>
      <c r="C326" s="88"/>
      <c r="D326" s="88" t="str">
        <f t="shared" si="30"/>
        <v>AA186</v>
      </c>
      <c r="E326" s="88" t="str">
        <f>IF(N326="",IF(J326="j",_xlfn.CONCAT("Load"," ",filename_cont,"1.sim"),IF(K326="k",_xlfn.CONCAT("Load"," ",Data!$W$57,".sim"),"")),"Get Data")</f>
        <v>Get Data</v>
      </c>
      <c r="F326" s="88" t="str">
        <f>CVD_Script_Table!$H$25</f>
        <v>Line</v>
      </c>
      <c r="G326" s="88"/>
      <c r="H326" s="88"/>
      <c r="I326" s="88" t="str">
        <f t="shared" si="31"/>
        <v>Attachmenttype[186]</v>
      </c>
      <c r="J326" s="388">
        <f t="shared" si="32"/>
        <v>186</v>
      </c>
      <c r="K326" s="388" t="str">
        <f t="shared" si="33"/>
        <v/>
      </c>
      <c r="L326" s="388" t="str">
        <f t="shared" si="34"/>
        <v/>
      </c>
      <c r="M326" s="388" t="str">
        <f t="shared" si="35"/>
        <v/>
      </c>
      <c r="N326" s="389">
        <f t="shared" si="36"/>
        <v>186</v>
      </c>
    </row>
    <row r="327" spans="1:14" ht="13.5" customHeight="1" x14ac:dyDescent="0.25">
      <c r="A327" s="88" t="str">
        <f t="shared" si="29"/>
        <v>Auxiliar4</v>
      </c>
      <c r="B327" s="88"/>
      <c r="C327" s="88"/>
      <c r="D327" s="88" t="str">
        <f t="shared" si="30"/>
        <v>AA187</v>
      </c>
      <c r="E327" s="88" t="str">
        <f>IF(N327="",IF(J327="j",_xlfn.CONCAT("Load"," ",filename_cont,"1.sim"),IF(K327="k",_xlfn.CONCAT("Load"," ",Data!$W$57,".sim"),"")),"Get Data")</f>
        <v>Get Data</v>
      </c>
      <c r="F327" s="88" t="str">
        <f>CVD_Script_Table!$H$25</f>
        <v>Line</v>
      </c>
      <c r="G327" s="88"/>
      <c r="H327" s="88"/>
      <c r="I327" s="88" t="str">
        <f t="shared" si="31"/>
        <v>Attachmenttype[187]</v>
      </c>
      <c r="J327" s="388">
        <f t="shared" si="32"/>
        <v>187</v>
      </c>
      <c r="K327" s="388" t="str">
        <f t="shared" si="33"/>
        <v/>
      </c>
      <c r="L327" s="388" t="str">
        <f t="shared" si="34"/>
        <v/>
      </c>
      <c r="M327" s="388" t="str">
        <f t="shared" si="35"/>
        <v/>
      </c>
      <c r="N327" s="389">
        <f t="shared" si="36"/>
        <v>187</v>
      </c>
    </row>
    <row r="328" spans="1:14" ht="13.5" customHeight="1" x14ac:dyDescent="0.25">
      <c r="A328" s="88" t="str">
        <f t="shared" si="29"/>
        <v>Auxiliar4</v>
      </c>
      <c r="B328" s="88"/>
      <c r="C328" s="88"/>
      <c r="D328" s="88" t="str">
        <f t="shared" si="30"/>
        <v>AA188</v>
      </c>
      <c r="E328" s="88" t="str">
        <f>IF(N328="",IF(J328="j",_xlfn.CONCAT("Load"," ",filename_cont,"1.sim"),IF(K328="k",_xlfn.CONCAT("Load"," ",Data!$W$57,".sim"),"")),"Get Data")</f>
        <v>Get Data</v>
      </c>
      <c r="F328" s="88" t="str">
        <f>CVD_Script_Table!$H$25</f>
        <v>Line</v>
      </c>
      <c r="G328" s="88"/>
      <c r="H328" s="88"/>
      <c r="I328" s="88" t="str">
        <f t="shared" si="31"/>
        <v>Attachmenttype[188]</v>
      </c>
      <c r="J328" s="388">
        <f t="shared" si="32"/>
        <v>188</v>
      </c>
      <c r="K328" s="388" t="str">
        <f t="shared" si="33"/>
        <v/>
      </c>
      <c r="L328" s="388" t="str">
        <f t="shared" si="34"/>
        <v/>
      </c>
      <c r="M328" s="388" t="str">
        <f t="shared" si="35"/>
        <v/>
      </c>
      <c r="N328" s="389">
        <f t="shared" si="36"/>
        <v>188</v>
      </c>
    </row>
    <row r="329" spans="1:14" ht="13.5" customHeight="1" x14ac:dyDescent="0.25">
      <c r="A329" s="88" t="str">
        <f t="shared" si="29"/>
        <v>Auxiliar4</v>
      </c>
      <c r="B329" s="88"/>
      <c r="C329" s="88"/>
      <c r="D329" s="88" t="str">
        <f t="shared" si="30"/>
        <v>AA189</v>
      </c>
      <c r="E329" s="88" t="str">
        <f>IF(N329="",IF(J329="j",_xlfn.CONCAT("Load"," ",filename_cont,"1.sim"),IF(K329="k",_xlfn.CONCAT("Load"," ",Data!$W$57,".sim"),"")),"Get Data")</f>
        <v>Get Data</v>
      </c>
      <c r="F329" s="88" t="str">
        <f>CVD_Script_Table!$H$25</f>
        <v>Line</v>
      </c>
      <c r="G329" s="88"/>
      <c r="H329" s="88"/>
      <c r="I329" s="88" t="str">
        <f t="shared" si="31"/>
        <v>Attachmenttype[189]</v>
      </c>
      <c r="J329" s="388">
        <f t="shared" si="32"/>
        <v>189</v>
      </c>
      <c r="K329" s="388" t="str">
        <f t="shared" si="33"/>
        <v/>
      </c>
      <c r="L329" s="388" t="str">
        <f t="shared" si="34"/>
        <v/>
      </c>
      <c r="M329" s="388" t="str">
        <f t="shared" si="35"/>
        <v/>
      </c>
      <c r="N329" s="389">
        <f t="shared" si="36"/>
        <v>189</v>
      </c>
    </row>
    <row r="330" spans="1:14" ht="13.5" customHeight="1" x14ac:dyDescent="0.25">
      <c r="A330" s="88" t="str">
        <f t="shared" si="29"/>
        <v>Auxiliar4</v>
      </c>
      <c r="B330" s="88"/>
      <c r="C330" s="88"/>
      <c r="D330" s="88" t="str">
        <f t="shared" si="30"/>
        <v>AA190</v>
      </c>
      <c r="E330" s="88" t="str">
        <f>IF(N330="",IF(J330="j",_xlfn.CONCAT("Load"," ",filename_cont,"1.sim"),IF(K330="k",_xlfn.CONCAT("Load"," ",Data!$W$57,".sim"),"")),"Get Data")</f>
        <v>Get Data</v>
      </c>
      <c r="F330" s="88" t="str">
        <f>CVD_Script_Table!$H$25</f>
        <v>Line</v>
      </c>
      <c r="G330" s="88"/>
      <c r="H330" s="88"/>
      <c r="I330" s="88" t="str">
        <f t="shared" si="31"/>
        <v>Attachmenttype[190]</v>
      </c>
      <c r="J330" s="388">
        <f t="shared" si="32"/>
        <v>190</v>
      </c>
      <c r="K330" s="388" t="str">
        <f t="shared" si="33"/>
        <v/>
      </c>
      <c r="L330" s="388" t="str">
        <f t="shared" si="34"/>
        <v/>
      </c>
      <c r="M330" s="388" t="str">
        <f t="shared" si="35"/>
        <v/>
      </c>
      <c r="N330" s="389">
        <f t="shared" si="36"/>
        <v>190</v>
      </c>
    </row>
    <row r="331" spans="1:14" ht="13.5" customHeight="1" x14ac:dyDescent="0.25">
      <c r="A331" s="88" t="str">
        <f t="shared" si="29"/>
        <v>Auxiliar4</v>
      </c>
      <c r="B331" s="88"/>
      <c r="C331" s="88"/>
      <c r="D331" s="88" t="str">
        <f t="shared" si="30"/>
        <v>AA191</v>
      </c>
      <c r="E331" s="88" t="str">
        <f>IF(N331="",IF(J331="j",_xlfn.CONCAT("Load"," ",filename_cont,"1.sim"),IF(K331="k",_xlfn.CONCAT("Load"," ",Data!$W$57,".sim"),"")),"Get Data")</f>
        <v>Get Data</v>
      </c>
      <c r="F331" s="88" t="str">
        <f>CVD_Script_Table!$H$25</f>
        <v>Line</v>
      </c>
      <c r="G331" s="88"/>
      <c r="H331" s="88"/>
      <c r="I331" s="88" t="str">
        <f t="shared" si="31"/>
        <v>Attachmenttype[191]</v>
      </c>
      <c r="J331" s="388">
        <f t="shared" si="32"/>
        <v>191</v>
      </c>
      <c r="K331" s="388" t="str">
        <f t="shared" si="33"/>
        <v/>
      </c>
      <c r="L331" s="388" t="str">
        <f t="shared" si="34"/>
        <v/>
      </c>
      <c r="M331" s="388" t="str">
        <f t="shared" si="35"/>
        <v/>
      </c>
      <c r="N331" s="389">
        <f t="shared" si="36"/>
        <v>191</v>
      </c>
    </row>
    <row r="332" spans="1:14" ht="13.5" customHeight="1" x14ac:dyDescent="0.25">
      <c r="A332" s="88" t="str">
        <f t="shared" si="29"/>
        <v>Auxiliar4</v>
      </c>
      <c r="B332" s="88"/>
      <c r="C332" s="88"/>
      <c r="D332" s="88" t="str">
        <f t="shared" si="30"/>
        <v>AA192</v>
      </c>
      <c r="E332" s="88" t="str">
        <f>IF(N332="",IF(J332="j",_xlfn.CONCAT("Load"," ",filename_cont,"1.sim"),IF(K332="k",_xlfn.CONCAT("Load"," ",Data!$W$57,".sim"),"")),"Get Data")</f>
        <v>Get Data</v>
      </c>
      <c r="F332" s="88" t="str">
        <f>CVD_Script_Table!$H$25</f>
        <v>Line</v>
      </c>
      <c r="G332" s="88"/>
      <c r="H332" s="88"/>
      <c r="I332" s="88" t="str">
        <f t="shared" si="31"/>
        <v>Attachmenttype[192]</v>
      </c>
      <c r="J332" s="388">
        <f t="shared" si="32"/>
        <v>192</v>
      </c>
      <c r="K332" s="388" t="str">
        <f t="shared" si="33"/>
        <v/>
      </c>
      <c r="L332" s="388" t="str">
        <f t="shared" si="34"/>
        <v/>
      </c>
      <c r="M332" s="388" t="str">
        <f t="shared" si="35"/>
        <v/>
      </c>
      <c r="N332" s="389">
        <f t="shared" si="36"/>
        <v>192</v>
      </c>
    </row>
    <row r="333" spans="1:14" ht="13.5" customHeight="1" x14ac:dyDescent="0.25">
      <c r="A333" s="88" t="str">
        <f t="shared" ref="A333:A370" si="37">IF(N333="","",IF(ISNUMBER(J333),"Auxiliar4",IF(ISNUMBER(K333),"Auxiliar3",IF(ISNUMBER(L333),"Auxiliar2",IF(ISNUMBER(M333),"Auxiliar2")))))</f>
        <v>Auxiliar4</v>
      </c>
      <c r="B333" s="88"/>
      <c r="C333" s="88"/>
      <c r="D333" s="88" t="str">
        <f t="shared" ref="D333:D370" si="38">IF(N333="z",CONCATENATE("AB",M333),IF(N333="","",CONCATENATE("AA",N333)))</f>
        <v>AA193</v>
      </c>
      <c r="E333" s="88" t="str">
        <f>IF(N333="",IF(J333="j",_xlfn.CONCAT("Load"," ",filename_cont,"1.sim"),IF(K333="k",_xlfn.CONCAT("Load"," ",Data!$W$57,".sim"),"")),"Get Data")</f>
        <v>Get Data</v>
      </c>
      <c r="F333" s="88" t="str">
        <f>CVD_Script_Table!$H$25</f>
        <v>Line</v>
      </c>
      <c r="G333" s="88"/>
      <c r="H333" s="88"/>
      <c r="I333" s="88" t="str">
        <f t="shared" ref="I333:I370" si="39">IF(N333="z",CONCATENATE("Attachmentz[",M333,"]"),IF(N333="","",CONCATENATE("Attachmenttype[",N333,"]")))</f>
        <v>Attachmenttype[193]</v>
      </c>
      <c r="J333" s="388">
        <f t="shared" ref="J333:J370" si="40">IFERROR(IF(J332="",J$9+1,IF(J332=J$139,"j",J332+1)),"jj")</f>
        <v>193</v>
      </c>
      <c r="K333" s="388" t="str">
        <f t="shared" ref="K333:K370" si="41">IF((J333="jj"),IFERROR(IF(K332="",J$9+1,IF(K332=J$130,"k",K332+1)),"kk"),"")</f>
        <v/>
      </c>
      <c r="L333" s="388" t="str">
        <f t="shared" ref="L333:L370" si="42">IF((K333="kk"),IFERROR(IF(L332="",2,IF(L332=J$9,"l",L332+1)),"ll"),"")</f>
        <v/>
      </c>
      <c r="M333" s="388" t="str">
        <f t="shared" ref="M333:M370" si="43">IF(OR(L333="l",L333="ll"),IFERROR(IF(M332="",2,IF(M332=J$9,"m",M332+1)),"mm"),"")</f>
        <v/>
      </c>
      <c r="N333" s="389">
        <f t="shared" ref="N333:N370" si="44">IF(ISNUMBER(M333),"z",IF(ISNUMBER(L333),L333,IF(ISNUMBER(K333),K333,IF(ISNUMBER(J333),J333,""))))</f>
        <v>193</v>
      </c>
    </row>
    <row r="334" spans="1:14" ht="13.5" customHeight="1" x14ac:dyDescent="0.25">
      <c r="A334" s="88" t="str">
        <f t="shared" si="37"/>
        <v>Auxiliar4</v>
      </c>
      <c r="B334" s="88"/>
      <c r="C334" s="88"/>
      <c r="D334" s="88" t="str">
        <f t="shared" si="38"/>
        <v>AA194</v>
      </c>
      <c r="E334" s="88" t="str">
        <f>IF(N334="",IF(J334="j",_xlfn.CONCAT("Load"," ",filename_cont,"1.sim"),IF(K334="k",_xlfn.CONCAT("Load"," ",Data!$W$57,".sim"),"")),"Get Data")</f>
        <v>Get Data</v>
      </c>
      <c r="F334" s="88" t="str">
        <f>CVD_Script_Table!$H$25</f>
        <v>Line</v>
      </c>
      <c r="G334" s="88"/>
      <c r="H334" s="88"/>
      <c r="I334" s="88" t="str">
        <f t="shared" si="39"/>
        <v>Attachmenttype[194]</v>
      </c>
      <c r="J334" s="388">
        <f t="shared" si="40"/>
        <v>194</v>
      </c>
      <c r="K334" s="388" t="str">
        <f t="shared" si="41"/>
        <v/>
      </c>
      <c r="L334" s="388" t="str">
        <f t="shared" si="42"/>
        <v/>
      </c>
      <c r="M334" s="388" t="str">
        <f t="shared" si="43"/>
        <v/>
      </c>
      <c r="N334" s="389">
        <f t="shared" si="44"/>
        <v>194</v>
      </c>
    </row>
    <row r="335" spans="1:14" ht="13.5" customHeight="1" x14ac:dyDescent="0.25">
      <c r="A335" s="88" t="str">
        <f t="shared" si="37"/>
        <v>Auxiliar4</v>
      </c>
      <c r="B335" s="88"/>
      <c r="C335" s="88"/>
      <c r="D335" s="88" t="str">
        <f t="shared" si="38"/>
        <v>AA195</v>
      </c>
      <c r="E335" s="88" t="str">
        <f>IF(N335="",IF(J335="j",_xlfn.CONCAT("Load"," ",filename_cont,"1.sim"),IF(K335="k",_xlfn.CONCAT("Load"," ",Data!$W$57,".sim"),"")),"Get Data")</f>
        <v>Get Data</v>
      </c>
      <c r="F335" s="88" t="str">
        <f>CVD_Script_Table!$H$25</f>
        <v>Line</v>
      </c>
      <c r="G335" s="88"/>
      <c r="H335" s="88"/>
      <c r="I335" s="88" t="str">
        <f t="shared" si="39"/>
        <v>Attachmenttype[195]</v>
      </c>
      <c r="J335" s="388">
        <f t="shared" si="40"/>
        <v>195</v>
      </c>
      <c r="K335" s="388" t="str">
        <f t="shared" si="41"/>
        <v/>
      </c>
      <c r="L335" s="388" t="str">
        <f t="shared" si="42"/>
        <v/>
      </c>
      <c r="M335" s="388" t="str">
        <f t="shared" si="43"/>
        <v/>
      </c>
      <c r="N335" s="389">
        <f t="shared" si="44"/>
        <v>195</v>
      </c>
    </row>
    <row r="336" spans="1:14" ht="13.5" customHeight="1" x14ac:dyDescent="0.25">
      <c r="A336" s="88" t="str">
        <f t="shared" si="37"/>
        <v>Auxiliar4</v>
      </c>
      <c r="B336" s="88"/>
      <c r="C336" s="88"/>
      <c r="D336" s="88" t="str">
        <f t="shared" si="38"/>
        <v>AA196</v>
      </c>
      <c r="E336" s="88" t="str">
        <f>IF(N336="",IF(J336="j",_xlfn.CONCAT("Load"," ",filename_cont,"1.sim"),IF(K336="k",_xlfn.CONCAT("Load"," ",Data!$W$57,".sim"),"")),"Get Data")</f>
        <v>Get Data</v>
      </c>
      <c r="F336" s="88" t="str">
        <f>CVD_Script_Table!$H$25</f>
        <v>Line</v>
      </c>
      <c r="G336" s="88"/>
      <c r="H336" s="88"/>
      <c r="I336" s="88" t="str">
        <f t="shared" si="39"/>
        <v>Attachmenttype[196]</v>
      </c>
      <c r="J336" s="388">
        <f t="shared" si="40"/>
        <v>196</v>
      </c>
      <c r="K336" s="388" t="str">
        <f t="shared" si="41"/>
        <v/>
      </c>
      <c r="L336" s="388" t="str">
        <f t="shared" si="42"/>
        <v/>
      </c>
      <c r="M336" s="388" t="str">
        <f t="shared" si="43"/>
        <v/>
      </c>
      <c r="N336" s="389">
        <f t="shared" si="44"/>
        <v>196</v>
      </c>
    </row>
    <row r="337" spans="1:14" ht="13.5" customHeight="1" x14ac:dyDescent="0.25">
      <c r="A337" s="88" t="str">
        <f t="shared" si="37"/>
        <v>Auxiliar4</v>
      </c>
      <c r="B337" s="88"/>
      <c r="C337" s="88"/>
      <c r="D337" s="88" t="str">
        <f t="shared" si="38"/>
        <v>AA197</v>
      </c>
      <c r="E337" s="88" t="str">
        <f>IF(N337="",IF(J337="j",_xlfn.CONCAT("Load"," ",filename_cont,"1.sim"),IF(K337="k",_xlfn.CONCAT("Load"," ",Data!$W$57,".sim"),"")),"Get Data")</f>
        <v>Get Data</v>
      </c>
      <c r="F337" s="88" t="str">
        <f>CVD_Script_Table!$H$25</f>
        <v>Line</v>
      </c>
      <c r="G337" s="88"/>
      <c r="H337" s="88"/>
      <c r="I337" s="88" t="str">
        <f t="shared" si="39"/>
        <v>Attachmenttype[197]</v>
      </c>
      <c r="J337" s="388">
        <f t="shared" si="40"/>
        <v>197</v>
      </c>
      <c r="K337" s="388" t="str">
        <f t="shared" si="41"/>
        <v/>
      </c>
      <c r="L337" s="388" t="str">
        <f t="shared" si="42"/>
        <v/>
      </c>
      <c r="M337" s="388" t="str">
        <f t="shared" si="43"/>
        <v/>
      </c>
      <c r="N337" s="389">
        <f t="shared" si="44"/>
        <v>197</v>
      </c>
    </row>
    <row r="338" spans="1:14" ht="13.5" customHeight="1" x14ac:dyDescent="0.25">
      <c r="A338" s="88" t="str">
        <f t="shared" si="37"/>
        <v>Auxiliar4</v>
      </c>
      <c r="B338" s="88"/>
      <c r="C338" s="88"/>
      <c r="D338" s="88" t="str">
        <f t="shared" si="38"/>
        <v>AA198</v>
      </c>
      <c r="E338" s="88" t="str">
        <f>IF(N338="",IF(J338="j",_xlfn.CONCAT("Load"," ",filename_cont,"1.sim"),IF(K338="k",_xlfn.CONCAT("Load"," ",Data!$W$57,".sim"),"")),"Get Data")</f>
        <v>Get Data</v>
      </c>
      <c r="F338" s="88" t="str">
        <f>CVD_Script_Table!$H$25</f>
        <v>Line</v>
      </c>
      <c r="G338" s="88"/>
      <c r="H338" s="88"/>
      <c r="I338" s="88" t="str">
        <f t="shared" si="39"/>
        <v>Attachmenttype[198]</v>
      </c>
      <c r="J338" s="388">
        <f t="shared" si="40"/>
        <v>198</v>
      </c>
      <c r="K338" s="388" t="str">
        <f t="shared" si="41"/>
        <v/>
      </c>
      <c r="L338" s="388" t="str">
        <f t="shared" si="42"/>
        <v/>
      </c>
      <c r="M338" s="388" t="str">
        <f t="shared" si="43"/>
        <v/>
      </c>
      <c r="N338" s="389">
        <f t="shared" si="44"/>
        <v>198</v>
      </c>
    </row>
    <row r="339" spans="1:14" ht="13.5" customHeight="1" x14ac:dyDescent="0.25">
      <c r="A339" s="88" t="str">
        <f t="shared" si="37"/>
        <v>Auxiliar4</v>
      </c>
      <c r="B339" s="88"/>
      <c r="C339" s="88"/>
      <c r="D339" s="88" t="str">
        <f t="shared" si="38"/>
        <v>AA199</v>
      </c>
      <c r="E339" s="88" t="str">
        <f>IF(N339="",IF(J339="j",_xlfn.CONCAT("Load"," ",filename_cont,"1.sim"),IF(K339="k",_xlfn.CONCAT("Load"," ",Data!$W$57,".sim"),"")),"Get Data")</f>
        <v>Get Data</v>
      </c>
      <c r="F339" s="88" t="str">
        <f>CVD_Script_Table!$H$25</f>
        <v>Line</v>
      </c>
      <c r="G339" s="88"/>
      <c r="H339" s="88"/>
      <c r="I339" s="88" t="str">
        <f t="shared" si="39"/>
        <v>Attachmenttype[199]</v>
      </c>
      <c r="J339" s="388">
        <f t="shared" si="40"/>
        <v>199</v>
      </c>
      <c r="K339" s="388" t="str">
        <f t="shared" si="41"/>
        <v/>
      </c>
      <c r="L339" s="388" t="str">
        <f t="shared" si="42"/>
        <v/>
      </c>
      <c r="M339" s="388" t="str">
        <f t="shared" si="43"/>
        <v/>
      </c>
      <c r="N339" s="389">
        <f t="shared" si="44"/>
        <v>199</v>
      </c>
    </row>
    <row r="340" spans="1:14" ht="13.5" customHeight="1" x14ac:dyDescent="0.25">
      <c r="A340" s="88" t="str">
        <f t="shared" si="37"/>
        <v>Auxiliar4</v>
      </c>
      <c r="B340" s="88"/>
      <c r="C340" s="88"/>
      <c r="D340" s="88" t="str">
        <f t="shared" si="38"/>
        <v>AA200</v>
      </c>
      <c r="E340" s="88" t="str">
        <f>IF(N340="",IF(J340="j",_xlfn.CONCAT("Load"," ",filename_cont,"1.sim"),IF(K340="k",_xlfn.CONCAT("Load"," ",Data!$W$57,".sim"),"")),"Get Data")</f>
        <v>Get Data</v>
      </c>
      <c r="F340" s="88" t="str">
        <f>CVD_Script_Table!$H$25</f>
        <v>Line</v>
      </c>
      <c r="G340" s="88"/>
      <c r="H340" s="88"/>
      <c r="I340" s="88" t="str">
        <f t="shared" si="39"/>
        <v>Attachmenttype[200]</v>
      </c>
      <c r="J340" s="388">
        <f t="shared" si="40"/>
        <v>200</v>
      </c>
      <c r="K340" s="388" t="str">
        <f t="shared" si="41"/>
        <v/>
      </c>
      <c r="L340" s="388" t="str">
        <f t="shared" si="42"/>
        <v/>
      </c>
      <c r="M340" s="388" t="str">
        <f t="shared" si="43"/>
        <v/>
      </c>
      <c r="N340" s="389">
        <f t="shared" si="44"/>
        <v>200</v>
      </c>
    </row>
    <row r="341" spans="1:14" ht="13.5" customHeight="1" x14ac:dyDescent="0.25">
      <c r="A341" s="88" t="str">
        <f t="shared" si="37"/>
        <v>Auxiliar4</v>
      </c>
      <c r="B341" s="88"/>
      <c r="C341" s="88"/>
      <c r="D341" s="88" t="str">
        <f t="shared" si="38"/>
        <v>AA201</v>
      </c>
      <c r="E341" s="88" t="str">
        <f>IF(N341="",IF(J341="j",_xlfn.CONCAT("Load"," ",filename_cont,"1.sim"),IF(K341="k",_xlfn.CONCAT("Load"," ",Data!$W$57,".sim"),"")),"Get Data")</f>
        <v>Get Data</v>
      </c>
      <c r="F341" s="88" t="str">
        <f>CVD_Script_Table!$H$25</f>
        <v>Line</v>
      </c>
      <c r="G341" s="88"/>
      <c r="H341" s="88"/>
      <c r="I341" s="88" t="str">
        <f t="shared" si="39"/>
        <v>Attachmenttype[201]</v>
      </c>
      <c r="J341" s="388">
        <f t="shared" si="40"/>
        <v>201</v>
      </c>
      <c r="K341" s="388" t="str">
        <f t="shared" si="41"/>
        <v/>
      </c>
      <c r="L341" s="388" t="str">
        <f t="shared" si="42"/>
        <v/>
      </c>
      <c r="M341" s="388" t="str">
        <f t="shared" si="43"/>
        <v/>
      </c>
      <c r="N341" s="389">
        <f t="shared" si="44"/>
        <v>201</v>
      </c>
    </row>
    <row r="342" spans="1:14" ht="13.5" customHeight="1" x14ac:dyDescent="0.25">
      <c r="A342" s="88" t="str">
        <f t="shared" si="37"/>
        <v>Auxiliar4</v>
      </c>
      <c r="B342" s="88"/>
      <c r="C342" s="88"/>
      <c r="D342" s="88" t="str">
        <f t="shared" si="38"/>
        <v>AA202</v>
      </c>
      <c r="E342" s="88" t="str">
        <f>IF(N342="",IF(J342="j",_xlfn.CONCAT("Load"," ",filename_cont,"1.sim"),IF(K342="k",_xlfn.CONCAT("Load"," ",Data!$W$57,".sim"),"")),"Get Data")</f>
        <v>Get Data</v>
      </c>
      <c r="F342" s="88" t="str">
        <f>CVD_Script_Table!$H$25</f>
        <v>Line</v>
      </c>
      <c r="G342" s="88"/>
      <c r="H342" s="88"/>
      <c r="I342" s="88" t="str">
        <f t="shared" si="39"/>
        <v>Attachmenttype[202]</v>
      </c>
      <c r="J342" s="388">
        <f t="shared" si="40"/>
        <v>202</v>
      </c>
      <c r="K342" s="388" t="str">
        <f t="shared" si="41"/>
        <v/>
      </c>
      <c r="L342" s="388" t="str">
        <f t="shared" si="42"/>
        <v/>
      </c>
      <c r="M342" s="388" t="str">
        <f t="shared" si="43"/>
        <v/>
      </c>
      <c r="N342" s="389">
        <f t="shared" si="44"/>
        <v>202</v>
      </c>
    </row>
    <row r="343" spans="1:14" ht="13.5" customHeight="1" x14ac:dyDescent="0.25">
      <c r="A343" s="88" t="str">
        <f t="shared" si="37"/>
        <v>Auxiliar4</v>
      </c>
      <c r="B343" s="88"/>
      <c r="C343" s="88"/>
      <c r="D343" s="88" t="str">
        <f t="shared" si="38"/>
        <v>AA203</v>
      </c>
      <c r="E343" s="88" t="str">
        <f>IF(N343="",IF(J343="j",_xlfn.CONCAT("Load"," ",filename_cont,"1.sim"),IF(K343="k",_xlfn.CONCAT("Load"," ",Data!$W$57,".sim"),"")),"Get Data")</f>
        <v>Get Data</v>
      </c>
      <c r="F343" s="88" t="str">
        <f>CVD_Script_Table!$H$25</f>
        <v>Line</v>
      </c>
      <c r="G343" s="88"/>
      <c r="H343" s="88"/>
      <c r="I343" s="88" t="str">
        <f t="shared" si="39"/>
        <v>Attachmenttype[203]</v>
      </c>
      <c r="J343" s="388">
        <f t="shared" si="40"/>
        <v>203</v>
      </c>
      <c r="K343" s="388" t="str">
        <f t="shared" si="41"/>
        <v/>
      </c>
      <c r="L343" s="388" t="str">
        <f t="shared" si="42"/>
        <v/>
      </c>
      <c r="M343" s="388" t="str">
        <f t="shared" si="43"/>
        <v/>
      </c>
      <c r="N343" s="389">
        <f t="shared" si="44"/>
        <v>203</v>
      </c>
    </row>
    <row r="344" spans="1:14" ht="13.5" customHeight="1" x14ac:dyDescent="0.25">
      <c r="A344" s="88" t="str">
        <f t="shared" si="37"/>
        <v>Auxiliar4</v>
      </c>
      <c r="B344" s="88"/>
      <c r="C344" s="88"/>
      <c r="D344" s="88" t="str">
        <f t="shared" si="38"/>
        <v>AA204</v>
      </c>
      <c r="E344" s="88" t="str">
        <f>IF(N344="",IF(J344="j",_xlfn.CONCAT("Load"," ",filename_cont,"1.sim"),IF(K344="k",_xlfn.CONCAT("Load"," ",Data!$W$57,".sim"),"")),"Get Data")</f>
        <v>Get Data</v>
      </c>
      <c r="F344" s="88" t="str">
        <f>CVD_Script_Table!$H$25</f>
        <v>Line</v>
      </c>
      <c r="G344" s="88"/>
      <c r="H344" s="88"/>
      <c r="I344" s="88" t="str">
        <f t="shared" si="39"/>
        <v>Attachmenttype[204]</v>
      </c>
      <c r="J344" s="388">
        <f t="shared" si="40"/>
        <v>204</v>
      </c>
      <c r="K344" s="388" t="str">
        <f t="shared" si="41"/>
        <v/>
      </c>
      <c r="L344" s="388" t="str">
        <f t="shared" si="42"/>
        <v/>
      </c>
      <c r="M344" s="388" t="str">
        <f t="shared" si="43"/>
        <v/>
      </c>
      <c r="N344" s="389">
        <f t="shared" si="44"/>
        <v>204</v>
      </c>
    </row>
    <row r="345" spans="1:14" ht="13.5" customHeight="1" x14ac:dyDescent="0.25">
      <c r="A345" s="88" t="str">
        <f t="shared" si="37"/>
        <v>Auxiliar4</v>
      </c>
      <c r="B345" s="88"/>
      <c r="C345" s="88"/>
      <c r="D345" s="88" t="str">
        <f t="shared" si="38"/>
        <v>AA205</v>
      </c>
      <c r="E345" s="88" t="str">
        <f>IF(N345="",IF(J345="j",_xlfn.CONCAT("Load"," ",filename_cont,"1.sim"),IF(K345="k",_xlfn.CONCAT("Load"," ",Data!$W$57,".sim"),"")),"Get Data")</f>
        <v>Get Data</v>
      </c>
      <c r="F345" s="88" t="str">
        <f>CVD_Script_Table!$H$25</f>
        <v>Line</v>
      </c>
      <c r="G345" s="88"/>
      <c r="H345" s="88"/>
      <c r="I345" s="88" t="str">
        <f t="shared" si="39"/>
        <v>Attachmenttype[205]</v>
      </c>
      <c r="J345" s="388">
        <f t="shared" si="40"/>
        <v>205</v>
      </c>
      <c r="K345" s="388" t="str">
        <f t="shared" si="41"/>
        <v/>
      </c>
      <c r="L345" s="388" t="str">
        <f t="shared" si="42"/>
        <v/>
      </c>
      <c r="M345" s="388" t="str">
        <f t="shared" si="43"/>
        <v/>
      </c>
      <c r="N345" s="389">
        <f t="shared" si="44"/>
        <v>205</v>
      </c>
    </row>
    <row r="346" spans="1:14" ht="13.5" customHeight="1" x14ac:dyDescent="0.25">
      <c r="A346" s="88" t="str">
        <f t="shared" si="37"/>
        <v>Auxiliar4</v>
      </c>
      <c r="B346" s="88"/>
      <c r="C346" s="88"/>
      <c r="D346" s="88" t="str">
        <f t="shared" si="38"/>
        <v>AA206</v>
      </c>
      <c r="E346" s="88" t="str">
        <f>IF(N346="",IF(J346="j",_xlfn.CONCAT("Load"," ",filename_cont,"1.sim"),IF(K346="k",_xlfn.CONCAT("Load"," ",Data!$W$57,".sim"),"")),"Get Data")</f>
        <v>Get Data</v>
      </c>
      <c r="F346" s="88" t="str">
        <f>CVD_Script_Table!$H$25</f>
        <v>Line</v>
      </c>
      <c r="G346" s="88"/>
      <c r="H346" s="88"/>
      <c r="I346" s="88" t="str">
        <f t="shared" si="39"/>
        <v>Attachmenttype[206]</v>
      </c>
      <c r="J346" s="388">
        <f t="shared" si="40"/>
        <v>206</v>
      </c>
      <c r="K346" s="388" t="str">
        <f t="shared" si="41"/>
        <v/>
      </c>
      <c r="L346" s="388" t="str">
        <f t="shared" si="42"/>
        <v/>
      </c>
      <c r="M346" s="388" t="str">
        <f t="shared" si="43"/>
        <v/>
      </c>
      <c r="N346" s="389">
        <f t="shared" si="44"/>
        <v>206</v>
      </c>
    </row>
    <row r="347" spans="1:14" ht="13.5" customHeight="1" x14ac:dyDescent="0.25">
      <c r="A347" s="88" t="str">
        <f t="shared" si="37"/>
        <v>Auxiliar4</v>
      </c>
      <c r="B347" s="88"/>
      <c r="C347" s="88"/>
      <c r="D347" s="88" t="str">
        <f t="shared" si="38"/>
        <v>AA207</v>
      </c>
      <c r="E347" s="88" t="str">
        <f>IF(N347="",IF(J347="j",_xlfn.CONCAT("Load"," ",filename_cont,"1.sim"),IF(K347="k",_xlfn.CONCAT("Load"," ",Data!$W$57,".sim"),"")),"Get Data")</f>
        <v>Get Data</v>
      </c>
      <c r="F347" s="88" t="str">
        <f>CVD_Script_Table!$H$25</f>
        <v>Line</v>
      </c>
      <c r="G347" s="88"/>
      <c r="H347" s="88"/>
      <c r="I347" s="88" t="str">
        <f t="shared" si="39"/>
        <v>Attachmenttype[207]</v>
      </c>
      <c r="J347" s="388">
        <f t="shared" si="40"/>
        <v>207</v>
      </c>
      <c r="K347" s="388" t="str">
        <f t="shared" si="41"/>
        <v/>
      </c>
      <c r="L347" s="388" t="str">
        <f t="shared" si="42"/>
        <v/>
      </c>
      <c r="M347" s="388" t="str">
        <f t="shared" si="43"/>
        <v/>
      </c>
      <c r="N347" s="389">
        <f t="shared" si="44"/>
        <v>207</v>
      </c>
    </row>
    <row r="348" spans="1:14" ht="13.5" customHeight="1" x14ac:dyDescent="0.25">
      <c r="A348" s="88" t="str">
        <f t="shared" si="37"/>
        <v>Auxiliar4</v>
      </c>
      <c r="B348" s="88"/>
      <c r="C348" s="88"/>
      <c r="D348" s="88" t="str">
        <f t="shared" si="38"/>
        <v>AA208</v>
      </c>
      <c r="E348" s="88" t="str">
        <f>IF(N348="",IF(J348="j",_xlfn.CONCAT("Load"," ",filename_cont,"1.sim"),IF(K348="k",_xlfn.CONCAT("Load"," ",Data!$W$57,".sim"),"")),"Get Data")</f>
        <v>Get Data</v>
      </c>
      <c r="F348" s="88" t="str">
        <f>CVD_Script_Table!$H$25</f>
        <v>Line</v>
      </c>
      <c r="G348" s="88"/>
      <c r="H348" s="88"/>
      <c r="I348" s="88" t="str">
        <f t="shared" si="39"/>
        <v>Attachmenttype[208]</v>
      </c>
      <c r="J348" s="388">
        <f t="shared" si="40"/>
        <v>208</v>
      </c>
      <c r="K348" s="388" t="str">
        <f t="shared" si="41"/>
        <v/>
      </c>
      <c r="L348" s="388" t="str">
        <f t="shared" si="42"/>
        <v/>
      </c>
      <c r="M348" s="388" t="str">
        <f t="shared" si="43"/>
        <v/>
      </c>
      <c r="N348" s="389">
        <f t="shared" si="44"/>
        <v>208</v>
      </c>
    </row>
    <row r="349" spans="1:14" ht="13.5" customHeight="1" x14ac:dyDescent="0.25">
      <c r="A349" s="88" t="str">
        <f t="shared" si="37"/>
        <v>Auxiliar4</v>
      </c>
      <c r="B349" s="88"/>
      <c r="C349" s="88"/>
      <c r="D349" s="88" t="str">
        <f t="shared" si="38"/>
        <v>AA209</v>
      </c>
      <c r="E349" s="88" t="str">
        <f>IF(N349="",IF(J349="j",_xlfn.CONCAT("Load"," ",filename_cont,"1.sim"),IF(K349="k",_xlfn.CONCAT("Load"," ",Data!$W$57,".sim"),"")),"Get Data")</f>
        <v>Get Data</v>
      </c>
      <c r="F349" s="88" t="str">
        <f>CVD_Script_Table!$H$25</f>
        <v>Line</v>
      </c>
      <c r="G349" s="88"/>
      <c r="H349" s="88"/>
      <c r="I349" s="88" t="str">
        <f t="shared" si="39"/>
        <v>Attachmenttype[209]</v>
      </c>
      <c r="J349" s="388">
        <f t="shared" si="40"/>
        <v>209</v>
      </c>
      <c r="K349" s="388" t="str">
        <f t="shared" si="41"/>
        <v/>
      </c>
      <c r="L349" s="388" t="str">
        <f t="shared" si="42"/>
        <v/>
      </c>
      <c r="M349" s="388" t="str">
        <f t="shared" si="43"/>
        <v/>
      </c>
      <c r="N349" s="389">
        <f t="shared" si="44"/>
        <v>209</v>
      </c>
    </row>
    <row r="350" spans="1:14" ht="13.5" customHeight="1" x14ac:dyDescent="0.25">
      <c r="A350" s="88" t="str">
        <f t="shared" si="37"/>
        <v>Auxiliar4</v>
      </c>
      <c r="B350" s="88"/>
      <c r="C350" s="88"/>
      <c r="D350" s="88" t="str">
        <f t="shared" si="38"/>
        <v>AA210</v>
      </c>
      <c r="E350" s="88" t="str">
        <f>IF(N350="",IF(J350="j",_xlfn.CONCAT("Load"," ",filename_cont,"1.sim"),IF(K350="k",_xlfn.CONCAT("Load"," ",Data!$W$57,".sim"),"")),"Get Data")</f>
        <v>Get Data</v>
      </c>
      <c r="F350" s="88" t="str">
        <f>CVD_Script_Table!$H$25</f>
        <v>Line</v>
      </c>
      <c r="G350" s="88"/>
      <c r="H350" s="88"/>
      <c r="I350" s="88" t="str">
        <f t="shared" si="39"/>
        <v>Attachmenttype[210]</v>
      </c>
      <c r="J350" s="388">
        <f t="shared" si="40"/>
        <v>210</v>
      </c>
      <c r="K350" s="388" t="str">
        <f t="shared" si="41"/>
        <v/>
      </c>
      <c r="L350" s="388" t="str">
        <f t="shared" si="42"/>
        <v/>
      </c>
      <c r="M350" s="388" t="str">
        <f t="shared" si="43"/>
        <v/>
      </c>
      <c r="N350" s="389">
        <f t="shared" si="44"/>
        <v>210</v>
      </c>
    </row>
    <row r="351" spans="1:14" ht="13.5" customHeight="1" x14ac:dyDescent="0.25">
      <c r="A351" s="88" t="str">
        <f t="shared" si="37"/>
        <v>Auxiliar4</v>
      </c>
      <c r="B351" s="88"/>
      <c r="C351" s="88"/>
      <c r="D351" s="88" t="str">
        <f t="shared" si="38"/>
        <v>AA211</v>
      </c>
      <c r="E351" s="88" t="str">
        <f>IF(N351="",IF(J351="j",_xlfn.CONCAT("Load"," ",filename_cont,"1.sim"),IF(K351="k",_xlfn.CONCAT("Load"," ",Data!$W$57,".sim"),"")),"Get Data")</f>
        <v>Get Data</v>
      </c>
      <c r="F351" s="88" t="str">
        <f>CVD_Script_Table!$H$25</f>
        <v>Line</v>
      </c>
      <c r="G351" s="88"/>
      <c r="H351" s="88"/>
      <c r="I351" s="88" t="str">
        <f t="shared" si="39"/>
        <v>Attachmenttype[211]</v>
      </c>
      <c r="J351" s="388">
        <f t="shared" si="40"/>
        <v>211</v>
      </c>
      <c r="K351" s="388" t="str">
        <f t="shared" si="41"/>
        <v/>
      </c>
      <c r="L351" s="388" t="str">
        <f t="shared" si="42"/>
        <v/>
      </c>
      <c r="M351" s="388" t="str">
        <f t="shared" si="43"/>
        <v/>
      </c>
      <c r="N351" s="389">
        <f t="shared" si="44"/>
        <v>211</v>
      </c>
    </row>
    <row r="352" spans="1:14" ht="13.5" customHeight="1" x14ac:dyDescent="0.25">
      <c r="A352" s="88" t="str">
        <f t="shared" si="37"/>
        <v>Auxiliar4</v>
      </c>
      <c r="B352" s="88"/>
      <c r="C352" s="88"/>
      <c r="D352" s="88" t="str">
        <f t="shared" si="38"/>
        <v>AA212</v>
      </c>
      <c r="E352" s="88" t="str">
        <f>IF(N352="",IF(J352="j",_xlfn.CONCAT("Load"," ",filename_cont,"1.sim"),IF(K352="k",_xlfn.CONCAT("Load"," ",Data!$W$57,".sim"),"")),"Get Data")</f>
        <v>Get Data</v>
      </c>
      <c r="F352" s="88" t="str">
        <f>CVD_Script_Table!$H$25</f>
        <v>Line</v>
      </c>
      <c r="G352" s="88"/>
      <c r="H352" s="88"/>
      <c r="I352" s="88" t="str">
        <f t="shared" si="39"/>
        <v>Attachmenttype[212]</v>
      </c>
      <c r="J352" s="388">
        <f t="shared" si="40"/>
        <v>212</v>
      </c>
      <c r="K352" s="388" t="str">
        <f t="shared" si="41"/>
        <v/>
      </c>
      <c r="L352" s="388" t="str">
        <f t="shared" si="42"/>
        <v/>
      </c>
      <c r="M352" s="388" t="str">
        <f t="shared" si="43"/>
        <v/>
      </c>
      <c r="N352" s="389">
        <f t="shared" si="44"/>
        <v>212</v>
      </c>
    </row>
    <row r="353" spans="1:14" ht="13.5" customHeight="1" x14ac:dyDescent="0.25">
      <c r="A353" s="88" t="str">
        <f t="shared" si="37"/>
        <v>Auxiliar4</v>
      </c>
      <c r="B353" s="88"/>
      <c r="C353" s="88"/>
      <c r="D353" s="88" t="str">
        <f t="shared" si="38"/>
        <v>AA213</v>
      </c>
      <c r="E353" s="88" t="str">
        <f>IF(N353="",IF(J353="j",_xlfn.CONCAT("Load"," ",filename_cont,"1.sim"),IF(K353="k",_xlfn.CONCAT("Load"," ",Data!$W$57,".sim"),"")),"Get Data")</f>
        <v>Get Data</v>
      </c>
      <c r="F353" s="88" t="str">
        <f>CVD_Script_Table!$H$25</f>
        <v>Line</v>
      </c>
      <c r="G353" s="88"/>
      <c r="H353" s="88"/>
      <c r="I353" s="88" t="str">
        <f t="shared" si="39"/>
        <v>Attachmenttype[213]</v>
      </c>
      <c r="J353" s="388">
        <f t="shared" si="40"/>
        <v>213</v>
      </c>
      <c r="K353" s="388" t="str">
        <f t="shared" si="41"/>
        <v/>
      </c>
      <c r="L353" s="388" t="str">
        <f t="shared" si="42"/>
        <v/>
      </c>
      <c r="M353" s="388" t="str">
        <f t="shared" si="43"/>
        <v/>
      </c>
      <c r="N353" s="389">
        <f t="shared" si="44"/>
        <v>213</v>
      </c>
    </row>
    <row r="354" spans="1:14" ht="13.5" customHeight="1" x14ac:dyDescent="0.25">
      <c r="A354" s="88" t="str">
        <f t="shared" si="37"/>
        <v>Auxiliar4</v>
      </c>
      <c r="B354" s="88"/>
      <c r="C354" s="88"/>
      <c r="D354" s="88" t="str">
        <f t="shared" si="38"/>
        <v>AA214</v>
      </c>
      <c r="E354" s="88" t="str">
        <f>IF(N354="",IF(J354="j",_xlfn.CONCAT("Load"," ",filename_cont,"1.sim"),IF(K354="k",_xlfn.CONCAT("Load"," ",Data!$W$57,".sim"),"")),"Get Data")</f>
        <v>Get Data</v>
      </c>
      <c r="F354" s="88" t="str">
        <f>CVD_Script_Table!$H$25</f>
        <v>Line</v>
      </c>
      <c r="G354" s="88"/>
      <c r="H354" s="88"/>
      <c r="I354" s="88" t="str">
        <f t="shared" si="39"/>
        <v>Attachmenttype[214]</v>
      </c>
      <c r="J354" s="388">
        <f t="shared" si="40"/>
        <v>214</v>
      </c>
      <c r="K354" s="388" t="str">
        <f t="shared" si="41"/>
        <v/>
      </c>
      <c r="L354" s="388" t="str">
        <f t="shared" si="42"/>
        <v/>
      </c>
      <c r="M354" s="388" t="str">
        <f t="shared" si="43"/>
        <v/>
      </c>
      <c r="N354" s="389">
        <f t="shared" si="44"/>
        <v>214</v>
      </c>
    </row>
    <row r="355" spans="1:14" ht="13.5" customHeight="1" x14ac:dyDescent="0.25">
      <c r="A355" s="88" t="str">
        <f t="shared" si="37"/>
        <v>Auxiliar4</v>
      </c>
      <c r="B355" s="88"/>
      <c r="C355" s="88"/>
      <c r="D355" s="88" t="str">
        <f t="shared" si="38"/>
        <v>AA215</v>
      </c>
      <c r="E355" s="88" t="str">
        <f>IF(N355="",IF(J355="j",_xlfn.CONCAT("Load"," ",filename_cont,"1.sim"),IF(K355="k",_xlfn.CONCAT("Load"," ",Data!$W$57,".sim"),"")),"Get Data")</f>
        <v>Get Data</v>
      </c>
      <c r="F355" s="88" t="str">
        <f>CVD_Script_Table!$H$25</f>
        <v>Line</v>
      </c>
      <c r="G355" s="88"/>
      <c r="H355" s="88"/>
      <c r="I355" s="88" t="str">
        <f t="shared" si="39"/>
        <v>Attachmenttype[215]</v>
      </c>
      <c r="J355" s="388">
        <f t="shared" si="40"/>
        <v>215</v>
      </c>
      <c r="K355" s="388" t="str">
        <f t="shared" si="41"/>
        <v/>
      </c>
      <c r="L355" s="388" t="str">
        <f t="shared" si="42"/>
        <v/>
      </c>
      <c r="M355" s="388" t="str">
        <f t="shared" si="43"/>
        <v/>
      </c>
      <c r="N355" s="389">
        <f t="shared" si="44"/>
        <v>215</v>
      </c>
    </row>
    <row r="356" spans="1:14" ht="13.5" customHeight="1" x14ac:dyDescent="0.25">
      <c r="A356" s="88" t="str">
        <f t="shared" si="37"/>
        <v>Auxiliar4</v>
      </c>
      <c r="B356" s="88"/>
      <c r="C356" s="88"/>
      <c r="D356" s="88" t="str">
        <f t="shared" si="38"/>
        <v>AA216</v>
      </c>
      <c r="E356" s="88" t="str">
        <f>IF(N356="",IF(J356="j",_xlfn.CONCAT("Load"," ",filename_cont,"1.sim"),IF(K356="k",_xlfn.CONCAT("Load"," ",Data!$W$57,".sim"),"")),"Get Data")</f>
        <v>Get Data</v>
      </c>
      <c r="F356" s="88" t="str">
        <f>CVD_Script_Table!$H$25</f>
        <v>Line</v>
      </c>
      <c r="G356" s="88"/>
      <c r="H356" s="88"/>
      <c r="I356" s="88" t="str">
        <f t="shared" si="39"/>
        <v>Attachmenttype[216]</v>
      </c>
      <c r="J356" s="388">
        <f t="shared" si="40"/>
        <v>216</v>
      </c>
      <c r="K356" s="388" t="str">
        <f t="shared" si="41"/>
        <v/>
      </c>
      <c r="L356" s="388" t="str">
        <f t="shared" si="42"/>
        <v/>
      </c>
      <c r="M356" s="388" t="str">
        <f t="shared" si="43"/>
        <v/>
      </c>
      <c r="N356" s="389">
        <f t="shared" si="44"/>
        <v>216</v>
      </c>
    </row>
    <row r="357" spans="1:14" ht="13.5" customHeight="1" x14ac:dyDescent="0.25">
      <c r="A357" s="88" t="str">
        <f t="shared" si="37"/>
        <v>Auxiliar4</v>
      </c>
      <c r="B357" s="88"/>
      <c r="C357" s="88"/>
      <c r="D357" s="88" t="str">
        <f t="shared" si="38"/>
        <v>AA217</v>
      </c>
      <c r="E357" s="88" t="str">
        <f>IF(N357="",IF(J357="j",_xlfn.CONCAT("Load"," ",filename_cont,"1.sim"),IF(K357="k",_xlfn.CONCAT("Load"," ",Data!$W$57,".sim"),"")),"Get Data")</f>
        <v>Get Data</v>
      </c>
      <c r="F357" s="88" t="str">
        <f>CVD_Script_Table!$H$25</f>
        <v>Line</v>
      </c>
      <c r="G357" s="88"/>
      <c r="H357" s="88"/>
      <c r="I357" s="88" t="str">
        <f t="shared" si="39"/>
        <v>Attachmenttype[217]</v>
      </c>
      <c r="J357" s="388">
        <f t="shared" si="40"/>
        <v>217</v>
      </c>
      <c r="K357" s="388" t="str">
        <f t="shared" si="41"/>
        <v/>
      </c>
      <c r="L357" s="388" t="str">
        <f t="shared" si="42"/>
        <v/>
      </c>
      <c r="M357" s="388" t="str">
        <f t="shared" si="43"/>
        <v/>
      </c>
      <c r="N357" s="389">
        <f t="shared" si="44"/>
        <v>217</v>
      </c>
    </row>
    <row r="358" spans="1:14" ht="13.5" customHeight="1" x14ac:dyDescent="0.25">
      <c r="A358" s="88" t="str">
        <f t="shared" si="37"/>
        <v>Auxiliar4</v>
      </c>
      <c r="B358" s="88"/>
      <c r="C358" s="88"/>
      <c r="D358" s="88" t="str">
        <f t="shared" si="38"/>
        <v>AA218</v>
      </c>
      <c r="E358" s="88" t="str">
        <f>IF(N358="",IF(J358="j",_xlfn.CONCAT("Load"," ",filename_cont,"1.sim"),IF(K358="k",_xlfn.CONCAT("Load"," ",Data!$W$57,".sim"),"")),"Get Data")</f>
        <v>Get Data</v>
      </c>
      <c r="F358" s="88" t="str">
        <f>CVD_Script_Table!$H$25</f>
        <v>Line</v>
      </c>
      <c r="G358" s="88"/>
      <c r="H358" s="88"/>
      <c r="I358" s="88" t="str">
        <f t="shared" si="39"/>
        <v>Attachmenttype[218]</v>
      </c>
      <c r="J358" s="388">
        <f t="shared" si="40"/>
        <v>218</v>
      </c>
      <c r="K358" s="388" t="str">
        <f t="shared" si="41"/>
        <v/>
      </c>
      <c r="L358" s="388" t="str">
        <f t="shared" si="42"/>
        <v/>
      </c>
      <c r="M358" s="388" t="str">
        <f t="shared" si="43"/>
        <v/>
      </c>
      <c r="N358" s="389">
        <f t="shared" si="44"/>
        <v>218</v>
      </c>
    </row>
    <row r="359" spans="1:14" ht="13.5" customHeight="1" x14ac:dyDescent="0.25">
      <c r="A359" s="88" t="str">
        <f t="shared" si="37"/>
        <v>Auxiliar4</v>
      </c>
      <c r="B359" s="88"/>
      <c r="C359" s="88"/>
      <c r="D359" s="88" t="str">
        <f t="shared" si="38"/>
        <v>AA219</v>
      </c>
      <c r="E359" s="88" t="str">
        <f>IF(N359="",IF(J359="j",_xlfn.CONCAT("Load"," ",filename_cont,"1.sim"),IF(K359="k",_xlfn.CONCAT("Load"," ",Data!$W$57,".sim"),"")),"Get Data")</f>
        <v>Get Data</v>
      </c>
      <c r="F359" s="88" t="str">
        <f>CVD_Script_Table!$H$25</f>
        <v>Line</v>
      </c>
      <c r="G359" s="88"/>
      <c r="H359" s="88"/>
      <c r="I359" s="88" t="str">
        <f t="shared" si="39"/>
        <v>Attachmenttype[219]</v>
      </c>
      <c r="J359" s="388">
        <f t="shared" si="40"/>
        <v>219</v>
      </c>
      <c r="K359" s="388" t="str">
        <f t="shared" si="41"/>
        <v/>
      </c>
      <c r="L359" s="388" t="str">
        <f t="shared" si="42"/>
        <v/>
      </c>
      <c r="M359" s="388" t="str">
        <f t="shared" si="43"/>
        <v/>
      </c>
      <c r="N359" s="389">
        <f t="shared" si="44"/>
        <v>219</v>
      </c>
    </row>
    <row r="360" spans="1:14" ht="13.5" customHeight="1" x14ac:dyDescent="0.25">
      <c r="A360" s="88" t="str">
        <f t="shared" si="37"/>
        <v>Auxiliar4</v>
      </c>
      <c r="B360" s="88"/>
      <c r="C360" s="88"/>
      <c r="D360" s="88" t="str">
        <f t="shared" si="38"/>
        <v>AA220</v>
      </c>
      <c r="E360" s="88" t="str">
        <f>IF(N360="",IF(J360="j",_xlfn.CONCAT("Load"," ",filename_cont,"1.sim"),IF(K360="k",_xlfn.CONCAT("Load"," ",Data!$W$57,".sim"),"")),"Get Data")</f>
        <v>Get Data</v>
      </c>
      <c r="F360" s="88" t="str">
        <f>CVD_Script_Table!$H$25</f>
        <v>Line</v>
      </c>
      <c r="G360" s="88"/>
      <c r="H360" s="88"/>
      <c r="I360" s="88" t="str">
        <f t="shared" si="39"/>
        <v>Attachmenttype[220]</v>
      </c>
      <c r="J360" s="388">
        <f t="shared" si="40"/>
        <v>220</v>
      </c>
      <c r="K360" s="388" t="str">
        <f t="shared" si="41"/>
        <v/>
      </c>
      <c r="L360" s="388" t="str">
        <f t="shared" si="42"/>
        <v/>
      </c>
      <c r="M360" s="388" t="str">
        <f t="shared" si="43"/>
        <v/>
      </c>
      <c r="N360" s="389">
        <f t="shared" si="44"/>
        <v>220</v>
      </c>
    </row>
    <row r="361" spans="1:14" ht="13.5" customHeight="1" x14ac:dyDescent="0.25">
      <c r="A361" s="88" t="str">
        <f t="shared" si="37"/>
        <v>Auxiliar4</v>
      </c>
      <c r="B361" s="88"/>
      <c r="C361" s="88"/>
      <c r="D361" s="88" t="str">
        <f t="shared" si="38"/>
        <v>AA221</v>
      </c>
      <c r="E361" s="88" t="str">
        <f>IF(N361="",IF(J361="j",_xlfn.CONCAT("Load"," ",filename_cont,"1.sim"),IF(K361="k",_xlfn.CONCAT("Load"," ",Data!$W$57,".sim"),"")),"Get Data")</f>
        <v>Get Data</v>
      </c>
      <c r="F361" s="88" t="str">
        <f>CVD_Script_Table!$H$25</f>
        <v>Line</v>
      </c>
      <c r="G361" s="88"/>
      <c r="H361" s="88"/>
      <c r="I361" s="88" t="str">
        <f t="shared" si="39"/>
        <v>Attachmenttype[221]</v>
      </c>
      <c r="J361" s="388">
        <f t="shared" si="40"/>
        <v>221</v>
      </c>
      <c r="K361" s="388" t="str">
        <f t="shared" si="41"/>
        <v/>
      </c>
      <c r="L361" s="388" t="str">
        <f t="shared" si="42"/>
        <v/>
      </c>
      <c r="M361" s="388" t="str">
        <f t="shared" si="43"/>
        <v/>
      </c>
      <c r="N361" s="389">
        <f t="shared" si="44"/>
        <v>221</v>
      </c>
    </row>
    <row r="362" spans="1:14" ht="13.5" customHeight="1" x14ac:dyDescent="0.25">
      <c r="A362" s="88" t="str">
        <f t="shared" si="37"/>
        <v>Auxiliar4</v>
      </c>
      <c r="B362" s="88"/>
      <c r="C362" s="88"/>
      <c r="D362" s="88" t="str">
        <f t="shared" si="38"/>
        <v>AA222</v>
      </c>
      <c r="E362" s="88" t="str">
        <f>IF(N362="",IF(J362="j",_xlfn.CONCAT("Load"," ",filename_cont,"1.sim"),IF(K362="k",_xlfn.CONCAT("Load"," ",Data!$W$57,".sim"),"")),"Get Data")</f>
        <v>Get Data</v>
      </c>
      <c r="F362" s="88" t="str">
        <f>CVD_Script_Table!$H$25</f>
        <v>Line</v>
      </c>
      <c r="G362" s="88"/>
      <c r="H362" s="88"/>
      <c r="I362" s="88" t="str">
        <f t="shared" si="39"/>
        <v>Attachmenttype[222]</v>
      </c>
      <c r="J362" s="388">
        <f t="shared" si="40"/>
        <v>222</v>
      </c>
      <c r="K362" s="388" t="str">
        <f t="shared" si="41"/>
        <v/>
      </c>
      <c r="L362" s="388" t="str">
        <f t="shared" si="42"/>
        <v/>
      </c>
      <c r="M362" s="388" t="str">
        <f t="shared" si="43"/>
        <v/>
      </c>
      <c r="N362" s="389">
        <f t="shared" si="44"/>
        <v>222</v>
      </c>
    </row>
    <row r="363" spans="1:14" ht="13.5" customHeight="1" x14ac:dyDescent="0.25">
      <c r="A363" s="88" t="str">
        <f t="shared" si="37"/>
        <v>Auxiliar4</v>
      </c>
      <c r="B363" s="88"/>
      <c r="C363" s="88"/>
      <c r="D363" s="88" t="str">
        <f t="shared" si="38"/>
        <v>AA223</v>
      </c>
      <c r="E363" s="88" t="str">
        <f>IF(N363="",IF(J363="j",_xlfn.CONCAT("Load"," ",filename_cont,"1.sim"),IF(K363="k",_xlfn.CONCAT("Load"," ",Data!$W$57,".sim"),"")),"Get Data")</f>
        <v>Get Data</v>
      </c>
      <c r="F363" s="88" t="str">
        <f>CVD_Script_Table!$H$25</f>
        <v>Line</v>
      </c>
      <c r="G363" s="88"/>
      <c r="H363" s="88"/>
      <c r="I363" s="88" t="str">
        <f t="shared" si="39"/>
        <v>Attachmenttype[223]</v>
      </c>
      <c r="J363" s="388">
        <f t="shared" si="40"/>
        <v>223</v>
      </c>
      <c r="K363" s="388" t="str">
        <f t="shared" si="41"/>
        <v/>
      </c>
      <c r="L363" s="388" t="str">
        <f t="shared" si="42"/>
        <v/>
      </c>
      <c r="M363" s="388" t="str">
        <f t="shared" si="43"/>
        <v/>
      </c>
      <c r="N363" s="389">
        <f t="shared" si="44"/>
        <v>223</v>
      </c>
    </row>
    <row r="364" spans="1:14" ht="13.5" customHeight="1" x14ac:dyDescent="0.25">
      <c r="A364" s="88" t="str">
        <f t="shared" si="37"/>
        <v>Auxiliar4</v>
      </c>
      <c r="B364" s="88"/>
      <c r="C364" s="88"/>
      <c r="D364" s="88" t="str">
        <f t="shared" si="38"/>
        <v>AA224</v>
      </c>
      <c r="E364" s="88" t="str">
        <f>IF(N364="",IF(J364="j",_xlfn.CONCAT("Load"," ",filename_cont,"1.sim"),IF(K364="k",_xlfn.CONCAT("Load"," ",Data!$W$57,".sim"),"")),"Get Data")</f>
        <v>Get Data</v>
      </c>
      <c r="F364" s="88" t="str">
        <f>CVD_Script_Table!$H$25</f>
        <v>Line</v>
      </c>
      <c r="G364" s="88"/>
      <c r="H364" s="88"/>
      <c r="I364" s="88" t="str">
        <f t="shared" si="39"/>
        <v>Attachmenttype[224]</v>
      </c>
      <c r="J364" s="388">
        <f t="shared" si="40"/>
        <v>224</v>
      </c>
      <c r="K364" s="388" t="str">
        <f t="shared" si="41"/>
        <v/>
      </c>
      <c r="L364" s="388" t="str">
        <f t="shared" si="42"/>
        <v/>
      </c>
      <c r="M364" s="388" t="str">
        <f t="shared" si="43"/>
        <v/>
      </c>
      <c r="N364" s="389">
        <f t="shared" si="44"/>
        <v>224</v>
      </c>
    </row>
    <row r="365" spans="1:14" ht="13.5" customHeight="1" x14ac:dyDescent="0.25">
      <c r="A365" s="88" t="str">
        <f t="shared" si="37"/>
        <v>Auxiliar4</v>
      </c>
      <c r="B365" s="88"/>
      <c r="C365" s="88"/>
      <c r="D365" s="88" t="str">
        <f t="shared" si="38"/>
        <v>AA225</v>
      </c>
      <c r="E365" s="88" t="str">
        <f>IF(N365="",IF(J365="j",_xlfn.CONCAT("Load"," ",filename_cont,"1.sim"),IF(K365="k",_xlfn.CONCAT("Load"," ",Data!$W$57,".sim"),"")),"Get Data")</f>
        <v>Get Data</v>
      </c>
      <c r="F365" s="88" t="str">
        <f>CVD_Script_Table!$H$25</f>
        <v>Line</v>
      </c>
      <c r="G365" s="88"/>
      <c r="H365" s="88"/>
      <c r="I365" s="88" t="str">
        <f t="shared" si="39"/>
        <v>Attachmenttype[225]</v>
      </c>
      <c r="J365" s="388">
        <f t="shared" si="40"/>
        <v>225</v>
      </c>
      <c r="K365" s="388" t="str">
        <f t="shared" si="41"/>
        <v/>
      </c>
      <c r="L365" s="388" t="str">
        <f t="shared" si="42"/>
        <v/>
      </c>
      <c r="M365" s="388" t="str">
        <f t="shared" si="43"/>
        <v/>
      </c>
      <c r="N365" s="389">
        <f t="shared" si="44"/>
        <v>225</v>
      </c>
    </row>
    <row r="366" spans="1:14" ht="13.5" customHeight="1" x14ac:dyDescent="0.25">
      <c r="A366" s="88" t="str">
        <f t="shared" si="37"/>
        <v>Auxiliar4</v>
      </c>
      <c r="B366" s="88"/>
      <c r="C366" s="88"/>
      <c r="D366" s="88" t="str">
        <f t="shared" si="38"/>
        <v>AA226</v>
      </c>
      <c r="E366" s="88" t="str">
        <f>IF(N366="",IF(J366="j",_xlfn.CONCAT("Load"," ",filename_cont,"1.sim"),IF(K366="k",_xlfn.CONCAT("Load"," ",Data!$W$57,".sim"),"")),"Get Data")</f>
        <v>Get Data</v>
      </c>
      <c r="F366" s="88" t="str">
        <f>CVD_Script_Table!$H$25</f>
        <v>Line</v>
      </c>
      <c r="G366" s="88"/>
      <c r="H366" s="88"/>
      <c r="I366" s="88" t="str">
        <f t="shared" si="39"/>
        <v>Attachmenttype[226]</v>
      </c>
      <c r="J366" s="388">
        <f t="shared" si="40"/>
        <v>226</v>
      </c>
      <c r="K366" s="388" t="str">
        <f t="shared" si="41"/>
        <v/>
      </c>
      <c r="L366" s="388" t="str">
        <f t="shared" si="42"/>
        <v/>
      </c>
      <c r="M366" s="388" t="str">
        <f t="shared" si="43"/>
        <v/>
      </c>
      <c r="N366" s="389">
        <f t="shared" si="44"/>
        <v>226</v>
      </c>
    </row>
    <row r="367" spans="1:14" ht="13.5" customHeight="1" x14ac:dyDescent="0.25">
      <c r="A367" s="88" t="str">
        <f t="shared" si="37"/>
        <v>Auxiliar4</v>
      </c>
      <c r="B367" s="88"/>
      <c r="C367" s="88"/>
      <c r="D367" s="88" t="str">
        <f t="shared" si="38"/>
        <v>AA227</v>
      </c>
      <c r="E367" s="88" t="str">
        <f>IF(N367="",IF(J367="j",_xlfn.CONCAT("Load"," ",filename_cont,"1.sim"),IF(K367="k",_xlfn.CONCAT("Load"," ",Data!$W$57,".sim"),"")),"Get Data")</f>
        <v>Get Data</v>
      </c>
      <c r="F367" s="88" t="str">
        <f>CVD_Script_Table!$H$25</f>
        <v>Line</v>
      </c>
      <c r="G367" s="88"/>
      <c r="H367" s="88"/>
      <c r="I367" s="88" t="str">
        <f t="shared" si="39"/>
        <v>Attachmenttype[227]</v>
      </c>
      <c r="J367" s="388">
        <f t="shared" si="40"/>
        <v>227</v>
      </c>
      <c r="K367" s="388" t="str">
        <f t="shared" si="41"/>
        <v/>
      </c>
      <c r="L367" s="388" t="str">
        <f t="shared" si="42"/>
        <v/>
      </c>
      <c r="M367" s="388" t="str">
        <f t="shared" si="43"/>
        <v/>
      </c>
      <c r="N367" s="389">
        <f t="shared" si="44"/>
        <v>227</v>
      </c>
    </row>
    <row r="368" spans="1:14" ht="13.5" customHeight="1" x14ac:dyDescent="0.25">
      <c r="A368" s="88" t="str">
        <f t="shared" si="37"/>
        <v>Auxiliar4</v>
      </c>
      <c r="B368" s="88"/>
      <c r="C368" s="88"/>
      <c r="D368" s="88" t="str">
        <f t="shared" si="38"/>
        <v>AA228</v>
      </c>
      <c r="E368" s="88" t="str">
        <f>IF(N368="",IF(J368="j",_xlfn.CONCAT("Load"," ",filename_cont,"1.sim"),IF(K368="k",_xlfn.CONCAT("Load"," ",Data!$W$57,".sim"),"")),"Get Data")</f>
        <v>Get Data</v>
      </c>
      <c r="F368" s="88" t="str">
        <f>CVD_Script_Table!$H$25</f>
        <v>Line</v>
      </c>
      <c r="G368" s="88"/>
      <c r="H368" s="88"/>
      <c r="I368" s="88" t="str">
        <f t="shared" si="39"/>
        <v>Attachmenttype[228]</v>
      </c>
      <c r="J368" s="388">
        <f t="shared" si="40"/>
        <v>228</v>
      </c>
      <c r="K368" s="388" t="str">
        <f t="shared" si="41"/>
        <v/>
      </c>
      <c r="L368" s="388" t="str">
        <f t="shared" si="42"/>
        <v/>
      </c>
      <c r="M368" s="388" t="str">
        <f t="shared" si="43"/>
        <v/>
      </c>
      <c r="N368" s="389">
        <f t="shared" si="44"/>
        <v>228</v>
      </c>
    </row>
    <row r="369" spans="1:14" ht="13.5" customHeight="1" x14ac:dyDescent="0.25">
      <c r="A369" s="88" t="str">
        <f t="shared" si="37"/>
        <v>Auxiliar4</v>
      </c>
      <c r="B369" s="88"/>
      <c r="C369" s="88"/>
      <c r="D369" s="88" t="str">
        <f t="shared" si="38"/>
        <v>AA229</v>
      </c>
      <c r="E369" s="88" t="str">
        <f>IF(N369="",IF(J369="j",_xlfn.CONCAT("Load"," ",filename_cont,"1.sim"),IF(K369="k",_xlfn.CONCAT("Load"," ",Data!$W$57,".sim"),"")),"Get Data")</f>
        <v>Get Data</v>
      </c>
      <c r="F369" s="88" t="str">
        <f>CVD_Script_Table!$H$25</f>
        <v>Line</v>
      </c>
      <c r="G369" s="88"/>
      <c r="H369" s="88"/>
      <c r="I369" s="88" t="str">
        <f t="shared" si="39"/>
        <v>Attachmenttype[229]</v>
      </c>
      <c r="J369" s="388">
        <f t="shared" si="40"/>
        <v>229</v>
      </c>
      <c r="K369" s="388" t="str">
        <f t="shared" si="41"/>
        <v/>
      </c>
      <c r="L369" s="388" t="str">
        <f t="shared" si="42"/>
        <v/>
      </c>
      <c r="M369" s="388" t="str">
        <f t="shared" si="43"/>
        <v/>
      </c>
      <c r="N369" s="389">
        <f t="shared" si="44"/>
        <v>229</v>
      </c>
    </row>
    <row r="370" spans="1:14" ht="13.5" customHeight="1" x14ac:dyDescent="0.25">
      <c r="A370" s="88" t="str">
        <f t="shared" si="37"/>
        <v>Auxiliar4</v>
      </c>
      <c r="B370" s="88"/>
      <c r="C370" s="88"/>
      <c r="D370" s="88" t="str">
        <f t="shared" si="38"/>
        <v>AA230</v>
      </c>
      <c r="E370" s="88" t="str">
        <f>IF(N370="",IF(J370="j",_xlfn.CONCAT("Load"," ",filename_cont,"1.sim"),IF(K370="k",_xlfn.CONCAT("Load"," ",Data!$W$57,".sim"),"")),"Get Data")</f>
        <v>Get Data</v>
      </c>
      <c r="F370" s="88" t="str">
        <f>CVD_Script_Table!$H$25</f>
        <v>Line</v>
      </c>
      <c r="G370" s="88"/>
      <c r="H370" s="88"/>
      <c r="I370" s="88" t="str">
        <f t="shared" si="39"/>
        <v>Attachmenttype[230]</v>
      </c>
      <c r="J370" s="388">
        <f t="shared" si="40"/>
        <v>230</v>
      </c>
      <c r="K370" s="388" t="str">
        <f t="shared" si="41"/>
        <v/>
      </c>
      <c r="L370" s="388" t="str">
        <f t="shared" si="42"/>
        <v/>
      </c>
      <c r="M370" s="388" t="str">
        <f t="shared" si="43"/>
        <v/>
      </c>
      <c r="N370" s="389">
        <f t="shared" si="44"/>
        <v>230</v>
      </c>
    </row>
  </sheetData>
  <dataConsolidate link="1"/>
  <phoneticPr fontId="23" type="noConversion"/>
  <pageMargins left="0.75" right="0.75" top="1" bottom="1" header="0.5" footer="0.5"/>
  <pageSetup paperSize="9" scale="40" fitToHeight="0" orientation="landscape" r:id="rId1"/>
  <headerFooter alignWithMargins="0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7D9F0E-F465-4A2C-8A50-382B085BD8BD}">
  <sheetPr codeName="Sheet15"/>
  <dimension ref="A1:BJ5907"/>
  <sheetViews>
    <sheetView workbookViewId="0"/>
  </sheetViews>
  <sheetFormatPr defaultColWidth="0" defaultRowHeight="12.5" zeroHeight="1" x14ac:dyDescent="0.25"/>
  <cols>
    <col min="1" max="1" width="2.7265625" style="103" customWidth="1"/>
    <col min="2" max="2" width="25.7265625" style="12" customWidth="1"/>
    <col min="3" max="6" width="14.7265625" style="12" customWidth="1"/>
    <col min="7" max="7" width="5.7265625" style="103" customWidth="1"/>
    <col min="8" max="8" width="25.7265625" style="12" customWidth="1"/>
    <col min="9" max="12" width="14.7265625" style="12" customWidth="1"/>
    <col min="13" max="13" width="2.7265625" style="103" customWidth="1"/>
    <col min="14" max="14" width="30.7265625" style="12" customWidth="1"/>
    <col min="15" max="15" width="20.7265625" style="12" customWidth="1"/>
    <col min="16" max="16" width="2.7265625" style="103" customWidth="1"/>
    <col min="17" max="19" width="20.7265625" style="12" customWidth="1"/>
    <col min="20" max="20" width="2.7265625" style="12" customWidth="1"/>
    <col min="21" max="23" width="20.7265625" style="12" customWidth="1"/>
    <col min="24" max="24" width="2.7265625" style="12" customWidth="1"/>
    <col min="25" max="62" width="9.26953125" style="12" hidden="1" customWidth="1"/>
    <col min="63" max="16384" width="9.26953125" style="74" hidden="1"/>
  </cols>
  <sheetData>
    <row r="1" spans="1:62" s="325" customFormat="1" ht="13" x14ac:dyDescent="0.25">
      <c r="A1" s="103"/>
      <c r="B1" s="213"/>
      <c r="C1" s="103"/>
      <c r="D1" s="103"/>
      <c r="E1" s="103"/>
      <c r="F1" s="103"/>
      <c r="G1" s="103"/>
      <c r="H1" s="103"/>
      <c r="I1" s="103"/>
      <c r="J1" s="103"/>
      <c r="K1" s="103"/>
      <c r="L1" s="103"/>
      <c r="M1" s="103"/>
      <c r="N1" s="103"/>
      <c r="O1" s="103"/>
      <c r="P1" s="103"/>
      <c r="Q1" s="103"/>
      <c r="R1" s="103"/>
      <c r="S1" s="103"/>
      <c r="T1" s="103"/>
      <c r="U1" s="103"/>
      <c r="V1" s="103"/>
      <c r="W1" s="103"/>
      <c r="X1" s="103"/>
      <c r="Y1" s="103"/>
      <c r="Z1" s="103"/>
      <c r="AA1" s="103"/>
      <c r="AB1" s="103"/>
      <c r="AC1" s="103"/>
      <c r="AD1" s="103"/>
      <c r="AE1" s="103"/>
      <c r="AF1" s="103"/>
      <c r="AG1" s="103"/>
      <c r="AH1" s="103"/>
      <c r="AI1" s="103"/>
      <c r="AJ1" s="103"/>
      <c r="AK1" s="103"/>
      <c r="AL1" s="103"/>
      <c r="AM1" s="103"/>
      <c r="AN1" s="103"/>
      <c r="AO1" s="103"/>
      <c r="AP1" s="103"/>
      <c r="AQ1" s="103"/>
      <c r="AR1" s="103"/>
      <c r="AS1" s="103"/>
      <c r="AT1" s="103"/>
      <c r="AU1" s="103"/>
      <c r="AV1" s="103"/>
      <c r="AW1" s="103"/>
      <c r="AX1" s="103"/>
      <c r="AY1" s="103"/>
      <c r="AZ1" s="103"/>
      <c r="BA1" s="103"/>
      <c r="BB1" s="103"/>
      <c r="BC1" s="103"/>
      <c r="BD1" s="103"/>
      <c r="BE1" s="103"/>
      <c r="BF1" s="103"/>
      <c r="BG1" s="103"/>
      <c r="BH1" s="103"/>
      <c r="BI1" s="103"/>
      <c r="BJ1" s="103"/>
    </row>
    <row r="2" spans="1:62" s="325" customFormat="1" ht="13" x14ac:dyDescent="0.25">
      <c r="A2" s="213" t="s">
        <v>762</v>
      </c>
      <c r="B2" s="213"/>
      <c r="C2" s="103"/>
      <c r="D2" s="103"/>
      <c r="E2" s="103"/>
      <c r="F2" s="103"/>
      <c r="G2" s="213" t="s">
        <v>763</v>
      </c>
      <c r="H2" s="213"/>
      <c r="I2" s="213"/>
      <c r="J2" s="213"/>
      <c r="K2" s="213"/>
      <c r="L2" s="213"/>
      <c r="M2" s="103"/>
      <c r="N2" s="103"/>
      <c r="O2" s="103"/>
      <c r="P2" s="103"/>
      <c r="Q2" s="103"/>
      <c r="R2" s="103"/>
      <c r="S2" s="103"/>
      <c r="T2" s="103"/>
      <c r="U2" s="103"/>
      <c r="V2" s="103"/>
      <c r="W2" s="103"/>
      <c r="X2" s="103"/>
      <c r="Y2" s="103"/>
      <c r="Z2" s="103"/>
      <c r="AA2" s="103"/>
      <c r="AB2" s="103"/>
      <c r="AC2" s="103"/>
      <c r="AD2" s="103"/>
      <c r="AE2" s="103"/>
      <c r="AF2" s="103"/>
      <c r="AG2" s="103"/>
      <c r="AH2" s="103"/>
      <c r="AI2" s="103"/>
      <c r="AJ2" s="103"/>
      <c r="AK2" s="103"/>
      <c r="AL2" s="103"/>
      <c r="AM2" s="103"/>
      <c r="AN2" s="103"/>
      <c r="AO2" s="103"/>
      <c r="AP2" s="103"/>
      <c r="AQ2" s="103"/>
      <c r="AR2" s="103"/>
      <c r="AS2" s="103"/>
      <c r="AT2" s="103"/>
      <c r="AU2" s="103"/>
      <c r="AV2" s="103"/>
      <c r="AW2" s="103"/>
      <c r="AX2" s="103"/>
      <c r="AY2" s="103"/>
      <c r="AZ2" s="103"/>
      <c r="BA2" s="103"/>
      <c r="BB2" s="103"/>
      <c r="BC2" s="103"/>
      <c r="BD2" s="103"/>
      <c r="BE2" s="103"/>
      <c r="BF2" s="103"/>
      <c r="BG2" s="103"/>
      <c r="BH2" s="103"/>
      <c r="BI2" s="103"/>
      <c r="BJ2" s="103"/>
    </row>
    <row r="3" spans="1:62" s="325" customFormat="1" ht="13" thickBot="1" x14ac:dyDescent="0.3">
      <c r="A3" s="103"/>
      <c r="B3" s="103"/>
      <c r="C3" s="103"/>
      <c r="D3" s="103"/>
      <c r="E3" s="103"/>
      <c r="F3" s="103"/>
      <c r="G3" s="103"/>
      <c r="H3" s="103"/>
      <c r="I3" s="103"/>
      <c r="J3" s="103"/>
      <c r="K3" s="103"/>
      <c r="L3" s="103"/>
      <c r="M3" s="103"/>
      <c r="N3" s="103"/>
      <c r="O3" s="103"/>
      <c r="P3" s="103"/>
      <c r="Q3" s="103"/>
      <c r="R3" s="103"/>
      <c r="S3" s="103"/>
      <c r="T3" s="103"/>
      <c r="U3" s="103"/>
      <c r="V3" s="103"/>
      <c r="W3" s="103"/>
      <c r="X3" s="103"/>
      <c r="Y3" s="103"/>
      <c r="Z3" s="103"/>
      <c r="AA3" s="103"/>
      <c r="AB3" s="103"/>
      <c r="AC3" s="103"/>
      <c r="AD3" s="103"/>
      <c r="AE3" s="103"/>
      <c r="AF3" s="103"/>
      <c r="AG3" s="103"/>
      <c r="AH3" s="103"/>
      <c r="AI3" s="103"/>
      <c r="AJ3" s="103"/>
      <c r="AK3" s="103"/>
      <c r="AL3" s="103"/>
      <c r="AM3" s="103"/>
      <c r="AN3" s="103"/>
      <c r="AO3" s="103"/>
      <c r="AP3" s="103"/>
      <c r="AQ3" s="103"/>
      <c r="AR3" s="103"/>
      <c r="AS3" s="103"/>
      <c r="AT3" s="103"/>
      <c r="AU3" s="103"/>
      <c r="AV3" s="103"/>
      <c r="AW3" s="103"/>
      <c r="AX3" s="103"/>
      <c r="AY3" s="103"/>
      <c r="AZ3" s="103"/>
      <c r="BA3" s="103"/>
      <c r="BB3" s="103"/>
      <c r="BC3" s="103"/>
      <c r="BD3" s="103"/>
      <c r="BE3" s="103"/>
      <c r="BF3" s="103"/>
      <c r="BG3" s="103"/>
      <c r="BH3" s="103"/>
      <c r="BI3" s="103"/>
      <c r="BJ3" s="103"/>
    </row>
    <row r="4" spans="1:62" ht="13" x14ac:dyDescent="0.25">
      <c r="B4" s="149"/>
      <c r="C4" s="158"/>
      <c r="D4" s="158"/>
      <c r="E4" s="158"/>
      <c r="F4" s="159"/>
      <c r="H4" s="149"/>
      <c r="I4" s="158"/>
      <c r="J4" s="158"/>
      <c r="K4" s="158"/>
      <c r="L4" s="159"/>
      <c r="N4" s="680" t="s">
        <v>764</v>
      </c>
      <c r="O4" s="680"/>
      <c r="Q4" s="680" t="s">
        <v>765</v>
      </c>
      <c r="R4" s="680"/>
      <c r="S4" s="680"/>
      <c r="T4" s="103"/>
      <c r="U4" s="680" t="s">
        <v>766</v>
      </c>
      <c r="V4" s="680"/>
      <c r="W4" s="680"/>
      <c r="X4" s="103"/>
    </row>
    <row r="5" spans="1:62" ht="13.5" thickBot="1" x14ac:dyDescent="0.3">
      <c r="B5" s="150"/>
      <c r="C5" s="151"/>
      <c r="D5" s="151"/>
      <c r="E5" s="151"/>
      <c r="F5" s="152"/>
      <c r="H5" s="150"/>
      <c r="I5" s="151"/>
      <c r="J5" s="151"/>
      <c r="K5" s="151"/>
      <c r="L5" s="152"/>
      <c r="N5" s="161" t="s">
        <v>767</v>
      </c>
      <c r="O5" s="172" t="str">
        <f>IF(AND(O6&gt;0,ISNUMBER(O7)), MIN(O10:O11), IF(AND(O6&gt;0, ISTEXT(O7)), O6, IF(O6&lt;=0, O7)))</f>
        <v/>
      </c>
      <c r="Q5" s="161"/>
      <c r="R5" s="161"/>
      <c r="S5" s="161"/>
      <c r="T5" s="103"/>
      <c r="U5" s="161"/>
      <c r="V5" s="161"/>
      <c r="W5" s="161"/>
      <c r="X5" s="103"/>
    </row>
    <row r="6" spans="1:62" ht="13.5" thickTop="1" x14ac:dyDescent="0.25">
      <c r="B6" s="145"/>
      <c r="C6" s="146"/>
      <c r="D6" s="146"/>
      <c r="E6" s="146"/>
      <c r="F6" s="153"/>
      <c r="H6" s="145"/>
      <c r="I6" s="146"/>
      <c r="J6" s="146"/>
      <c r="K6" s="146"/>
      <c r="L6" s="153"/>
      <c r="N6" s="161" t="s">
        <v>288</v>
      </c>
      <c r="O6" s="16" t="str">
        <f>IF(O10&lt;=0,"",O10)</f>
        <v/>
      </c>
      <c r="Q6" s="16"/>
      <c r="R6" s="16"/>
      <c r="S6" s="16"/>
      <c r="T6" s="103"/>
      <c r="U6" s="16"/>
      <c r="V6" s="16"/>
      <c r="W6" s="16"/>
      <c r="X6" s="103"/>
    </row>
    <row r="7" spans="1:62" ht="13" x14ac:dyDescent="0.25">
      <c r="B7" s="144"/>
      <c r="C7" s="16"/>
      <c r="D7" s="16"/>
      <c r="E7" s="16"/>
      <c r="F7" s="154"/>
      <c r="H7" s="144"/>
      <c r="I7" s="16"/>
      <c r="J7" s="16"/>
      <c r="K7" s="16"/>
      <c r="L7" s="154"/>
      <c r="N7" s="161" t="s">
        <v>768</v>
      </c>
      <c r="O7" s="209" t="str">
        <f>IF(O11&lt;=0, "Empty", O11)</f>
        <v>Empty</v>
      </c>
      <c r="Q7" s="16"/>
      <c r="R7" s="16"/>
      <c r="S7" s="16"/>
      <c r="T7" s="103"/>
      <c r="U7" s="16"/>
      <c r="V7" s="16"/>
      <c r="W7" s="16"/>
      <c r="X7" s="103"/>
    </row>
    <row r="8" spans="1:62" x14ac:dyDescent="0.25">
      <c r="B8" s="144"/>
      <c r="C8" s="16"/>
      <c r="D8" s="16"/>
      <c r="E8" s="16"/>
      <c r="F8" s="154"/>
      <c r="H8" s="144"/>
      <c r="I8" s="16"/>
      <c r="J8" s="16"/>
      <c r="K8" s="16"/>
      <c r="L8" s="154"/>
      <c r="N8" s="103"/>
      <c r="O8" s="103"/>
      <c r="Q8" s="16"/>
      <c r="R8" s="16"/>
      <c r="S8" s="16"/>
      <c r="T8" s="103"/>
      <c r="U8" s="16"/>
      <c r="V8" s="16"/>
      <c r="W8" s="16"/>
      <c r="X8" s="103"/>
    </row>
    <row r="9" spans="1:62" ht="13" x14ac:dyDescent="0.25">
      <c r="B9" s="144"/>
      <c r="C9" s="16"/>
      <c r="D9" s="16"/>
      <c r="E9" s="16"/>
      <c r="F9" s="154"/>
      <c r="H9" s="144"/>
      <c r="I9" s="16"/>
      <c r="J9" s="16"/>
      <c r="K9" s="16"/>
      <c r="L9" s="154"/>
      <c r="N9" s="680" t="s">
        <v>769</v>
      </c>
      <c r="O9" s="680"/>
      <c r="Q9" s="16"/>
      <c r="R9" s="16"/>
      <c r="S9" s="16"/>
      <c r="T9" s="103"/>
      <c r="U9" s="16"/>
      <c r="V9" s="16"/>
      <c r="W9" s="16"/>
      <c r="X9" s="103"/>
    </row>
    <row r="10" spans="1:62" ht="13" x14ac:dyDescent="0.25">
      <c r="B10" s="144"/>
      <c r="C10" s="16"/>
      <c r="D10" s="16"/>
      <c r="E10" s="16"/>
      <c r="F10" s="154"/>
      <c r="H10" s="144"/>
      <c r="I10" s="16"/>
      <c r="J10" s="16"/>
      <c r="K10" s="16"/>
      <c r="L10" s="154"/>
      <c r="N10" s="161" t="s">
        <v>288</v>
      </c>
      <c r="O10" s="172" cm="1">
        <f t="array" ref="O10">IF(_dvc_type=2,MIN(IF((Q6:Q2005&gt;=postproc_arclength_cabrestante2),S6:S2005)),MIN(IF(ISNUMBER(Q6:Q2005),S6:S2005)))</f>
        <v>0</v>
      </c>
      <c r="Q10" s="16"/>
      <c r="R10" s="16"/>
      <c r="S10" s="16"/>
      <c r="T10" s="103"/>
      <c r="U10" s="16"/>
      <c r="V10" s="16"/>
      <c r="W10" s="16"/>
      <c r="X10" s="103"/>
    </row>
    <row r="11" spans="1:62" ht="13" x14ac:dyDescent="0.25">
      <c r="B11" s="144"/>
      <c r="C11" s="16"/>
      <c r="D11" s="16"/>
      <c r="E11" s="16"/>
      <c r="F11" s="154"/>
      <c r="H11" s="144"/>
      <c r="I11" s="16"/>
      <c r="J11" s="16"/>
      <c r="K11" s="16"/>
      <c r="L11" s="154"/>
      <c r="N11" s="161" t="s">
        <v>768</v>
      </c>
      <c r="O11" s="16" cm="1">
        <f t="array" ref="O11">MIN(IF(ISNUMBER(R6:R2005),S6:S2005))</f>
        <v>0</v>
      </c>
      <c r="Q11" s="16"/>
      <c r="R11" s="16"/>
      <c r="S11" s="16"/>
      <c r="T11" s="103"/>
      <c r="U11" s="16"/>
      <c r="V11" s="16"/>
      <c r="W11" s="16"/>
      <c r="X11" s="103"/>
    </row>
    <row r="12" spans="1:62" x14ac:dyDescent="0.25">
      <c r="B12" s="144"/>
      <c r="C12" s="16"/>
      <c r="D12" s="16"/>
      <c r="E12" s="16"/>
      <c r="F12" s="154"/>
      <c r="H12" s="144"/>
      <c r="I12" s="16"/>
      <c r="J12" s="16"/>
      <c r="K12" s="16"/>
      <c r="L12" s="154"/>
      <c r="N12" s="103"/>
      <c r="O12" s="103"/>
      <c r="Q12" s="16"/>
      <c r="R12" s="16"/>
      <c r="S12" s="16"/>
      <c r="T12" s="103"/>
      <c r="U12" s="16"/>
      <c r="V12" s="16"/>
      <c r="W12" s="16"/>
      <c r="X12" s="103"/>
    </row>
    <row r="13" spans="1:62" ht="13" x14ac:dyDescent="0.25">
      <c r="B13" s="144"/>
      <c r="C13" s="16"/>
      <c r="D13" s="16"/>
      <c r="E13" s="16"/>
      <c r="F13" s="154"/>
      <c r="H13" s="144"/>
      <c r="I13" s="16"/>
      <c r="J13" s="16"/>
      <c r="K13" s="16"/>
      <c r="L13" s="154"/>
      <c r="N13" s="680" t="s">
        <v>770</v>
      </c>
      <c r="O13" s="680"/>
      <c r="Q13" s="16"/>
      <c r="R13" s="16"/>
      <c r="S13" s="16"/>
      <c r="T13" s="103"/>
      <c r="U13" s="16"/>
      <c r="V13" s="16"/>
      <c r="W13" s="16"/>
      <c r="X13" s="103"/>
    </row>
    <row r="14" spans="1:62" ht="13" x14ac:dyDescent="0.25">
      <c r="B14" s="144"/>
      <c r="C14" s="16"/>
      <c r="D14" s="16"/>
      <c r="E14" s="16"/>
      <c r="F14" s="154"/>
      <c r="H14" s="144"/>
      <c r="I14" s="16"/>
      <c r="J14" s="16"/>
      <c r="K14" s="16"/>
      <c r="L14" s="154"/>
      <c r="N14" s="161" t="s">
        <v>767</v>
      </c>
      <c r="O14" s="172" t="str">
        <f>IF(AND(O15&gt;0,ISNUMBER(O16)), MIN(O19:O20), IF(AND(O15&gt;0, ISTEXT(O16)), O15, IF(O15&lt;=0, O16)))</f>
        <v/>
      </c>
      <c r="Q14" s="16"/>
      <c r="R14" s="16"/>
      <c r="S14" s="16"/>
      <c r="T14" s="103"/>
      <c r="U14" s="16"/>
      <c r="V14" s="16"/>
      <c r="W14" s="16"/>
      <c r="X14" s="103"/>
    </row>
    <row r="15" spans="1:62" ht="13" x14ac:dyDescent="0.25">
      <c r="B15" s="18"/>
      <c r="C15" s="16"/>
      <c r="D15" s="16"/>
      <c r="E15" s="16"/>
      <c r="F15" s="154"/>
      <c r="H15" s="18"/>
      <c r="I15" s="16"/>
      <c r="J15" s="16"/>
      <c r="K15" s="16"/>
      <c r="L15" s="154"/>
      <c r="N15" s="161" t="s">
        <v>288</v>
      </c>
      <c r="O15" s="16" t="str">
        <f>IF(O19&lt;=0,"",O19)</f>
        <v/>
      </c>
      <c r="Q15" s="16"/>
      <c r="R15" s="16"/>
      <c r="S15" s="16"/>
      <c r="T15" s="103"/>
      <c r="U15" s="16"/>
      <c r="V15" s="16"/>
      <c r="W15" s="16"/>
      <c r="X15" s="103"/>
    </row>
    <row r="16" spans="1:62" ht="13" x14ac:dyDescent="0.25">
      <c r="B16" s="18"/>
      <c r="C16" s="16"/>
      <c r="D16" s="16"/>
      <c r="E16" s="16"/>
      <c r="F16" s="154"/>
      <c r="H16" s="18"/>
      <c r="I16" s="16"/>
      <c r="J16" s="16"/>
      <c r="K16" s="16"/>
      <c r="L16" s="154"/>
      <c r="N16" s="161" t="s">
        <v>768</v>
      </c>
      <c r="O16" s="209" t="str">
        <f>IF(O20&lt;=0, "Empty", O20)</f>
        <v>Empty</v>
      </c>
      <c r="Q16" s="16"/>
      <c r="R16" s="16"/>
      <c r="S16" s="16"/>
      <c r="T16" s="103"/>
      <c r="U16" s="16"/>
      <c r="V16" s="16"/>
      <c r="W16" s="16"/>
      <c r="X16" s="103"/>
    </row>
    <row r="17" spans="1:24" ht="13" x14ac:dyDescent="0.25">
      <c r="B17" s="18"/>
      <c r="C17" s="16"/>
      <c r="D17" s="16"/>
      <c r="E17" s="16"/>
      <c r="F17" s="154"/>
      <c r="H17" s="18"/>
      <c r="I17" s="16"/>
      <c r="J17" s="16"/>
      <c r="K17" s="16"/>
      <c r="L17" s="154"/>
      <c r="N17" s="103"/>
      <c r="O17" s="103"/>
      <c r="Q17" s="16"/>
      <c r="R17" s="16"/>
      <c r="S17" s="16"/>
      <c r="T17" s="103"/>
      <c r="U17" s="16"/>
      <c r="V17" s="16"/>
      <c r="W17" s="16"/>
      <c r="X17" s="103"/>
    </row>
    <row r="18" spans="1:24" ht="13" x14ac:dyDescent="0.25">
      <c r="B18" s="18"/>
      <c r="C18" s="16"/>
      <c r="D18" s="16"/>
      <c r="E18" s="16"/>
      <c r="F18" s="154"/>
      <c r="H18" s="18"/>
      <c r="I18" s="16"/>
      <c r="J18" s="16"/>
      <c r="K18" s="16"/>
      <c r="L18" s="154"/>
      <c r="N18" s="680" t="s">
        <v>771</v>
      </c>
      <c r="O18" s="680"/>
      <c r="Q18" s="16"/>
      <c r="R18" s="16"/>
      <c r="S18" s="173"/>
      <c r="T18" s="103"/>
      <c r="U18" s="16"/>
      <c r="V18" s="16"/>
      <c r="W18" s="173"/>
      <c r="X18" s="103"/>
    </row>
    <row r="19" spans="1:24" ht="13" x14ac:dyDescent="0.25">
      <c r="B19" s="18"/>
      <c r="C19" s="16"/>
      <c r="D19" s="399"/>
      <c r="E19" s="399"/>
      <c r="F19" s="94"/>
      <c r="H19" s="18"/>
      <c r="I19" s="16"/>
      <c r="J19" s="399"/>
      <c r="K19" s="399"/>
      <c r="L19" s="94"/>
      <c r="N19" s="161" t="s">
        <v>288</v>
      </c>
      <c r="O19" s="172" cm="1">
        <f t="array" ref="O19">IF(_dvc_type=2,MIN(IF((U6:U2014&gt;=postproc_arclength_cabrestante2),W6:W2014)),MIN(IF(ISNUMBER(U6:U2014),W6:W2014)))</f>
        <v>0</v>
      </c>
      <c r="Q19" s="16"/>
      <c r="R19" s="16"/>
      <c r="S19" s="16"/>
      <c r="T19" s="103"/>
      <c r="U19" s="16"/>
      <c r="V19" s="16"/>
      <c r="W19" s="16"/>
      <c r="X19" s="103"/>
    </row>
    <row r="20" spans="1:24" ht="13.5" thickBot="1" x14ac:dyDescent="0.3">
      <c r="B20" s="155"/>
      <c r="C20" s="157"/>
      <c r="D20" s="400"/>
      <c r="E20" s="400"/>
      <c r="F20" s="95"/>
      <c r="H20" s="155"/>
      <c r="I20" s="157"/>
      <c r="J20" s="400"/>
      <c r="K20" s="400"/>
      <c r="L20" s="95"/>
      <c r="N20" s="161" t="s">
        <v>768</v>
      </c>
      <c r="O20" s="16" cm="1">
        <f t="array" ref="O20">MIN(IF(ISNUMBER(V5:V2014),W5:W2014))</f>
        <v>0</v>
      </c>
      <c r="Q20" s="16"/>
      <c r="R20" s="16"/>
      <c r="S20" s="16"/>
      <c r="T20" s="103"/>
      <c r="U20" s="16"/>
      <c r="V20" s="16"/>
      <c r="W20" s="16"/>
      <c r="X20" s="103"/>
    </row>
    <row r="21" spans="1:24" ht="13" x14ac:dyDescent="0.25">
      <c r="B21" s="103"/>
      <c r="C21" s="103"/>
      <c r="D21" s="213"/>
      <c r="E21" s="103"/>
      <c r="F21" s="103"/>
      <c r="H21" s="103"/>
      <c r="I21" s="103"/>
      <c r="J21" s="103"/>
      <c r="K21" s="213"/>
      <c r="L21" s="103"/>
      <c r="N21" s="103"/>
      <c r="O21" s="103"/>
      <c r="Q21" s="16"/>
      <c r="R21" s="16"/>
      <c r="S21" s="16"/>
      <c r="T21" s="103"/>
      <c r="U21" s="16"/>
      <c r="V21" s="16"/>
      <c r="W21" s="16"/>
      <c r="X21" s="103"/>
    </row>
    <row r="22" spans="1:24" ht="13" x14ac:dyDescent="0.25">
      <c r="A22" s="213" t="s">
        <v>772</v>
      </c>
      <c r="B22" s="213"/>
      <c r="C22" s="213"/>
      <c r="D22" s="213"/>
      <c r="E22" s="213"/>
      <c r="F22" s="213"/>
      <c r="G22" s="213" t="s">
        <v>773</v>
      </c>
      <c r="H22" s="213"/>
      <c r="I22" s="213"/>
      <c r="J22" s="213"/>
      <c r="K22" s="213"/>
      <c r="L22" s="213"/>
      <c r="N22" s="213"/>
      <c r="O22" s="213"/>
      <c r="Q22" s="16"/>
      <c r="R22" s="16"/>
      <c r="S22" s="16"/>
      <c r="T22" s="103"/>
      <c r="U22" s="16"/>
      <c r="V22" s="16"/>
      <c r="W22" s="16"/>
      <c r="X22" s="103"/>
    </row>
    <row r="23" spans="1:24" ht="13.5" thickBot="1" x14ac:dyDescent="0.3">
      <c r="B23" s="103"/>
      <c r="C23" s="103"/>
      <c r="D23" s="103"/>
      <c r="E23" s="103"/>
      <c r="F23" s="103"/>
      <c r="H23" s="103"/>
      <c r="I23" s="103"/>
      <c r="J23" s="103"/>
      <c r="K23" s="213"/>
      <c r="L23" s="103"/>
      <c r="N23" s="103"/>
      <c r="O23" s="103"/>
      <c r="Q23" s="16"/>
      <c r="R23" s="16"/>
      <c r="S23" s="16"/>
      <c r="T23" s="103"/>
      <c r="U23" s="16"/>
      <c r="V23" s="16"/>
      <c r="W23" s="16"/>
      <c r="X23" s="103"/>
    </row>
    <row r="24" spans="1:24" ht="13" x14ac:dyDescent="0.25">
      <c r="B24" s="149"/>
      <c r="C24" s="158"/>
      <c r="D24" s="158"/>
      <c r="E24" s="158"/>
      <c r="F24" s="159"/>
      <c r="H24" s="149"/>
      <c r="I24" s="158"/>
      <c r="J24" s="158"/>
      <c r="K24" s="158"/>
      <c r="L24" s="159"/>
      <c r="N24" s="103"/>
      <c r="O24" s="103"/>
      <c r="Q24" s="16"/>
      <c r="R24" s="16"/>
      <c r="S24" s="16"/>
      <c r="T24" s="103"/>
      <c r="U24" s="16"/>
      <c r="V24" s="16"/>
      <c r="W24" s="16"/>
      <c r="X24" s="103"/>
    </row>
    <row r="25" spans="1:24" ht="13" thickBot="1" x14ac:dyDescent="0.3">
      <c r="B25" s="150"/>
      <c r="C25" s="151"/>
      <c r="D25" s="151"/>
      <c r="E25" s="151"/>
      <c r="F25" s="152"/>
      <c r="H25" s="150"/>
      <c r="I25" s="151"/>
      <c r="J25" s="151"/>
      <c r="K25" s="151"/>
      <c r="L25" s="152"/>
      <c r="N25" s="103"/>
      <c r="O25" s="103"/>
      <c r="Q25" s="16"/>
      <c r="R25" s="16"/>
      <c r="S25" s="16"/>
      <c r="T25" s="103"/>
      <c r="U25" s="16"/>
      <c r="V25" s="16"/>
      <c r="W25" s="16"/>
      <c r="X25" s="103"/>
    </row>
    <row r="26" spans="1:24" ht="13" thickTop="1" x14ac:dyDescent="0.25">
      <c r="B26" s="145"/>
      <c r="C26" s="146"/>
      <c r="D26" s="146"/>
      <c r="E26" s="146"/>
      <c r="F26" s="153"/>
      <c r="H26" s="145"/>
      <c r="I26" s="146"/>
      <c r="J26" s="146"/>
      <c r="K26" s="146"/>
      <c r="L26" s="153"/>
      <c r="N26" s="103"/>
      <c r="O26" s="103"/>
      <c r="Q26" s="16"/>
      <c r="R26" s="16"/>
      <c r="S26" s="16"/>
      <c r="T26" s="103"/>
      <c r="U26" s="16"/>
      <c r="V26" s="16"/>
      <c r="W26" s="16"/>
      <c r="X26" s="103"/>
    </row>
    <row r="27" spans="1:24" ht="13" x14ac:dyDescent="0.25">
      <c r="B27" s="144"/>
      <c r="C27" s="16"/>
      <c r="D27" s="16"/>
      <c r="E27" s="16"/>
      <c r="F27" s="154"/>
      <c r="H27" s="144"/>
      <c r="I27" s="16"/>
      <c r="J27" s="16"/>
      <c r="K27" s="16"/>
      <c r="L27" s="154"/>
      <c r="N27" s="213"/>
      <c r="O27" s="103"/>
      <c r="Q27" s="16"/>
      <c r="R27" s="16"/>
      <c r="S27" s="16"/>
      <c r="T27" s="103"/>
      <c r="U27" s="16"/>
      <c r="V27" s="16"/>
      <c r="W27" s="16"/>
      <c r="X27" s="103"/>
    </row>
    <row r="28" spans="1:24" ht="13" x14ac:dyDescent="0.25">
      <c r="B28" s="144"/>
      <c r="C28" s="16"/>
      <c r="D28" s="16"/>
      <c r="E28" s="16"/>
      <c r="F28" s="154"/>
      <c r="H28" s="144"/>
      <c r="I28" s="16"/>
      <c r="J28" s="16"/>
      <c r="K28" s="16"/>
      <c r="L28" s="154"/>
      <c r="N28" s="213"/>
      <c r="O28" s="103"/>
      <c r="Q28" s="16"/>
      <c r="R28" s="16"/>
      <c r="S28" s="16"/>
      <c r="T28" s="103"/>
      <c r="U28" s="16"/>
      <c r="V28" s="16"/>
      <c r="W28" s="16"/>
      <c r="X28" s="103"/>
    </row>
    <row r="29" spans="1:24" ht="13" x14ac:dyDescent="0.25">
      <c r="B29" s="144"/>
      <c r="C29" s="16"/>
      <c r="D29" s="16"/>
      <c r="E29" s="16"/>
      <c r="F29" s="154"/>
      <c r="H29" s="144"/>
      <c r="I29" s="16"/>
      <c r="J29" s="16"/>
      <c r="K29" s="16"/>
      <c r="L29" s="154"/>
      <c r="N29" s="213"/>
      <c r="O29" s="103"/>
      <c r="Q29" s="16"/>
      <c r="R29" s="16"/>
      <c r="S29" s="16"/>
      <c r="T29" s="103"/>
      <c r="U29" s="16"/>
      <c r="V29" s="16"/>
      <c r="W29" s="16"/>
      <c r="X29" s="103"/>
    </row>
    <row r="30" spans="1:24" ht="13" x14ac:dyDescent="0.25">
      <c r="B30" s="144"/>
      <c r="C30" s="16"/>
      <c r="D30" s="16"/>
      <c r="E30" s="16"/>
      <c r="F30" s="154"/>
      <c r="H30" s="144"/>
      <c r="I30" s="16"/>
      <c r="J30" s="16"/>
      <c r="K30" s="16"/>
      <c r="L30" s="154"/>
      <c r="N30" s="213"/>
      <c r="O30" s="103"/>
      <c r="Q30" s="16"/>
      <c r="R30" s="16"/>
      <c r="S30" s="16"/>
      <c r="T30" s="103"/>
      <c r="U30" s="16"/>
      <c r="V30" s="16"/>
      <c r="W30" s="16"/>
      <c r="X30" s="103"/>
    </row>
    <row r="31" spans="1:24" ht="13" x14ac:dyDescent="0.25">
      <c r="B31" s="144"/>
      <c r="C31" s="16"/>
      <c r="D31" s="16"/>
      <c r="E31" s="16"/>
      <c r="F31" s="154"/>
      <c r="H31" s="144"/>
      <c r="I31" s="16"/>
      <c r="J31" s="16"/>
      <c r="K31" s="16"/>
      <c r="L31" s="154"/>
      <c r="N31" s="213"/>
      <c r="O31" s="103"/>
      <c r="Q31" s="16"/>
      <c r="R31" s="16"/>
      <c r="S31" s="16"/>
      <c r="T31" s="103"/>
      <c r="U31" s="16"/>
      <c r="V31" s="16"/>
      <c r="W31" s="16"/>
      <c r="X31" s="103"/>
    </row>
    <row r="32" spans="1:24" ht="13" x14ac:dyDescent="0.25">
      <c r="B32" s="144"/>
      <c r="C32" s="16"/>
      <c r="D32" s="16"/>
      <c r="E32" s="16"/>
      <c r="F32" s="154"/>
      <c r="H32" s="144"/>
      <c r="I32" s="16"/>
      <c r="J32" s="16"/>
      <c r="K32" s="16"/>
      <c r="L32" s="154"/>
      <c r="N32" s="213"/>
      <c r="O32" s="103"/>
      <c r="Q32" s="16"/>
      <c r="R32" s="16"/>
      <c r="S32" s="16"/>
      <c r="T32" s="103"/>
      <c r="U32" s="16"/>
      <c r="V32" s="16"/>
      <c r="W32" s="16"/>
      <c r="X32" s="103"/>
    </row>
    <row r="33" spans="1:24" ht="13" x14ac:dyDescent="0.25">
      <c r="B33" s="144"/>
      <c r="C33" s="16"/>
      <c r="D33" s="16"/>
      <c r="E33" s="16"/>
      <c r="F33" s="154"/>
      <c r="H33" s="144"/>
      <c r="I33" s="16"/>
      <c r="J33" s="16"/>
      <c r="K33" s="16"/>
      <c r="L33" s="154"/>
      <c r="N33" s="213"/>
      <c r="O33" s="103"/>
      <c r="Q33" s="16"/>
      <c r="R33" s="16"/>
      <c r="S33" s="16"/>
      <c r="T33" s="103"/>
      <c r="U33" s="16"/>
      <c r="V33" s="16"/>
      <c r="W33" s="16"/>
      <c r="X33" s="103"/>
    </row>
    <row r="34" spans="1:24" ht="13" x14ac:dyDescent="0.25">
      <c r="B34" s="144"/>
      <c r="C34" s="16"/>
      <c r="D34" s="16"/>
      <c r="E34" s="16"/>
      <c r="F34" s="154"/>
      <c r="H34" s="144"/>
      <c r="I34" s="16"/>
      <c r="J34" s="16"/>
      <c r="K34" s="16"/>
      <c r="L34" s="154"/>
      <c r="N34" s="213"/>
      <c r="O34" s="103"/>
      <c r="Q34" s="16"/>
      <c r="R34" s="16"/>
      <c r="S34" s="16"/>
      <c r="T34" s="103"/>
      <c r="U34" s="16"/>
      <c r="V34" s="16"/>
      <c r="W34" s="16"/>
      <c r="X34" s="103"/>
    </row>
    <row r="35" spans="1:24" ht="13" x14ac:dyDescent="0.25">
      <c r="B35" s="18"/>
      <c r="C35" s="16"/>
      <c r="D35" s="16"/>
      <c r="E35" s="16"/>
      <c r="F35" s="154"/>
      <c r="H35" s="18"/>
      <c r="I35" s="16"/>
      <c r="J35" s="16"/>
      <c r="K35" s="16"/>
      <c r="L35" s="154"/>
      <c r="N35" s="103"/>
      <c r="O35" s="103"/>
      <c r="Q35" s="16"/>
      <c r="R35" s="16"/>
      <c r="S35" s="16"/>
      <c r="T35" s="103"/>
      <c r="U35" s="16"/>
      <c r="V35" s="16"/>
      <c r="W35" s="16"/>
      <c r="X35" s="103"/>
    </row>
    <row r="36" spans="1:24" ht="13" x14ac:dyDescent="0.25">
      <c r="B36" s="18"/>
      <c r="C36" s="16"/>
      <c r="D36" s="16"/>
      <c r="E36" s="16"/>
      <c r="F36" s="154"/>
      <c r="H36" s="18"/>
      <c r="I36" s="16"/>
      <c r="J36" s="16"/>
      <c r="K36" s="16"/>
      <c r="L36" s="154"/>
      <c r="N36" s="103"/>
      <c r="O36" s="103"/>
      <c r="Q36" s="16"/>
      <c r="R36" s="16"/>
      <c r="S36" s="16"/>
      <c r="T36" s="103"/>
      <c r="U36" s="16"/>
      <c r="V36" s="16"/>
      <c r="W36" s="16"/>
      <c r="X36" s="103"/>
    </row>
    <row r="37" spans="1:24" ht="13" x14ac:dyDescent="0.25">
      <c r="B37" s="18"/>
      <c r="C37" s="16"/>
      <c r="D37" s="16"/>
      <c r="E37" s="16"/>
      <c r="F37" s="154"/>
      <c r="G37" s="304"/>
      <c r="H37" s="18"/>
      <c r="I37" s="16"/>
      <c r="J37" s="16"/>
      <c r="K37" s="16"/>
      <c r="L37" s="154"/>
      <c r="N37" s="103"/>
      <c r="O37" s="103"/>
      <c r="Q37" s="16"/>
      <c r="R37" s="16"/>
      <c r="S37" s="16"/>
      <c r="T37" s="103"/>
      <c r="U37" s="16"/>
      <c r="V37" s="16"/>
      <c r="W37" s="16"/>
      <c r="X37" s="103"/>
    </row>
    <row r="38" spans="1:24" ht="13" x14ac:dyDescent="0.25">
      <c r="B38" s="18"/>
      <c r="C38" s="16"/>
      <c r="D38" s="16"/>
      <c r="E38" s="16"/>
      <c r="F38" s="154"/>
      <c r="H38" s="18"/>
      <c r="I38" s="16"/>
      <c r="J38" s="16"/>
      <c r="K38" s="16"/>
      <c r="L38" s="154"/>
      <c r="N38" s="103"/>
      <c r="O38" s="103"/>
      <c r="Q38" s="16"/>
      <c r="R38" s="16"/>
      <c r="S38" s="16"/>
      <c r="T38" s="103"/>
      <c r="U38" s="16"/>
      <c r="V38" s="16"/>
      <c r="W38" s="16"/>
      <c r="X38" s="103"/>
    </row>
    <row r="39" spans="1:24" ht="13" x14ac:dyDescent="0.25">
      <c r="B39" s="18"/>
      <c r="C39" s="16"/>
      <c r="D39" s="399"/>
      <c r="E39" s="399"/>
      <c r="F39" s="94"/>
      <c r="H39" s="18"/>
      <c r="I39" s="16"/>
      <c r="J39" s="399"/>
      <c r="K39" s="399"/>
      <c r="L39" s="94"/>
      <c r="N39" s="103"/>
      <c r="O39" s="103"/>
      <c r="Q39" s="16"/>
      <c r="R39" s="16"/>
      <c r="S39" s="16"/>
      <c r="T39" s="103"/>
      <c r="U39" s="16"/>
      <c r="V39" s="16"/>
      <c r="W39" s="16"/>
      <c r="X39" s="103"/>
    </row>
    <row r="40" spans="1:24" ht="13.5" thickBot="1" x14ac:dyDescent="0.3">
      <c r="B40" s="155"/>
      <c r="C40" s="157"/>
      <c r="D40" s="400"/>
      <c r="E40" s="400"/>
      <c r="F40" s="95"/>
      <c r="H40" s="155"/>
      <c r="I40" s="157"/>
      <c r="J40" s="400"/>
      <c r="K40" s="400"/>
      <c r="L40" s="95"/>
      <c r="N40" s="103"/>
      <c r="O40" s="103"/>
      <c r="Q40" s="16"/>
      <c r="R40" s="16"/>
      <c r="S40" s="16"/>
      <c r="T40" s="103"/>
      <c r="U40" s="16"/>
      <c r="V40" s="16"/>
      <c r="W40" s="16"/>
      <c r="X40" s="103"/>
    </row>
    <row r="41" spans="1:24" x14ac:dyDescent="0.25">
      <c r="B41" s="103"/>
      <c r="C41" s="103"/>
      <c r="D41" s="103"/>
      <c r="E41" s="103"/>
      <c r="F41" s="103"/>
      <c r="H41" s="103"/>
      <c r="I41" s="103"/>
      <c r="J41" s="103"/>
      <c r="K41" s="103"/>
      <c r="L41" s="103"/>
      <c r="N41" s="103"/>
      <c r="O41" s="103"/>
      <c r="Q41" s="16"/>
      <c r="R41" s="16"/>
      <c r="S41" s="16"/>
      <c r="T41" s="103"/>
      <c r="U41" s="16"/>
      <c r="V41" s="16"/>
      <c r="W41" s="16"/>
      <c r="X41" s="103"/>
    </row>
    <row r="42" spans="1:24" ht="13" x14ac:dyDescent="0.25">
      <c r="A42" s="213" t="s">
        <v>774</v>
      </c>
      <c r="B42" s="213"/>
      <c r="C42" s="213"/>
      <c r="D42" s="213"/>
      <c r="E42" s="213"/>
      <c r="F42" s="213"/>
      <c r="G42" s="213" t="s">
        <v>775</v>
      </c>
      <c r="H42" s="213"/>
      <c r="I42" s="213"/>
      <c r="J42" s="213"/>
      <c r="K42" s="213"/>
      <c r="L42" s="213"/>
      <c r="N42" s="213"/>
      <c r="O42" s="213"/>
      <c r="Q42" s="16"/>
      <c r="R42" s="16"/>
      <c r="S42" s="16"/>
      <c r="T42" s="103"/>
      <c r="U42" s="16"/>
      <c r="V42" s="16"/>
      <c r="W42" s="16"/>
      <c r="X42" s="103"/>
    </row>
    <row r="43" spans="1:24" ht="13" thickBot="1" x14ac:dyDescent="0.3">
      <c r="B43" s="103"/>
      <c r="C43" s="103"/>
      <c r="D43" s="103"/>
      <c r="E43" s="103"/>
      <c r="F43" s="103"/>
      <c r="H43" s="103"/>
      <c r="I43" s="103"/>
      <c r="J43" s="103"/>
      <c r="K43" s="103"/>
      <c r="L43" s="103"/>
      <c r="N43" s="103"/>
      <c r="O43" s="103"/>
      <c r="Q43" s="16"/>
      <c r="R43" s="16"/>
      <c r="S43" s="16"/>
      <c r="T43" s="103"/>
      <c r="U43" s="16"/>
      <c r="V43" s="16"/>
      <c r="W43" s="16"/>
      <c r="X43" s="103"/>
    </row>
    <row r="44" spans="1:24" ht="13" x14ac:dyDescent="0.25">
      <c r="B44" s="149"/>
      <c r="C44" s="158"/>
      <c r="D44" s="158"/>
      <c r="E44" s="158"/>
      <c r="F44" s="159"/>
      <c r="H44" s="149"/>
      <c r="I44" s="158"/>
      <c r="J44" s="158"/>
      <c r="K44" s="158"/>
      <c r="L44" s="159"/>
      <c r="N44" s="103"/>
      <c r="O44" s="103"/>
      <c r="Q44" s="16"/>
      <c r="R44" s="16"/>
      <c r="S44" s="16"/>
      <c r="T44" s="103"/>
      <c r="U44" s="16"/>
      <c r="V44" s="16"/>
      <c r="W44" s="16"/>
      <c r="X44" s="103"/>
    </row>
    <row r="45" spans="1:24" ht="13" thickBot="1" x14ac:dyDescent="0.3">
      <c r="B45" s="150"/>
      <c r="C45" s="151"/>
      <c r="D45" s="151"/>
      <c r="E45" s="151"/>
      <c r="F45" s="152"/>
      <c r="H45" s="150"/>
      <c r="I45" s="151"/>
      <c r="J45" s="151"/>
      <c r="K45" s="151"/>
      <c r="L45" s="152"/>
      <c r="N45" s="103"/>
      <c r="O45" s="103"/>
      <c r="Q45" s="16"/>
      <c r="R45" s="16"/>
      <c r="S45" s="16"/>
      <c r="T45" s="103"/>
      <c r="U45" s="16"/>
      <c r="V45" s="16"/>
      <c r="W45" s="16"/>
      <c r="X45" s="103"/>
    </row>
    <row r="46" spans="1:24" ht="13" thickTop="1" x14ac:dyDescent="0.25">
      <c r="B46" s="145"/>
      <c r="C46" s="146"/>
      <c r="D46" s="146"/>
      <c r="E46" s="146"/>
      <c r="F46" s="153"/>
      <c r="H46" s="145"/>
      <c r="I46" s="146"/>
      <c r="J46" s="146"/>
      <c r="K46" s="146"/>
      <c r="L46" s="153"/>
      <c r="N46" s="103"/>
      <c r="O46" s="103"/>
      <c r="Q46" s="16"/>
      <c r="R46" s="16"/>
      <c r="S46" s="16"/>
      <c r="T46" s="103"/>
      <c r="U46" s="16"/>
      <c r="V46" s="16"/>
      <c r="W46" s="16"/>
      <c r="X46" s="103"/>
    </row>
    <row r="47" spans="1:24" ht="13" x14ac:dyDescent="0.25">
      <c r="B47" s="144"/>
      <c r="C47" s="16"/>
      <c r="D47" s="16"/>
      <c r="E47" s="16"/>
      <c r="F47" s="154"/>
      <c r="H47" s="144"/>
      <c r="I47" s="16"/>
      <c r="J47" s="16"/>
      <c r="K47" s="16"/>
      <c r="L47" s="154"/>
      <c r="N47" s="213"/>
      <c r="O47" s="103"/>
      <c r="Q47" s="16"/>
      <c r="R47" s="16"/>
      <c r="S47" s="16"/>
      <c r="T47" s="103"/>
      <c r="U47" s="16"/>
      <c r="V47" s="16"/>
      <c r="W47" s="16"/>
      <c r="X47" s="103"/>
    </row>
    <row r="48" spans="1:24" ht="13" x14ac:dyDescent="0.25">
      <c r="B48" s="144"/>
      <c r="C48" s="16"/>
      <c r="D48" s="16"/>
      <c r="E48" s="16"/>
      <c r="F48" s="154"/>
      <c r="H48" s="144"/>
      <c r="I48" s="16"/>
      <c r="J48" s="16"/>
      <c r="K48" s="16"/>
      <c r="L48" s="154"/>
      <c r="N48" s="213"/>
      <c r="O48" s="103"/>
      <c r="Q48" s="16"/>
      <c r="R48" s="16"/>
      <c r="S48" s="16"/>
      <c r="T48" s="103"/>
      <c r="U48" s="16"/>
      <c r="V48" s="16"/>
      <c r="W48" s="16"/>
      <c r="X48" s="103"/>
    </row>
    <row r="49" spans="1:24" ht="13" x14ac:dyDescent="0.25">
      <c r="B49" s="144"/>
      <c r="C49" s="16"/>
      <c r="D49" s="16"/>
      <c r="E49" s="16"/>
      <c r="F49" s="154"/>
      <c r="H49" s="144"/>
      <c r="I49" s="16"/>
      <c r="J49" s="16"/>
      <c r="K49" s="16"/>
      <c r="L49" s="154"/>
      <c r="N49" s="213"/>
      <c r="O49" s="103"/>
      <c r="Q49" s="16"/>
      <c r="R49" s="16"/>
      <c r="S49" s="16"/>
      <c r="T49" s="103"/>
      <c r="U49" s="16"/>
      <c r="V49" s="16"/>
      <c r="W49" s="16"/>
      <c r="X49" s="103"/>
    </row>
    <row r="50" spans="1:24" ht="13" x14ac:dyDescent="0.25">
      <c r="B50" s="144"/>
      <c r="C50" s="16"/>
      <c r="D50" s="16"/>
      <c r="E50" s="16"/>
      <c r="F50" s="154"/>
      <c r="H50" s="144"/>
      <c r="I50" s="16"/>
      <c r="J50" s="16"/>
      <c r="K50" s="16"/>
      <c r="L50" s="154"/>
      <c r="N50" s="213"/>
      <c r="O50" s="103"/>
      <c r="Q50" s="16"/>
      <c r="R50" s="16"/>
      <c r="S50" s="16"/>
      <c r="T50" s="103"/>
      <c r="U50" s="16"/>
      <c r="V50" s="16"/>
      <c r="W50" s="16"/>
      <c r="X50" s="103"/>
    </row>
    <row r="51" spans="1:24" ht="13" x14ac:dyDescent="0.25">
      <c r="B51" s="144"/>
      <c r="C51" s="16"/>
      <c r="D51" s="16"/>
      <c r="E51" s="16"/>
      <c r="F51" s="154"/>
      <c r="H51" s="144"/>
      <c r="I51" s="16"/>
      <c r="J51" s="16"/>
      <c r="K51" s="16"/>
      <c r="L51" s="154"/>
      <c r="N51" s="213"/>
      <c r="O51" s="103"/>
      <c r="Q51" s="16"/>
      <c r="R51" s="16"/>
      <c r="S51" s="16"/>
      <c r="T51" s="103"/>
      <c r="U51" s="16"/>
      <c r="V51" s="16"/>
      <c r="W51" s="16"/>
      <c r="X51" s="103"/>
    </row>
    <row r="52" spans="1:24" ht="13" x14ac:dyDescent="0.25">
      <c r="B52" s="144"/>
      <c r="C52" s="16"/>
      <c r="D52" s="16"/>
      <c r="E52" s="16"/>
      <c r="F52" s="154"/>
      <c r="H52" s="144"/>
      <c r="I52" s="16"/>
      <c r="J52" s="16"/>
      <c r="K52" s="16"/>
      <c r="L52" s="154"/>
      <c r="N52" s="213"/>
      <c r="O52" s="103"/>
      <c r="Q52" s="16"/>
      <c r="R52" s="16"/>
      <c r="S52" s="16"/>
      <c r="T52" s="103"/>
      <c r="U52" s="16"/>
      <c r="V52" s="16"/>
      <c r="W52" s="16"/>
      <c r="X52" s="103"/>
    </row>
    <row r="53" spans="1:24" ht="13" x14ac:dyDescent="0.25">
      <c r="B53" s="144"/>
      <c r="C53" s="16"/>
      <c r="D53" s="16"/>
      <c r="E53" s="16"/>
      <c r="F53" s="154"/>
      <c r="H53" s="144"/>
      <c r="I53" s="16"/>
      <c r="J53" s="16"/>
      <c r="K53" s="16"/>
      <c r="L53" s="154"/>
      <c r="N53" s="213"/>
      <c r="O53" s="103"/>
      <c r="Q53" s="16"/>
      <c r="R53" s="16"/>
      <c r="S53" s="16"/>
      <c r="T53" s="103"/>
      <c r="U53" s="16"/>
      <c r="V53" s="16"/>
      <c r="W53" s="16"/>
      <c r="X53" s="103"/>
    </row>
    <row r="54" spans="1:24" ht="13" x14ac:dyDescent="0.25">
      <c r="B54" s="144"/>
      <c r="C54" s="16"/>
      <c r="D54" s="16"/>
      <c r="E54" s="16"/>
      <c r="F54" s="154"/>
      <c r="H54" s="144"/>
      <c r="I54" s="16"/>
      <c r="J54" s="16"/>
      <c r="K54" s="16"/>
      <c r="L54" s="154"/>
      <c r="N54" s="213"/>
      <c r="O54" s="103"/>
      <c r="Q54" s="16"/>
      <c r="R54" s="16"/>
      <c r="S54" s="16"/>
      <c r="T54" s="103"/>
      <c r="U54" s="16"/>
      <c r="V54" s="16"/>
      <c r="W54" s="16"/>
      <c r="X54" s="103"/>
    </row>
    <row r="55" spans="1:24" ht="13" x14ac:dyDescent="0.25">
      <c r="B55" s="18"/>
      <c r="C55" s="16"/>
      <c r="D55" s="147"/>
      <c r="E55" s="16"/>
      <c r="F55" s="154"/>
      <c r="H55" s="18"/>
      <c r="I55" s="16"/>
      <c r="J55" s="16"/>
      <c r="K55" s="16"/>
      <c r="L55" s="154"/>
      <c r="N55" s="103"/>
      <c r="O55" s="103"/>
      <c r="Q55" s="16"/>
      <c r="R55" s="16"/>
      <c r="S55" s="16"/>
      <c r="T55" s="103"/>
      <c r="U55" s="16"/>
      <c r="V55" s="16"/>
      <c r="W55" s="16"/>
      <c r="X55" s="103"/>
    </row>
    <row r="56" spans="1:24" ht="13" x14ac:dyDescent="0.25">
      <c r="B56" s="18"/>
      <c r="C56" s="16"/>
      <c r="D56" s="147"/>
      <c r="E56" s="16"/>
      <c r="F56" s="154"/>
      <c r="H56" s="18"/>
      <c r="I56" s="16"/>
      <c r="J56" s="16"/>
      <c r="K56" s="16"/>
      <c r="L56" s="154"/>
      <c r="N56" s="103"/>
      <c r="O56" s="103"/>
      <c r="Q56" s="16"/>
      <c r="R56" s="16"/>
      <c r="S56" s="16"/>
      <c r="T56" s="103"/>
      <c r="U56" s="16"/>
      <c r="V56" s="16"/>
      <c r="W56" s="16"/>
      <c r="X56" s="103"/>
    </row>
    <row r="57" spans="1:24" ht="13" x14ac:dyDescent="0.25">
      <c r="B57" s="18"/>
      <c r="C57" s="16"/>
      <c r="D57" s="16"/>
      <c r="E57" s="147"/>
      <c r="F57" s="154"/>
      <c r="G57" s="304"/>
      <c r="H57" s="18"/>
      <c r="I57" s="16"/>
      <c r="J57" s="16"/>
      <c r="K57" s="16"/>
      <c r="L57" s="154"/>
      <c r="N57" s="103"/>
      <c r="O57" s="103"/>
      <c r="Q57" s="16"/>
      <c r="R57" s="16"/>
      <c r="S57" s="16"/>
      <c r="T57" s="103"/>
      <c r="U57" s="16"/>
      <c r="V57" s="16"/>
      <c r="W57" s="16"/>
      <c r="X57" s="103"/>
    </row>
    <row r="58" spans="1:24" ht="13" x14ac:dyDescent="0.25">
      <c r="B58" s="18"/>
      <c r="C58" s="16"/>
      <c r="D58" s="16"/>
      <c r="E58" s="147"/>
      <c r="F58" s="154"/>
      <c r="H58" s="18"/>
      <c r="I58" s="16"/>
      <c r="J58" s="16"/>
      <c r="K58" s="16"/>
      <c r="L58" s="154"/>
      <c r="N58" s="103"/>
      <c r="O58" s="103"/>
      <c r="Q58" s="16"/>
      <c r="R58" s="16"/>
      <c r="S58" s="16"/>
      <c r="T58" s="103"/>
      <c r="U58" s="16"/>
      <c r="V58" s="16"/>
      <c r="W58" s="16"/>
      <c r="X58" s="103"/>
    </row>
    <row r="59" spans="1:24" ht="13" x14ac:dyDescent="0.25">
      <c r="B59" s="18"/>
      <c r="C59" s="16"/>
      <c r="D59" s="399"/>
      <c r="E59" s="399"/>
      <c r="F59" s="94"/>
      <c r="H59" s="18"/>
      <c r="I59" s="16"/>
      <c r="J59" s="399"/>
      <c r="K59" s="399"/>
      <c r="L59" s="94"/>
      <c r="N59" s="103"/>
      <c r="O59" s="103"/>
      <c r="Q59" s="16"/>
      <c r="R59" s="16"/>
      <c r="S59" s="16"/>
      <c r="T59" s="103"/>
      <c r="U59" s="16"/>
      <c r="V59" s="16"/>
      <c r="W59" s="16"/>
      <c r="X59" s="103"/>
    </row>
    <row r="60" spans="1:24" ht="13.5" thickBot="1" x14ac:dyDescent="0.3">
      <c r="B60" s="155"/>
      <c r="C60" s="157"/>
      <c r="D60" s="400"/>
      <c r="E60" s="400"/>
      <c r="F60" s="95"/>
      <c r="H60" s="155"/>
      <c r="I60" s="157"/>
      <c r="J60" s="400"/>
      <c r="K60" s="400"/>
      <c r="L60" s="95"/>
      <c r="N60" s="103"/>
      <c r="O60" s="103"/>
      <c r="Q60" s="16"/>
      <c r="R60" s="16"/>
      <c r="S60" s="16"/>
      <c r="T60" s="103"/>
      <c r="U60" s="16"/>
      <c r="V60" s="16"/>
      <c r="W60" s="16"/>
      <c r="X60" s="103"/>
    </row>
    <row r="61" spans="1:24" x14ac:dyDescent="0.25">
      <c r="B61" s="103"/>
      <c r="C61" s="103"/>
      <c r="D61" s="103"/>
      <c r="E61" s="103"/>
      <c r="F61" s="103"/>
      <c r="H61" s="103"/>
      <c r="I61" s="103"/>
      <c r="J61" s="103"/>
      <c r="K61" s="103"/>
      <c r="L61" s="103"/>
      <c r="N61" s="103"/>
      <c r="O61" s="103"/>
      <c r="Q61" s="16"/>
      <c r="R61" s="16"/>
      <c r="S61" s="16"/>
      <c r="T61" s="103"/>
      <c r="U61" s="16"/>
      <c r="V61" s="16"/>
      <c r="W61" s="16"/>
      <c r="X61" s="103"/>
    </row>
    <row r="62" spans="1:24" ht="13" x14ac:dyDescent="0.25">
      <c r="A62" s="213" t="s">
        <v>776</v>
      </c>
      <c r="B62" s="213"/>
      <c r="C62" s="213"/>
      <c r="D62" s="213"/>
      <c r="E62" s="213"/>
      <c r="F62" s="213"/>
      <c r="G62" s="213" t="s">
        <v>777</v>
      </c>
      <c r="H62" s="213"/>
      <c r="I62" s="213"/>
      <c r="J62" s="213"/>
      <c r="K62" s="213"/>
      <c r="L62" s="213"/>
      <c r="N62" s="213"/>
      <c r="O62" s="213"/>
      <c r="Q62" s="16"/>
      <c r="R62" s="16"/>
      <c r="S62" s="16"/>
      <c r="T62" s="103"/>
      <c r="U62" s="16"/>
      <c r="V62" s="16"/>
      <c r="W62" s="16"/>
      <c r="X62" s="103"/>
    </row>
    <row r="63" spans="1:24" ht="13" thickBot="1" x14ac:dyDescent="0.3">
      <c r="B63" s="103"/>
      <c r="C63" s="103"/>
      <c r="D63" s="103"/>
      <c r="E63" s="103"/>
      <c r="F63" s="103"/>
      <c r="H63" s="103"/>
      <c r="I63" s="103"/>
      <c r="J63" s="103"/>
      <c r="K63" s="103"/>
      <c r="L63" s="103"/>
      <c r="N63" s="103"/>
      <c r="O63" s="103"/>
      <c r="Q63" s="16"/>
      <c r="R63" s="16"/>
      <c r="S63" s="16"/>
      <c r="T63" s="103"/>
      <c r="U63" s="16"/>
      <c r="V63" s="16"/>
      <c r="W63" s="16"/>
      <c r="X63" s="103"/>
    </row>
    <row r="64" spans="1:24" ht="13" x14ac:dyDescent="0.25">
      <c r="B64" s="149"/>
      <c r="C64" s="158"/>
      <c r="D64" s="158"/>
      <c r="E64" s="158"/>
      <c r="F64" s="159"/>
      <c r="H64" s="149"/>
      <c r="I64" s="158"/>
      <c r="J64" s="158"/>
      <c r="K64" s="158"/>
      <c r="L64" s="159"/>
      <c r="N64" s="103"/>
      <c r="O64" s="103"/>
      <c r="Q64" s="16"/>
      <c r="R64" s="16"/>
      <c r="S64" s="16"/>
      <c r="T64" s="103"/>
      <c r="U64" s="16"/>
      <c r="V64" s="16"/>
      <c r="W64" s="16"/>
      <c r="X64" s="103"/>
    </row>
    <row r="65" spans="2:24" ht="13" thickBot="1" x14ac:dyDescent="0.3">
      <c r="B65" s="150"/>
      <c r="C65" s="151"/>
      <c r="D65" s="151"/>
      <c r="E65" s="151"/>
      <c r="F65" s="152"/>
      <c r="H65" s="150"/>
      <c r="I65" s="151"/>
      <c r="J65" s="151"/>
      <c r="K65" s="151"/>
      <c r="L65" s="152"/>
      <c r="N65" s="103"/>
      <c r="O65" s="103"/>
      <c r="Q65" s="16"/>
      <c r="R65" s="16"/>
      <c r="S65" s="16"/>
      <c r="T65" s="103"/>
      <c r="U65" s="16"/>
      <c r="V65" s="16"/>
      <c r="W65" s="16"/>
      <c r="X65" s="103"/>
    </row>
    <row r="66" spans="2:24" ht="13" thickTop="1" x14ac:dyDescent="0.25">
      <c r="B66" s="145"/>
      <c r="C66" s="146"/>
      <c r="D66" s="146"/>
      <c r="E66" s="146"/>
      <c r="F66" s="153"/>
      <c r="H66" s="145"/>
      <c r="I66" s="146"/>
      <c r="J66" s="146"/>
      <c r="K66" s="146"/>
      <c r="L66" s="153"/>
      <c r="N66" s="103"/>
      <c r="O66" s="103"/>
      <c r="Q66" s="16"/>
      <c r="R66" s="16"/>
      <c r="S66" s="16"/>
      <c r="T66" s="103"/>
      <c r="U66" s="16"/>
      <c r="V66" s="16"/>
      <c r="W66" s="16"/>
      <c r="X66" s="103"/>
    </row>
    <row r="67" spans="2:24" ht="13" x14ac:dyDescent="0.25">
      <c r="B67" s="144"/>
      <c r="C67" s="16"/>
      <c r="D67" s="16"/>
      <c r="E67" s="16"/>
      <c r="F67" s="154"/>
      <c r="H67" s="144"/>
      <c r="I67" s="16"/>
      <c r="J67" s="16"/>
      <c r="K67" s="16"/>
      <c r="L67" s="154"/>
      <c r="N67" s="213"/>
      <c r="O67" s="103"/>
      <c r="Q67" s="16"/>
      <c r="R67" s="16"/>
      <c r="S67" s="16"/>
      <c r="T67" s="103"/>
      <c r="U67" s="16"/>
      <c r="V67" s="16"/>
      <c r="W67" s="16"/>
      <c r="X67" s="103"/>
    </row>
    <row r="68" spans="2:24" ht="13" x14ac:dyDescent="0.25">
      <c r="B68" s="144"/>
      <c r="C68" s="16"/>
      <c r="D68" s="16"/>
      <c r="E68" s="16"/>
      <c r="F68" s="154"/>
      <c r="H68" s="144"/>
      <c r="I68" s="16"/>
      <c r="J68" s="16"/>
      <c r="K68" s="16"/>
      <c r="L68" s="154"/>
      <c r="N68" s="213"/>
      <c r="O68" s="103"/>
      <c r="Q68" s="16"/>
      <c r="R68" s="16"/>
      <c r="S68" s="16"/>
      <c r="T68" s="103"/>
      <c r="U68" s="16"/>
      <c r="V68" s="16"/>
      <c r="W68" s="16"/>
      <c r="X68" s="103"/>
    </row>
    <row r="69" spans="2:24" ht="13" x14ac:dyDescent="0.25">
      <c r="B69" s="144"/>
      <c r="C69" s="16"/>
      <c r="D69" s="16"/>
      <c r="E69" s="16"/>
      <c r="F69" s="154"/>
      <c r="H69" s="144"/>
      <c r="I69" s="16"/>
      <c r="J69" s="16"/>
      <c r="K69" s="16"/>
      <c r="L69" s="154"/>
      <c r="N69" s="213"/>
      <c r="O69" s="103"/>
      <c r="Q69" s="16"/>
      <c r="R69" s="16"/>
      <c r="S69" s="16"/>
      <c r="T69" s="103"/>
      <c r="U69" s="16"/>
      <c r="V69" s="16"/>
      <c r="W69" s="16"/>
      <c r="X69" s="103"/>
    </row>
    <row r="70" spans="2:24" ht="13" x14ac:dyDescent="0.25">
      <c r="B70" s="144"/>
      <c r="C70" s="16"/>
      <c r="D70" s="16"/>
      <c r="E70" s="16"/>
      <c r="F70" s="154"/>
      <c r="H70" s="144"/>
      <c r="I70" s="16"/>
      <c r="J70" s="16"/>
      <c r="K70" s="16"/>
      <c r="L70" s="154"/>
      <c r="N70" s="213"/>
      <c r="O70" s="103"/>
      <c r="Q70" s="16"/>
      <c r="R70" s="16"/>
      <c r="S70" s="16"/>
      <c r="T70" s="103"/>
      <c r="U70" s="16"/>
      <c r="V70" s="16"/>
      <c r="W70" s="16"/>
      <c r="X70" s="103"/>
    </row>
    <row r="71" spans="2:24" ht="13" x14ac:dyDescent="0.25">
      <c r="B71" s="144"/>
      <c r="C71" s="16"/>
      <c r="D71" s="16"/>
      <c r="E71" s="16"/>
      <c r="F71" s="154"/>
      <c r="H71" s="144"/>
      <c r="I71" s="16"/>
      <c r="J71" s="16"/>
      <c r="K71" s="16"/>
      <c r="L71" s="154"/>
      <c r="N71" s="213"/>
      <c r="O71" s="103"/>
      <c r="Q71" s="16"/>
      <c r="R71" s="16"/>
      <c r="S71" s="16"/>
      <c r="T71" s="103"/>
      <c r="U71" s="16"/>
      <c r="V71" s="16"/>
      <c r="W71" s="16"/>
      <c r="X71" s="103"/>
    </row>
    <row r="72" spans="2:24" ht="13" x14ac:dyDescent="0.25">
      <c r="B72" s="144"/>
      <c r="C72" s="16"/>
      <c r="D72" s="16"/>
      <c r="E72" s="16"/>
      <c r="F72" s="154"/>
      <c r="H72" s="144"/>
      <c r="I72" s="16"/>
      <c r="J72" s="16"/>
      <c r="K72" s="16"/>
      <c r="L72" s="154"/>
      <c r="N72" s="213"/>
      <c r="O72" s="103"/>
      <c r="Q72" s="16"/>
      <c r="R72" s="16"/>
      <c r="S72" s="16"/>
      <c r="T72" s="103"/>
      <c r="U72" s="16"/>
      <c r="V72" s="16"/>
      <c r="W72" s="16"/>
      <c r="X72" s="103"/>
    </row>
    <row r="73" spans="2:24" ht="13" x14ac:dyDescent="0.25">
      <c r="B73" s="144"/>
      <c r="C73" s="16"/>
      <c r="D73" s="16"/>
      <c r="E73" s="16"/>
      <c r="F73" s="154"/>
      <c r="H73" s="144"/>
      <c r="I73" s="16"/>
      <c r="J73" s="16"/>
      <c r="K73" s="16"/>
      <c r="L73" s="154"/>
      <c r="N73" s="213"/>
      <c r="O73" s="103"/>
      <c r="Q73" s="16"/>
      <c r="R73" s="16"/>
      <c r="S73" s="16"/>
      <c r="T73" s="103"/>
      <c r="U73" s="16"/>
      <c r="V73" s="16"/>
      <c r="W73" s="16"/>
      <c r="X73" s="103"/>
    </row>
    <row r="74" spans="2:24" ht="13" x14ac:dyDescent="0.25">
      <c r="B74" s="144"/>
      <c r="C74" s="16"/>
      <c r="D74" s="16"/>
      <c r="E74" s="16"/>
      <c r="F74" s="154"/>
      <c r="H74" s="144"/>
      <c r="I74" s="16"/>
      <c r="J74" s="16"/>
      <c r="K74" s="16"/>
      <c r="L74" s="154"/>
      <c r="N74" s="213"/>
      <c r="O74" s="103"/>
      <c r="Q74" s="16"/>
      <c r="R74" s="16"/>
      <c r="S74" s="16"/>
      <c r="T74" s="103"/>
      <c r="U74" s="16"/>
      <c r="V74" s="16"/>
      <c r="W74" s="16"/>
      <c r="X74" s="103"/>
    </row>
    <row r="75" spans="2:24" ht="13" x14ac:dyDescent="0.25">
      <c r="B75" s="18"/>
      <c r="C75" s="16"/>
      <c r="D75" s="16"/>
      <c r="E75" s="16"/>
      <c r="F75" s="154"/>
      <c r="H75" s="18"/>
      <c r="I75" s="16"/>
      <c r="J75" s="16"/>
      <c r="K75" s="16"/>
      <c r="L75" s="154"/>
      <c r="N75" s="103"/>
      <c r="O75" s="103"/>
      <c r="Q75" s="16"/>
      <c r="R75" s="16"/>
      <c r="S75" s="16"/>
      <c r="T75" s="103"/>
      <c r="U75" s="16"/>
      <c r="V75" s="16"/>
      <c r="W75" s="16"/>
      <c r="X75" s="103"/>
    </row>
    <row r="76" spans="2:24" ht="13" x14ac:dyDescent="0.25">
      <c r="B76" s="18"/>
      <c r="C76" s="16"/>
      <c r="D76" s="16"/>
      <c r="E76" s="16"/>
      <c r="F76" s="154"/>
      <c r="H76" s="18"/>
      <c r="I76" s="16"/>
      <c r="J76" s="16"/>
      <c r="K76" s="16"/>
      <c r="L76" s="154"/>
      <c r="N76" s="103"/>
      <c r="O76" s="103"/>
      <c r="Q76" s="16"/>
      <c r="R76" s="16"/>
      <c r="S76" s="16"/>
      <c r="T76" s="103"/>
      <c r="U76" s="16"/>
      <c r="V76" s="16"/>
      <c r="W76" s="16"/>
      <c r="X76" s="103"/>
    </row>
    <row r="77" spans="2:24" ht="13" x14ac:dyDescent="0.25">
      <c r="B77" s="18"/>
      <c r="C77" s="16"/>
      <c r="D77" s="16"/>
      <c r="E77" s="16"/>
      <c r="F77" s="154"/>
      <c r="G77" s="304"/>
      <c r="H77" s="18"/>
      <c r="I77" s="16"/>
      <c r="J77" s="16"/>
      <c r="K77" s="16"/>
      <c r="L77" s="154"/>
      <c r="N77" s="103"/>
      <c r="O77" s="103"/>
      <c r="Q77" s="16"/>
      <c r="R77" s="16"/>
      <c r="S77" s="16"/>
      <c r="T77" s="103"/>
      <c r="U77" s="16"/>
      <c r="V77" s="16"/>
      <c r="W77" s="16"/>
      <c r="X77" s="103"/>
    </row>
    <row r="78" spans="2:24" ht="13" x14ac:dyDescent="0.25">
      <c r="B78" s="18"/>
      <c r="C78" s="16"/>
      <c r="D78" s="16"/>
      <c r="E78" s="16"/>
      <c r="F78" s="154"/>
      <c r="H78" s="18"/>
      <c r="I78" s="16"/>
      <c r="J78" s="16"/>
      <c r="K78" s="16"/>
      <c r="L78" s="154"/>
      <c r="N78" s="103"/>
      <c r="O78" s="103"/>
      <c r="Q78" s="16"/>
      <c r="R78" s="16"/>
      <c r="S78" s="16"/>
      <c r="T78" s="103"/>
      <c r="U78" s="16"/>
      <c r="V78" s="16"/>
      <c r="W78" s="16"/>
      <c r="X78" s="103"/>
    </row>
    <row r="79" spans="2:24" ht="13" x14ac:dyDescent="0.25">
      <c r="B79" s="18"/>
      <c r="C79" s="16"/>
      <c r="D79" s="399"/>
      <c r="E79" s="399"/>
      <c r="F79" s="94"/>
      <c r="H79" s="18"/>
      <c r="I79" s="16"/>
      <c r="J79" s="399"/>
      <c r="K79" s="399"/>
      <c r="L79" s="94"/>
      <c r="N79" s="103"/>
      <c r="O79" s="103"/>
      <c r="Q79" s="16"/>
      <c r="R79" s="16"/>
      <c r="S79" s="16"/>
      <c r="T79" s="103"/>
      <c r="U79" s="16"/>
      <c r="V79" s="16"/>
      <c r="W79" s="16"/>
      <c r="X79" s="103"/>
    </row>
    <row r="80" spans="2:24" ht="13.5" thickBot="1" x14ac:dyDescent="0.3">
      <c r="B80" s="155"/>
      <c r="C80" s="157"/>
      <c r="D80" s="400"/>
      <c r="E80" s="400"/>
      <c r="F80" s="95"/>
      <c r="H80" s="155"/>
      <c r="I80" s="157"/>
      <c r="J80" s="400"/>
      <c r="K80" s="400"/>
      <c r="L80" s="95"/>
      <c r="N80" s="103"/>
      <c r="O80" s="103"/>
      <c r="Q80" s="16"/>
      <c r="R80" s="16"/>
      <c r="S80" s="16"/>
      <c r="T80" s="103"/>
      <c r="U80" s="16"/>
      <c r="V80" s="16"/>
      <c r="W80" s="16"/>
      <c r="X80" s="103"/>
    </row>
    <row r="81" spans="1:24" x14ac:dyDescent="0.25">
      <c r="B81" s="103"/>
      <c r="C81" s="103"/>
      <c r="D81" s="103"/>
      <c r="E81" s="103"/>
      <c r="F81" s="103"/>
      <c r="H81" s="103"/>
      <c r="I81" s="103"/>
      <c r="J81" s="103"/>
      <c r="K81" s="103"/>
      <c r="L81" s="103"/>
      <c r="N81" s="103"/>
      <c r="O81" s="103"/>
      <c r="Q81" s="16"/>
      <c r="R81" s="16"/>
      <c r="S81" s="16"/>
      <c r="T81" s="103"/>
      <c r="U81" s="16"/>
      <c r="V81" s="16"/>
      <c r="W81" s="16"/>
      <c r="X81" s="103"/>
    </row>
    <row r="82" spans="1:24" ht="13" x14ac:dyDescent="0.25">
      <c r="A82" s="213" t="s">
        <v>778</v>
      </c>
      <c r="B82" s="213"/>
      <c r="C82" s="213"/>
      <c r="D82" s="213"/>
      <c r="E82" s="213"/>
      <c r="F82" s="213"/>
      <c r="G82" s="213" t="s">
        <v>779</v>
      </c>
      <c r="H82" s="213"/>
      <c r="I82" s="213"/>
      <c r="J82" s="213"/>
      <c r="K82" s="213"/>
      <c r="L82" s="213"/>
      <c r="N82" s="213"/>
      <c r="O82" s="213"/>
      <c r="Q82" s="16"/>
      <c r="R82" s="16"/>
      <c r="S82" s="16"/>
      <c r="T82" s="103"/>
      <c r="U82" s="16"/>
      <c r="V82" s="16"/>
      <c r="W82" s="16"/>
      <c r="X82" s="103"/>
    </row>
    <row r="83" spans="1:24" ht="13.5" thickBot="1" x14ac:dyDescent="0.3">
      <c r="B83" s="103"/>
      <c r="C83" s="103"/>
      <c r="D83" s="103"/>
      <c r="E83" s="103"/>
      <c r="F83" s="103"/>
      <c r="H83" s="103"/>
      <c r="I83" s="103"/>
      <c r="J83" s="103"/>
      <c r="K83" s="213"/>
      <c r="L83" s="103"/>
      <c r="N83" s="103"/>
      <c r="O83" s="103"/>
      <c r="Q83" s="16"/>
      <c r="R83" s="16"/>
      <c r="S83" s="16"/>
      <c r="T83" s="103"/>
      <c r="U83" s="16"/>
      <c r="V83" s="16"/>
      <c r="W83" s="16"/>
      <c r="X83" s="103"/>
    </row>
    <row r="84" spans="1:24" ht="13" x14ac:dyDescent="0.25">
      <c r="B84" s="149"/>
      <c r="C84" s="158"/>
      <c r="D84" s="158"/>
      <c r="E84" s="158"/>
      <c r="F84" s="159"/>
      <c r="H84" s="149"/>
      <c r="I84" s="158"/>
      <c r="J84" s="158"/>
      <c r="K84" s="158"/>
      <c r="L84" s="159"/>
      <c r="N84" s="103"/>
      <c r="O84" s="103"/>
      <c r="Q84" s="16"/>
      <c r="R84" s="16"/>
      <c r="S84" s="16"/>
      <c r="T84" s="103"/>
      <c r="U84" s="16"/>
      <c r="V84" s="16"/>
      <c r="W84" s="16"/>
      <c r="X84" s="103"/>
    </row>
    <row r="85" spans="1:24" ht="13" thickBot="1" x14ac:dyDescent="0.3">
      <c r="B85" s="150"/>
      <c r="C85" s="151"/>
      <c r="D85" s="151"/>
      <c r="E85" s="151"/>
      <c r="F85" s="152"/>
      <c r="H85" s="150"/>
      <c r="I85" s="151"/>
      <c r="J85" s="151"/>
      <c r="K85" s="151"/>
      <c r="L85" s="152"/>
      <c r="N85" s="103"/>
      <c r="O85" s="103"/>
      <c r="Q85" s="16"/>
      <c r="R85" s="16"/>
      <c r="S85" s="16"/>
      <c r="T85" s="103"/>
      <c r="U85" s="16"/>
      <c r="V85" s="16"/>
      <c r="W85" s="16"/>
      <c r="X85" s="103"/>
    </row>
    <row r="86" spans="1:24" ht="13" thickTop="1" x14ac:dyDescent="0.25">
      <c r="B86" s="145"/>
      <c r="C86" s="146"/>
      <c r="D86" s="146"/>
      <c r="E86" s="146"/>
      <c r="F86" s="153"/>
      <c r="H86" s="145"/>
      <c r="I86" s="146"/>
      <c r="J86" s="146"/>
      <c r="K86" s="146"/>
      <c r="L86" s="153"/>
      <c r="N86" s="103"/>
      <c r="O86" s="103"/>
      <c r="Q86" s="16"/>
      <c r="R86" s="16"/>
      <c r="S86" s="16"/>
      <c r="T86" s="103"/>
      <c r="U86" s="16"/>
      <c r="V86" s="16"/>
      <c r="W86" s="16"/>
      <c r="X86" s="103"/>
    </row>
    <row r="87" spans="1:24" x14ac:dyDescent="0.25">
      <c r="B87" s="144"/>
      <c r="C87" s="16"/>
      <c r="D87" s="16"/>
      <c r="E87" s="16"/>
      <c r="F87" s="154"/>
      <c r="H87" s="144"/>
      <c r="I87" s="16"/>
      <c r="J87" s="16"/>
      <c r="K87" s="16"/>
      <c r="L87" s="154"/>
      <c r="N87" s="103"/>
      <c r="O87" s="103"/>
      <c r="Q87" s="16"/>
      <c r="R87" s="16"/>
      <c r="S87" s="16"/>
      <c r="T87" s="103"/>
      <c r="U87" s="16"/>
      <c r="V87" s="16"/>
      <c r="W87" s="16"/>
      <c r="X87" s="103"/>
    </row>
    <row r="88" spans="1:24" x14ac:dyDescent="0.25">
      <c r="B88" s="144"/>
      <c r="C88" s="16"/>
      <c r="D88" s="16"/>
      <c r="E88" s="16"/>
      <c r="F88" s="154"/>
      <c r="H88" s="144"/>
      <c r="I88" s="16"/>
      <c r="J88" s="16"/>
      <c r="K88" s="16"/>
      <c r="L88" s="154"/>
      <c r="N88" s="103"/>
      <c r="O88" s="103"/>
      <c r="Q88" s="16"/>
      <c r="R88" s="16"/>
      <c r="S88" s="16"/>
      <c r="T88" s="103"/>
      <c r="U88" s="16"/>
      <c r="V88" s="16"/>
      <c r="W88" s="16"/>
      <c r="X88" s="103"/>
    </row>
    <row r="89" spans="1:24" x14ac:dyDescent="0.25">
      <c r="B89" s="144"/>
      <c r="C89" s="16"/>
      <c r="D89" s="16"/>
      <c r="E89" s="16"/>
      <c r="F89" s="154"/>
      <c r="H89" s="144"/>
      <c r="I89" s="16"/>
      <c r="J89" s="16"/>
      <c r="K89" s="16"/>
      <c r="L89" s="154"/>
      <c r="N89" s="103"/>
      <c r="O89" s="103"/>
      <c r="Q89" s="16"/>
      <c r="R89" s="16"/>
      <c r="S89" s="16"/>
      <c r="T89" s="103"/>
      <c r="U89" s="16"/>
      <c r="V89" s="16"/>
      <c r="W89" s="16"/>
      <c r="X89" s="103"/>
    </row>
    <row r="90" spans="1:24" x14ac:dyDescent="0.25">
      <c r="B90" s="144"/>
      <c r="C90" s="16"/>
      <c r="D90" s="16"/>
      <c r="E90" s="16"/>
      <c r="F90" s="154"/>
      <c r="H90" s="144"/>
      <c r="I90" s="16"/>
      <c r="J90" s="16"/>
      <c r="K90" s="16"/>
      <c r="L90" s="154"/>
      <c r="N90" s="103"/>
      <c r="O90" s="103"/>
      <c r="Q90" s="16"/>
      <c r="R90" s="16"/>
      <c r="S90" s="16"/>
      <c r="T90" s="103"/>
      <c r="U90" s="16"/>
      <c r="V90" s="16"/>
      <c r="W90" s="16"/>
      <c r="X90" s="103"/>
    </row>
    <row r="91" spans="1:24" x14ac:dyDescent="0.25">
      <c r="B91" s="144"/>
      <c r="C91" s="16"/>
      <c r="D91" s="16"/>
      <c r="E91" s="16"/>
      <c r="F91" s="154"/>
      <c r="H91" s="144"/>
      <c r="I91" s="16"/>
      <c r="J91" s="16"/>
      <c r="K91" s="16"/>
      <c r="L91" s="154"/>
      <c r="N91" s="103"/>
      <c r="O91" s="103"/>
      <c r="Q91" s="16"/>
      <c r="R91" s="16"/>
      <c r="S91" s="16"/>
      <c r="T91" s="103"/>
      <c r="U91" s="16"/>
      <c r="V91" s="16"/>
      <c r="W91" s="16"/>
      <c r="X91" s="103"/>
    </row>
    <row r="92" spans="1:24" x14ac:dyDescent="0.25">
      <c r="B92" s="144"/>
      <c r="C92" s="16"/>
      <c r="D92" s="16"/>
      <c r="E92" s="16"/>
      <c r="F92" s="154"/>
      <c r="H92" s="144"/>
      <c r="I92" s="16"/>
      <c r="J92" s="16"/>
      <c r="K92" s="16"/>
      <c r="L92" s="154"/>
      <c r="N92" s="103"/>
      <c r="O92" s="103"/>
      <c r="Q92" s="16"/>
      <c r="R92" s="16"/>
      <c r="S92" s="16"/>
      <c r="T92" s="103"/>
      <c r="U92" s="16"/>
      <c r="V92" s="16"/>
      <c r="W92" s="16"/>
      <c r="X92" s="103"/>
    </row>
    <row r="93" spans="1:24" x14ac:dyDescent="0.25">
      <c r="B93" s="144"/>
      <c r="C93" s="16"/>
      <c r="D93" s="16"/>
      <c r="E93" s="16"/>
      <c r="F93" s="154"/>
      <c r="H93" s="144"/>
      <c r="I93" s="16"/>
      <c r="J93" s="16"/>
      <c r="K93" s="16"/>
      <c r="L93" s="154"/>
      <c r="N93" s="103"/>
      <c r="O93" s="103"/>
      <c r="Q93" s="16"/>
      <c r="R93" s="16"/>
      <c r="S93" s="16"/>
      <c r="T93" s="103"/>
      <c r="U93" s="16"/>
      <c r="V93" s="16"/>
      <c r="W93" s="16"/>
      <c r="X93" s="103"/>
    </row>
    <row r="94" spans="1:24" x14ac:dyDescent="0.25">
      <c r="B94" s="144"/>
      <c r="C94" s="16"/>
      <c r="D94" s="16"/>
      <c r="E94" s="16"/>
      <c r="F94" s="154"/>
      <c r="H94" s="144"/>
      <c r="I94" s="16"/>
      <c r="J94" s="16"/>
      <c r="K94" s="16"/>
      <c r="L94" s="154"/>
      <c r="N94" s="103"/>
      <c r="O94" s="103"/>
      <c r="Q94" s="16"/>
      <c r="R94" s="16"/>
      <c r="S94" s="16"/>
      <c r="T94" s="103"/>
      <c r="U94" s="16"/>
      <c r="V94" s="16"/>
      <c r="W94" s="16"/>
      <c r="X94" s="103"/>
    </row>
    <row r="95" spans="1:24" ht="13" x14ac:dyDescent="0.25">
      <c r="B95" s="18"/>
      <c r="C95" s="16"/>
      <c r="D95" s="16"/>
      <c r="E95" s="16"/>
      <c r="F95" s="154"/>
      <c r="H95" s="18"/>
      <c r="I95" s="16"/>
      <c r="J95" s="16"/>
      <c r="K95" s="16"/>
      <c r="L95" s="154"/>
      <c r="N95" s="103"/>
      <c r="O95" s="103"/>
      <c r="Q95" s="16"/>
      <c r="R95" s="16"/>
      <c r="S95" s="16"/>
      <c r="T95" s="103"/>
      <c r="U95" s="16"/>
      <c r="V95" s="16"/>
      <c r="W95" s="16"/>
      <c r="X95" s="103"/>
    </row>
    <row r="96" spans="1:24" ht="13" x14ac:dyDescent="0.25">
      <c r="B96" s="18"/>
      <c r="C96" s="16"/>
      <c r="D96" s="16"/>
      <c r="E96" s="16"/>
      <c r="F96" s="154"/>
      <c r="H96" s="18"/>
      <c r="I96" s="16"/>
      <c r="J96" s="16"/>
      <c r="K96" s="16"/>
      <c r="L96" s="154"/>
      <c r="N96" s="103"/>
      <c r="O96" s="103"/>
      <c r="Q96" s="16"/>
      <c r="R96" s="16"/>
      <c r="S96" s="16"/>
      <c r="T96" s="103"/>
      <c r="U96" s="16"/>
      <c r="V96" s="16"/>
      <c r="W96" s="16"/>
      <c r="X96" s="103"/>
    </row>
    <row r="97" spans="1:24" ht="13" x14ac:dyDescent="0.25">
      <c r="B97" s="18"/>
      <c r="C97" s="16"/>
      <c r="D97" s="16"/>
      <c r="E97" s="16"/>
      <c r="F97" s="154"/>
      <c r="G97" s="304"/>
      <c r="H97" s="18"/>
      <c r="I97" s="16"/>
      <c r="J97" s="16"/>
      <c r="K97" s="16"/>
      <c r="L97" s="154"/>
      <c r="N97" s="103"/>
      <c r="O97" s="103"/>
      <c r="Q97" s="16"/>
      <c r="R97" s="16"/>
      <c r="S97" s="16"/>
      <c r="T97" s="103"/>
      <c r="U97" s="16"/>
      <c r="V97" s="16"/>
      <c r="W97" s="16"/>
      <c r="X97" s="103"/>
    </row>
    <row r="98" spans="1:24" ht="13" x14ac:dyDescent="0.25">
      <c r="B98" s="18"/>
      <c r="C98" s="16"/>
      <c r="D98" s="16"/>
      <c r="E98" s="16"/>
      <c r="F98" s="154"/>
      <c r="H98" s="18"/>
      <c r="I98" s="16"/>
      <c r="J98" s="16"/>
      <c r="K98" s="16"/>
      <c r="L98" s="154"/>
      <c r="N98" s="103"/>
      <c r="O98" s="103"/>
      <c r="Q98" s="16"/>
      <c r="R98" s="16"/>
      <c r="S98" s="16"/>
      <c r="T98" s="103"/>
      <c r="U98" s="16"/>
      <c r="V98" s="16"/>
      <c r="W98" s="16"/>
      <c r="X98" s="103"/>
    </row>
    <row r="99" spans="1:24" ht="13" x14ac:dyDescent="0.25">
      <c r="B99" s="18"/>
      <c r="C99" s="16"/>
      <c r="D99" s="399"/>
      <c r="E99" s="399"/>
      <c r="F99" s="94"/>
      <c r="H99" s="18"/>
      <c r="I99" s="16"/>
      <c r="J99" s="399"/>
      <c r="K99" s="399"/>
      <c r="L99" s="94"/>
      <c r="N99" s="103"/>
      <c r="O99" s="103"/>
      <c r="Q99" s="16"/>
      <c r="R99" s="16"/>
      <c r="S99" s="16"/>
      <c r="T99" s="103"/>
      <c r="U99" s="16"/>
      <c r="V99" s="16"/>
      <c r="W99" s="16"/>
      <c r="X99" s="103"/>
    </row>
    <row r="100" spans="1:24" ht="13.5" thickBot="1" x14ac:dyDescent="0.3">
      <c r="B100" s="155"/>
      <c r="C100" s="157"/>
      <c r="D100" s="400"/>
      <c r="E100" s="400"/>
      <c r="F100" s="95"/>
      <c r="H100" s="155"/>
      <c r="I100" s="157"/>
      <c r="J100" s="400"/>
      <c r="K100" s="400"/>
      <c r="L100" s="95"/>
      <c r="N100" s="103"/>
      <c r="O100" s="103"/>
      <c r="Q100" s="16"/>
      <c r="R100" s="16"/>
      <c r="S100" s="16"/>
      <c r="T100" s="103"/>
      <c r="U100" s="16"/>
      <c r="V100" s="16"/>
      <c r="W100" s="16"/>
      <c r="X100" s="103"/>
    </row>
    <row r="101" spans="1:24" x14ac:dyDescent="0.25">
      <c r="B101" s="103"/>
      <c r="C101" s="103"/>
      <c r="D101" s="103"/>
      <c r="E101" s="103"/>
      <c r="F101" s="103"/>
      <c r="H101" s="103"/>
      <c r="I101" s="103"/>
      <c r="J101" s="103"/>
      <c r="K101" s="103"/>
      <c r="L101" s="103"/>
      <c r="N101" s="103"/>
      <c r="O101" s="103"/>
      <c r="Q101" s="16"/>
      <c r="R101" s="16"/>
      <c r="S101" s="16"/>
      <c r="T101" s="103"/>
      <c r="U101" s="16"/>
      <c r="V101" s="16"/>
      <c r="W101" s="16"/>
      <c r="X101" s="103"/>
    </row>
    <row r="102" spans="1:24" ht="13" x14ac:dyDescent="0.25">
      <c r="A102" s="213" t="s">
        <v>780</v>
      </c>
      <c r="B102" s="213"/>
      <c r="C102" s="103"/>
      <c r="D102" s="103"/>
      <c r="E102" s="103"/>
      <c r="F102" s="103"/>
      <c r="G102" s="213" t="s">
        <v>781</v>
      </c>
      <c r="H102" s="213"/>
      <c r="I102" s="213"/>
      <c r="J102" s="213"/>
      <c r="K102" s="213"/>
      <c r="L102" s="213"/>
      <c r="N102" s="213"/>
      <c r="O102" s="213"/>
      <c r="Q102" s="16"/>
      <c r="R102" s="16"/>
      <c r="S102" s="16"/>
      <c r="T102" s="103"/>
      <c r="U102" s="16"/>
      <c r="V102" s="16"/>
      <c r="W102" s="16"/>
      <c r="X102" s="103"/>
    </row>
    <row r="103" spans="1:24" ht="13.5" thickBot="1" x14ac:dyDescent="0.3">
      <c r="B103" s="103"/>
      <c r="C103" s="103"/>
      <c r="D103" s="103"/>
      <c r="E103" s="103"/>
      <c r="F103" s="103"/>
      <c r="H103" s="103"/>
      <c r="I103" s="103"/>
      <c r="J103" s="103"/>
      <c r="K103" s="213"/>
      <c r="L103" s="103"/>
      <c r="N103" s="103"/>
      <c r="O103" s="103"/>
      <c r="Q103" s="16"/>
      <c r="R103" s="16"/>
      <c r="S103" s="16"/>
      <c r="T103" s="103"/>
      <c r="U103" s="16"/>
      <c r="V103" s="16"/>
      <c r="W103" s="16"/>
      <c r="X103" s="103"/>
    </row>
    <row r="104" spans="1:24" ht="13" x14ac:dyDescent="0.25">
      <c r="B104" s="149"/>
      <c r="C104" s="158"/>
      <c r="D104" s="158"/>
      <c r="E104" s="158"/>
      <c r="F104" s="159"/>
      <c r="H104" s="149"/>
      <c r="I104" s="158"/>
      <c r="J104" s="158"/>
      <c r="K104" s="158"/>
      <c r="L104" s="159"/>
      <c r="N104" s="103"/>
      <c r="O104" s="103"/>
      <c r="Q104" s="16"/>
      <c r="R104" s="16"/>
      <c r="S104" s="16"/>
      <c r="T104" s="103"/>
      <c r="U104" s="16"/>
      <c r="V104" s="16"/>
      <c r="W104" s="16"/>
      <c r="X104" s="103"/>
    </row>
    <row r="105" spans="1:24" ht="13" thickBot="1" x14ac:dyDescent="0.3">
      <c r="B105" s="150"/>
      <c r="C105" s="151"/>
      <c r="D105" s="151"/>
      <c r="E105" s="151"/>
      <c r="F105" s="152"/>
      <c r="H105" s="150"/>
      <c r="I105" s="151"/>
      <c r="J105" s="151"/>
      <c r="K105" s="151"/>
      <c r="L105" s="152"/>
      <c r="N105" s="103"/>
      <c r="O105" s="103"/>
      <c r="Q105" s="16"/>
      <c r="R105" s="16"/>
      <c r="S105" s="16"/>
      <c r="T105" s="103"/>
      <c r="U105" s="16"/>
      <c r="V105" s="16"/>
      <c r="W105" s="16"/>
      <c r="X105" s="103"/>
    </row>
    <row r="106" spans="1:24" ht="13" thickTop="1" x14ac:dyDescent="0.25">
      <c r="B106" s="145"/>
      <c r="C106" s="146"/>
      <c r="D106" s="146"/>
      <c r="E106" s="146"/>
      <c r="F106" s="153"/>
      <c r="H106" s="145"/>
      <c r="I106" s="146"/>
      <c r="J106" s="146"/>
      <c r="K106" s="146"/>
      <c r="L106" s="153"/>
      <c r="N106" s="103"/>
      <c r="O106" s="103"/>
      <c r="Q106" s="16"/>
      <c r="R106" s="16"/>
      <c r="S106" s="16"/>
      <c r="T106" s="103"/>
      <c r="U106" s="16"/>
      <c r="V106" s="16"/>
      <c r="W106" s="16"/>
      <c r="X106" s="103"/>
    </row>
    <row r="107" spans="1:24" x14ac:dyDescent="0.25">
      <c r="B107" s="144"/>
      <c r="C107" s="16"/>
      <c r="D107" s="16"/>
      <c r="E107" s="16"/>
      <c r="F107" s="154"/>
      <c r="H107" s="144"/>
      <c r="I107" s="16"/>
      <c r="J107" s="16"/>
      <c r="K107" s="16"/>
      <c r="L107" s="154"/>
      <c r="N107" s="103"/>
      <c r="O107" s="103"/>
      <c r="Q107" s="16"/>
      <c r="R107" s="16"/>
      <c r="S107" s="16"/>
      <c r="T107" s="103"/>
      <c r="U107" s="16"/>
      <c r="V107" s="16"/>
      <c r="W107" s="16"/>
      <c r="X107" s="103"/>
    </row>
    <row r="108" spans="1:24" x14ac:dyDescent="0.25">
      <c r="B108" s="144"/>
      <c r="C108" s="16"/>
      <c r="D108" s="16"/>
      <c r="E108" s="16"/>
      <c r="F108" s="154"/>
      <c r="H108" s="144"/>
      <c r="I108" s="16"/>
      <c r="J108" s="16"/>
      <c r="K108" s="16"/>
      <c r="L108" s="154"/>
      <c r="N108" s="103"/>
      <c r="O108" s="103"/>
      <c r="Q108" s="16"/>
      <c r="R108" s="16"/>
      <c r="S108" s="16"/>
      <c r="T108" s="103"/>
      <c r="U108" s="16"/>
      <c r="V108" s="16"/>
      <c r="W108" s="16"/>
      <c r="X108" s="103"/>
    </row>
    <row r="109" spans="1:24" x14ac:dyDescent="0.25">
      <c r="B109" s="144"/>
      <c r="C109" s="16"/>
      <c r="D109" s="16"/>
      <c r="E109" s="16"/>
      <c r="F109" s="154"/>
      <c r="H109" s="144"/>
      <c r="I109" s="16"/>
      <c r="J109" s="16"/>
      <c r="K109" s="16"/>
      <c r="L109" s="154"/>
      <c r="N109" s="103"/>
      <c r="O109" s="103"/>
      <c r="Q109" s="16"/>
      <c r="R109" s="16"/>
      <c r="S109" s="16"/>
      <c r="T109" s="103"/>
      <c r="U109" s="16"/>
      <c r="V109" s="16"/>
      <c r="W109" s="16"/>
      <c r="X109" s="103"/>
    </row>
    <row r="110" spans="1:24" x14ac:dyDescent="0.25">
      <c r="B110" s="144"/>
      <c r="C110" s="16"/>
      <c r="D110" s="16"/>
      <c r="E110" s="16"/>
      <c r="F110" s="154"/>
      <c r="H110" s="144"/>
      <c r="I110" s="16"/>
      <c r="J110" s="16"/>
      <c r="K110" s="16"/>
      <c r="L110" s="154"/>
      <c r="N110" s="103"/>
      <c r="O110" s="103"/>
      <c r="Q110" s="16"/>
      <c r="R110" s="16"/>
      <c r="S110" s="16"/>
      <c r="T110" s="103"/>
      <c r="U110" s="16"/>
      <c r="V110" s="16"/>
      <c r="W110" s="16"/>
      <c r="X110" s="103"/>
    </row>
    <row r="111" spans="1:24" x14ac:dyDescent="0.25">
      <c r="B111" s="144"/>
      <c r="C111" s="16"/>
      <c r="D111" s="16"/>
      <c r="E111" s="16"/>
      <c r="F111" s="154"/>
      <c r="H111" s="144"/>
      <c r="I111" s="16"/>
      <c r="J111" s="16"/>
      <c r="K111" s="16"/>
      <c r="L111" s="154"/>
      <c r="N111" s="103"/>
      <c r="O111" s="103"/>
      <c r="Q111" s="16"/>
      <c r="R111" s="16"/>
      <c r="S111" s="16"/>
      <c r="T111" s="103"/>
      <c r="U111" s="16"/>
      <c r="V111" s="16"/>
      <c r="W111" s="16"/>
      <c r="X111" s="103"/>
    </row>
    <row r="112" spans="1:24" x14ac:dyDescent="0.25">
      <c r="B112" s="144"/>
      <c r="C112" s="16"/>
      <c r="D112" s="16"/>
      <c r="E112" s="16"/>
      <c r="F112" s="154"/>
      <c r="H112" s="144"/>
      <c r="I112" s="16"/>
      <c r="J112" s="16"/>
      <c r="K112" s="16"/>
      <c r="L112" s="154"/>
      <c r="N112" s="103"/>
      <c r="O112" s="103"/>
      <c r="Q112" s="16"/>
      <c r="R112" s="16"/>
      <c r="S112" s="16"/>
      <c r="T112" s="103"/>
      <c r="U112" s="16"/>
      <c r="V112" s="16"/>
      <c r="W112" s="16"/>
      <c r="X112" s="103"/>
    </row>
    <row r="113" spans="1:24" x14ac:dyDescent="0.25">
      <c r="B113" s="144"/>
      <c r="C113" s="16"/>
      <c r="D113" s="16"/>
      <c r="E113" s="16"/>
      <c r="F113" s="154"/>
      <c r="H113" s="144"/>
      <c r="I113" s="16"/>
      <c r="J113" s="16"/>
      <c r="K113" s="16"/>
      <c r="L113" s="154"/>
      <c r="N113" s="103"/>
      <c r="O113" s="103"/>
      <c r="Q113" s="16"/>
      <c r="R113" s="16"/>
      <c r="S113" s="16"/>
      <c r="T113" s="103"/>
      <c r="U113" s="16"/>
      <c r="V113" s="16"/>
      <c r="W113" s="16"/>
      <c r="X113" s="103"/>
    </row>
    <row r="114" spans="1:24" x14ac:dyDescent="0.25">
      <c r="B114" s="144"/>
      <c r="C114" s="16"/>
      <c r="D114" s="16"/>
      <c r="E114" s="16"/>
      <c r="F114" s="154"/>
      <c r="H114" s="144"/>
      <c r="I114" s="16"/>
      <c r="J114" s="16"/>
      <c r="K114" s="16"/>
      <c r="L114" s="154"/>
      <c r="N114" s="103"/>
      <c r="O114" s="103"/>
      <c r="Q114" s="16"/>
      <c r="R114" s="16"/>
      <c r="S114" s="16"/>
      <c r="T114" s="103"/>
      <c r="U114" s="16"/>
      <c r="V114" s="16"/>
      <c r="W114" s="16"/>
      <c r="X114" s="103"/>
    </row>
    <row r="115" spans="1:24" ht="13" x14ac:dyDescent="0.25">
      <c r="B115" s="18"/>
      <c r="C115" s="16"/>
      <c r="D115" s="147"/>
      <c r="E115" s="16"/>
      <c r="F115" s="154"/>
      <c r="H115" s="18"/>
      <c r="I115" s="16"/>
      <c r="J115" s="147"/>
      <c r="K115" s="16"/>
      <c r="L115" s="154"/>
      <c r="N115" s="103"/>
      <c r="O115" s="103"/>
      <c r="Q115" s="16"/>
      <c r="R115" s="16"/>
      <c r="S115" s="16"/>
      <c r="T115" s="103"/>
      <c r="U115" s="16"/>
      <c r="V115" s="16"/>
      <c r="W115" s="16"/>
      <c r="X115" s="103"/>
    </row>
    <row r="116" spans="1:24" ht="13" x14ac:dyDescent="0.25">
      <c r="B116" s="18"/>
      <c r="C116" s="16"/>
      <c r="D116" s="147"/>
      <c r="E116" s="16"/>
      <c r="F116" s="154"/>
      <c r="H116" s="18"/>
      <c r="I116" s="16"/>
      <c r="J116" s="147"/>
      <c r="K116" s="16"/>
      <c r="L116" s="154"/>
      <c r="N116" s="103"/>
      <c r="O116" s="103"/>
      <c r="Q116" s="16"/>
      <c r="R116" s="16"/>
      <c r="S116" s="16"/>
      <c r="T116" s="103"/>
      <c r="U116" s="16"/>
      <c r="V116" s="16"/>
      <c r="W116" s="16"/>
      <c r="X116" s="103"/>
    </row>
    <row r="117" spans="1:24" ht="13" x14ac:dyDescent="0.25">
      <c r="B117" s="18"/>
      <c r="C117" s="16"/>
      <c r="D117" s="16"/>
      <c r="E117" s="147"/>
      <c r="F117" s="154"/>
      <c r="G117" s="304"/>
      <c r="H117" s="18"/>
      <c r="I117" s="16"/>
      <c r="J117" s="16"/>
      <c r="K117" s="147"/>
      <c r="L117" s="154"/>
      <c r="N117" s="103"/>
      <c r="O117" s="103"/>
      <c r="Q117" s="16"/>
      <c r="R117" s="16"/>
      <c r="S117" s="16"/>
      <c r="T117" s="103"/>
      <c r="U117" s="16"/>
      <c r="V117" s="16"/>
      <c r="W117" s="16"/>
      <c r="X117" s="103"/>
    </row>
    <row r="118" spans="1:24" ht="13" x14ac:dyDescent="0.25">
      <c r="B118" s="18"/>
      <c r="C118" s="16"/>
      <c r="D118" s="16"/>
      <c r="E118" s="147"/>
      <c r="F118" s="154"/>
      <c r="H118" s="18"/>
      <c r="I118" s="16"/>
      <c r="J118" s="16"/>
      <c r="K118" s="147"/>
      <c r="L118" s="154"/>
      <c r="N118" s="103"/>
      <c r="O118" s="103"/>
      <c r="Q118" s="16"/>
      <c r="R118" s="16"/>
      <c r="S118" s="16"/>
      <c r="T118" s="103"/>
      <c r="U118" s="16"/>
      <c r="V118" s="16"/>
      <c r="W118" s="16"/>
      <c r="X118" s="103"/>
    </row>
    <row r="119" spans="1:24" ht="13" x14ac:dyDescent="0.25">
      <c r="B119" s="18"/>
      <c r="C119" s="16"/>
      <c r="D119" s="399"/>
      <c r="E119" s="399"/>
      <c r="F119" s="94"/>
      <c r="H119" s="18"/>
      <c r="I119" s="16"/>
      <c r="J119" s="399"/>
      <c r="K119" s="399"/>
      <c r="L119" s="94"/>
      <c r="N119" s="103"/>
      <c r="O119" s="103"/>
      <c r="Q119" s="16"/>
      <c r="R119" s="16"/>
      <c r="S119" s="16"/>
      <c r="T119" s="103"/>
      <c r="U119" s="16"/>
      <c r="V119" s="16"/>
      <c r="W119" s="16"/>
      <c r="X119" s="103"/>
    </row>
    <row r="120" spans="1:24" ht="13.5" thickBot="1" x14ac:dyDescent="0.3">
      <c r="B120" s="155"/>
      <c r="C120" s="157"/>
      <c r="D120" s="400"/>
      <c r="E120" s="400"/>
      <c r="F120" s="95"/>
      <c r="H120" s="155"/>
      <c r="I120" s="157"/>
      <c r="J120" s="400"/>
      <c r="K120" s="400"/>
      <c r="L120" s="95"/>
      <c r="N120" s="103"/>
      <c r="O120" s="103"/>
      <c r="Q120" s="16"/>
      <c r="R120" s="16"/>
      <c r="S120" s="16"/>
      <c r="T120" s="103"/>
      <c r="U120" s="16"/>
      <c r="V120" s="16"/>
      <c r="W120" s="16"/>
      <c r="X120" s="103"/>
    </row>
    <row r="121" spans="1:24" x14ac:dyDescent="0.25">
      <c r="B121" s="103"/>
      <c r="C121" s="103"/>
      <c r="D121" s="103"/>
      <c r="E121" s="103"/>
      <c r="F121" s="103"/>
      <c r="H121" s="103"/>
      <c r="I121" s="103"/>
      <c r="J121" s="103"/>
      <c r="K121" s="103"/>
      <c r="L121" s="103"/>
      <c r="N121" s="103"/>
      <c r="O121" s="103"/>
      <c r="Q121" s="16"/>
      <c r="R121" s="16"/>
      <c r="S121" s="16"/>
      <c r="T121" s="103"/>
      <c r="U121" s="16"/>
      <c r="V121" s="16"/>
      <c r="W121" s="16"/>
      <c r="X121" s="103"/>
    </row>
    <row r="122" spans="1:24" ht="13" x14ac:dyDescent="0.25">
      <c r="A122" s="213"/>
      <c r="B122" s="103"/>
      <c r="C122" s="103"/>
      <c r="D122" s="103"/>
      <c r="E122" s="103"/>
      <c r="F122" s="103"/>
      <c r="G122" s="213"/>
      <c r="H122" s="103"/>
      <c r="I122" s="103"/>
      <c r="J122" s="103"/>
      <c r="K122" s="103"/>
      <c r="L122" s="103"/>
      <c r="N122" s="103"/>
      <c r="O122" s="103"/>
      <c r="Q122" s="16"/>
      <c r="R122" s="16"/>
      <c r="S122" s="16"/>
      <c r="T122" s="103"/>
      <c r="U122" s="16"/>
      <c r="V122" s="16"/>
      <c r="W122" s="16"/>
      <c r="X122" s="103"/>
    </row>
    <row r="123" spans="1:24" x14ac:dyDescent="0.25">
      <c r="B123" s="103"/>
      <c r="C123" s="103"/>
      <c r="D123" s="103"/>
      <c r="E123" s="103"/>
      <c r="F123" s="103"/>
      <c r="H123" s="103"/>
      <c r="I123" s="103"/>
      <c r="J123" s="103"/>
      <c r="K123" s="103"/>
      <c r="L123" s="103"/>
      <c r="N123" s="103"/>
      <c r="O123" s="103"/>
      <c r="Q123" s="16"/>
      <c r="R123" s="16"/>
      <c r="S123" s="16"/>
      <c r="T123" s="103"/>
      <c r="U123" s="16"/>
      <c r="V123" s="16"/>
      <c r="W123" s="16"/>
      <c r="X123" s="103"/>
    </row>
    <row r="124" spans="1:24" x14ac:dyDescent="0.25">
      <c r="B124" s="103"/>
      <c r="C124" s="103"/>
      <c r="D124" s="103"/>
      <c r="E124" s="103"/>
      <c r="F124" s="103"/>
      <c r="H124" s="103"/>
      <c r="I124" s="103"/>
      <c r="J124" s="103"/>
      <c r="K124" s="103"/>
      <c r="L124" s="103"/>
      <c r="N124" s="103"/>
      <c r="O124" s="103"/>
      <c r="Q124" s="16"/>
      <c r="R124" s="16"/>
      <c r="S124" s="16"/>
      <c r="T124" s="103"/>
      <c r="U124" s="16"/>
      <c r="V124" s="16"/>
      <c r="W124" s="16"/>
      <c r="X124" s="103"/>
    </row>
    <row r="125" spans="1:24" x14ac:dyDescent="0.25">
      <c r="B125" s="103"/>
      <c r="C125" s="103"/>
      <c r="D125" s="103"/>
      <c r="E125" s="103"/>
      <c r="F125" s="103"/>
      <c r="H125" s="103"/>
      <c r="I125" s="103"/>
      <c r="J125" s="103"/>
      <c r="K125" s="103"/>
      <c r="L125" s="103"/>
      <c r="N125" s="103"/>
      <c r="O125" s="103"/>
      <c r="Q125" s="16"/>
      <c r="R125" s="16"/>
      <c r="S125" s="16"/>
      <c r="T125" s="103"/>
      <c r="U125" s="16"/>
      <c r="V125" s="16"/>
      <c r="W125" s="16"/>
      <c r="X125" s="103"/>
    </row>
    <row r="126" spans="1:24" x14ac:dyDescent="0.25">
      <c r="B126" s="103"/>
      <c r="C126" s="103"/>
      <c r="D126" s="103"/>
      <c r="E126" s="103"/>
      <c r="F126" s="103"/>
      <c r="H126" s="103"/>
      <c r="I126" s="103"/>
      <c r="J126" s="103"/>
      <c r="K126" s="103"/>
      <c r="L126" s="103"/>
      <c r="N126" s="103"/>
      <c r="O126" s="103"/>
      <c r="Q126" s="16"/>
      <c r="R126" s="16"/>
      <c r="S126" s="16"/>
      <c r="T126" s="103"/>
      <c r="U126" s="16"/>
      <c r="V126" s="16"/>
      <c r="W126" s="16"/>
      <c r="X126" s="103"/>
    </row>
    <row r="127" spans="1:24" x14ac:dyDescent="0.25">
      <c r="B127" s="103"/>
      <c r="C127" s="103"/>
      <c r="D127" s="103"/>
      <c r="E127" s="103"/>
      <c r="F127" s="103"/>
      <c r="H127" s="103"/>
      <c r="I127" s="103"/>
      <c r="J127" s="103"/>
      <c r="K127" s="103"/>
      <c r="L127" s="103"/>
      <c r="N127" s="103"/>
      <c r="O127" s="103"/>
      <c r="Q127" s="16"/>
      <c r="R127" s="16"/>
      <c r="S127" s="16"/>
      <c r="T127" s="103"/>
      <c r="U127" s="16"/>
      <c r="V127" s="16"/>
      <c r="W127" s="16"/>
      <c r="X127" s="103"/>
    </row>
    <row r="128" spans="1:24" x14ac:dyDescent="0.25">
      <c r="B128" s="103"/>
      <c r="C128" s="103"/>
      <c r="D128" s="103"/>
      <c r="E128" s="103"/>
      <c r="F128" s="103"/>
      <c r="H128" s="103"/>
      <c r="I128" s="103"/>
      <c r="J128" s="103"/>
      <c r="K128" s="103"/>
      <c r="L128" s="103"/>
      <c r="N128" s="103"/>
      <c r="O128" s="103"/>
      <c r="Q128" s="16"/>
      <c r="R128" s="16"/>
      <c r="S128" s="16"/>
      <c r="T128" s="103"/>
      <c r="U128" s="16"/>
      <c r="V128" s="16"/>
      <c r="W128" s="16"/>
      <c r="X128" s="103"/>
    </row>
    <row r="129" spans="2:24" x14ac:dyDescent="0.25">
      <c r="B129" s="103"/>
      <c r="C129" s="103"/>
      <c r="D129" s="103"/>
      <c r="E129" s="103"/>
      <c r="F129" s="103"/>
      <c r="H129" s="103"/>
      <c r="I129" s="103"/>
      <c r="J129" s="103"/>
      <c r="K129" s="103"/>
      <c r="L129" s="103"/>
      <c r="N129" s="103"/>
      <c r="O129" s="103"/>
      <c r="Q129" s="16"/>
      <c r="R129" s="16"/>
      <c r="S129" s="16"/>
      <c r="T129" s="103"/>
      <c r="U129" s="16"/>
      <c r="V129" s="16"/>
      <c r="W129" s="16"/>
      <c r="X129" s="103"/>
    </row>
    <row r="130" spans="2:24" x14ac:dyDescent="0.25">
      <c r="B130" s="103"/>
      <c r="C130" s="103"/>
      <c r="D130" s="103"/>
      <c r="E130" s="103"/>
      <c r="F130" s="103"/>
      <c r="H130" s="103"/>
      <c r="I130" s="103"/>
      <c r="J130" s="103"/>
      <c r="K130" s="103"/>
      <c r="L130" s="103"/>
      <c r="N130" s="103"/>
      <c r="O130" s="103"/>
      <c r="Q130" s="16"/>
      <c r="R130" s="16"/>
      <c r="S130" s="16"/>
      <c r="T130" s="103"/>
      <c r="U130" s="16"/>
      <c r="V130" s="16"/>
      <c r="W130" s="16"/>
      <c r="X130" s="103"/>
    </row>
    <row r="131" spans="2:24" x14ac:dyDescent="0.25">
      <c r="B131" s="103"/>
      <c r="C131" s="103"/>
      <c r="D131" s="103"/>
      <c r="E131" s="103"/>
      <c r="F131" s="103"/>
      <c r="H131" s="103"/>
      <c r="I131" s="103"/>
      <c r="J131" s="103"/>
      <c r="K131" s="103"/>
      <c r="L131" s="103"/>
      <c r="N131" s="103"/>
      <c r="O131" s="103"/>
      <c r="Q131" s="16"/>
      <c r="R131" s="16"/>
      <c r="S131" s="16"/>
      <c r="T131" s="103"/>
      <c r="U131" s="16"/>
      <c r="V131" s="16"/>
      <c r="W131" s="16"/>
      <c r="X131" s="103"/>
    </row>
    <row r="132" spans="2:24" x14ac:dyDescent="0.25">
      <c r="B132" s="103"/>
      <c r="C132" s="103"/>
      <c r="D132" s="103"/>
      <c r="E132" s="103"/>
      <c r="F132" s="103"/>
      <c r="H132" s="103"/>
      <c r="I132" s="103"/>
      <c r="J132" s="103"/>
      <c r="K132" s="103"/>
      <c r="L132" s="103"/>
      <c r="N132" s="103"/>
      <c r="O132" s="103"/>
      <c r="Q132" s="16"/>
      <c r="R132" s="16"/>
      <c r="S132" s="16"/>
      <c r="T132" s="103"/>
      <c r="U132" s="16"/>
      <c r="V132" s="16"/>
      <c r="W132" s="16"/>
      <c r="X132" s="103"/>
    </row>
    <row r="133" spans="2:24" x14ac:dyDescent="0.25">
      <c r="B133" s="103"/>
      <c r="C133" s="103"/>
      <c r="D133" s="103"/>
      <c r="E133" s="103"/>
      <c r="F133" s="103"/>
      <c r="H133" s="103"/>
      <c r="I133" s="103"/>
      <c r="J133" s="103"/>
      <c r="K133" s="103"/>
      <c r="L133" s="103"/>
      <c r="N133" s="103"/>
      <c r="O133" s="103"/>
      <c r="Q133" s="16"/>
      <c r="R133" s="16"/>
      <c r="S133" s="16"/>
      <c r="T133" s="103"/>
      <c r="U133" s="16"/>
      <c r="V133" s="16"/>
      <c r="W133" s="16"/>
      <c r="X133" s="103"/>
    </row>
    <row r="134" spans="2:24" x14ac:dyDescent="0.25">
      <c r="B134" s="103"/>
      <c r="C134" s="103"/>
      <c r="D134" s="103"/>
      <c r="E134" s="103"/>
      <c r="F134" s="103"/>
      <c r="H134" s="103"/>
      <c r="I134" s="103"/>
      <c r="J134" s="103"/>
      <c r="K134" s="103"/>
      <c r="L134" s="103"/>
      <c r="N134" s="103"/>
      <c r="O134" s="103"/>
      <c r="Q134" s="16"/>
      <c r="R134" s="16"/>
      <c r="S134" s="16"/>
      <c r="T134" s="103"/>
      <c r="U134" s="16"/>
      <c r="V134" s="16"/>
      <c r="W134" s="16"/>
      <c r="X134" s="103"/>
    </row>
    <row r="135" spans="2:24" x14ac:dyDescent="0.25">
      <c r="B135" s="103"/>
      <c r="C135" s="103"/>
      <c r="D135" s="103"/>
      <c r="E135" s="103"/>
      <c r="F135" s="103"/>
      <c r="H135" s="103"/>
      <c r="I135" s="103"/>
      <c r="J135" s="103"/>
      <c r="K135" s="103"/>
      <c r="L135" s="103"/>
      <c r="N135" s="103"/>
      <c r="O135" s="103"/>
      <c r="Q135" s="16"/>
      <c r="R135" s="16"/>
      <c r="S135" s="16"/>
      <c r="T135" s="103"/>
      <c r="U135" s="16"/>
      <c r="V135" s="16"/>
      <c r="W135" s="16"/>
      <c r="X135" s="103"/>
    </row>
    <row r="136" spans="2:24" x14ac:dyDescent="0.25">
      <c r="B136" s="103"/>
      <c r="C136" s="103"/>
      <c r="D136" s="103"/>
      <c r="E136" s="103"/>
      <c r="F136" s="103"/>
      <c r="H136" s="103"/>
      <c r="I136" s="103"/>
      <c r="J136" s="103"/>
      <c r="K136" s="103"/>
      <c r="L136" s="103"/>
      <c r="N136" s="103"/>
      <c r="O136" s="103"/>
      <c r="Q136" s="16"/>
      <c r="R136" s="16"/>
      <c r="S136" s="16"/>
      <c r="T136" s="103"/>
      <c r="U136" s="16"/>
      <c r="V136" s="16"/>
      <c r="W136" s="16"/>
      <c r="X136" s="103"/>
    </row>
    <row r="137" spans="2:24" ht="13" x14ac:dyDescent="0.25">
      <c r="B137" s="103"/>
      <c r="C137" s="103"/>
      <c r="D137" s="103"/>
      <c r="E137" s="103"/>
      <c r="F137" s="103"/>
      <c r="G137" s="304"/>
      <c r="H137" s="103"/>
      <c r="I137" s="103"/>
      <c r="J137" s="103"/>
      <c r="K137" s="103"/>
      <c r="L137" s="103"/>
      <c r="N137" s="103"/>
      <c r="O137" s="103"/>
      <c r="Q137" s="16"/>
      <c r="R137" s="16"/>
      <c r="S137" s="16"/>
      <c r="T137" s="103"/>
      <c r="U137" s="16"/>
      <c r="V137" s="16"/>
      <c r="W137" s="16"/>
      <c r="X137" s="103"/>
    </row>
    <row r="138" spans="2:24" x14ac:dyDescent="0.25">
      <c r="B138" s="103"/>
      <c r="C138" s="103"/>
      <c r="D138" s="103"/>
      <c r="E138" s="103"/>
      <c r="F138" s="103"/>
      <c r="H138" s="103"/>
      <c r="I138" s="103"/>
      <c r="J138" s="103"/>
      <c r="K138" s="103"/>
      <c r="L138" s="103"/>
      <c r="N138" s="103"/>
      <c r="O138" s="103"/>
      <c r="Q138" s="16"/>
      <c r="R138" s="16"/>
      <c r="S138" s="16"/>
      <c r="T138" s="103"/>
      <c r="U138" s="16"/>
      <c r="V138" s="16"/>
      <c r="W138" s="16"/>
      <c r="X138" s="103"/>
    </row>
    <row r="139" spans="2:24" x14ac:dyDescent="0.25">
      <c r="B139" s="103"/>
      <c r="C139" s="103"/>
      <c r="D139" s="103"/>
      <c r="E139" s="103"/>
      <c r="F139" s="103"/>
      <c r="H139" s="103"/>
      <c r="I139" s="103"/>
      <c r="J139" s="103"/>
      <c r="K139" s="103"/>
      <c r="L139" s="103"/>
      <c r="N139" s="103"/>
      <c r="O139" s="103"/>
      <c r="Q139" s="16"/>
      <c r="R139" s="16"/>
      <c r="S139" s="16"/>
      <c r="T139" s="103"/>
      <c r="U139" s="16"/>
      <c r="V139" s="16"/>
      <c r="W139" s="16"/>
      <c r="X139" s="103"/>
    </row>
    <row r="140" spans="2:24" x14ac:dyDescent="0.25">
      <c r="B140" s="103"/>
      <c r="C140" s="103"/>
      <c r="D140" s="103"/>
      <c r="E140" s="103"/>
      <c r="F140" s="103"/>
      <c r="H140" s="103"/>
      <c r="I140" s="103"/>
      <c r="J140" s="103"/>
      <c r="K140" s="103"/>
      <c r="L140" s="103"/>
      <c r="N140" s="103"/>
      <c r="O140" s="103"/>
      <c r="Q140" s="16"/>
      <c r="R140" s="16"/>
      <c r="S140" s="16"/>
      <c r="T140" s="103"/>
      <c r="U140" s="16"/>
      <c r="V140" s="16"/>
      <c r="W140" s="16"/>
      <c r="X140" s="103"/>
    </row>
    <row r="141" spans="2:24" x14ac:dyDescent="0.25">
      <c r="B141" s="103"/>
      <c r="C141" s="103"/>
      <c r="D141" s="103"/>
      <c r="E141" s="103"/>
      <c r="F141" s="103"/>
      <c r="H141" s="103"/>
      <c r="I141" s="103"/>
      <c r="J141" s="103"/>
      <c r="K141" s="103"/>
      <c r="L141" s="103"/>
      <c r="N141" s="103"/>
      <c r="O141" s="103"/>
      <c r="Q141" s="16"/>
      <c r="R141" s="16"/>
      <c r="S141" s="16"/>
      <c r="T141" s="103"/>
      <c r="U141" s="16"/>
      <c r="V141" s="16"/>
      <c r="W141" s="16"/>
      <c r="X141" s="103"/>
    </row>
    <row r="142" spans="2:24" x14ac:dyDescent="0.25">
      <c r="B142" s="103"/>
      <c r="C142" s="103"/>
      <c r="D142" s="103"/>
      <c r="E142" s="103"/>
      <c r="F142" s="103"/>
      <c r="H142" s="103"/>
      <c r="I142" s="103"/>
      <c r="J142" s="103"/>
      <c r="K142" s="103"/>
      <c r="L142" s="103"/>
      <c r="N142" s="103"/>
      <c r="O142" s="103"/>
      <c r="Q142" s="16"/>
      <c r="R142" s="16"/>
      <c r="S142" s="16"/>
      <c r="T142" s="103"/>
      <c r="U142" s="16"/>
      <c r="V142" s="16"/>
      <c r="W142" s="16"/>
      <c r="X142" s="103"/>
    </row>
    <row r="143" spans="2:24" x14ac:dyDescent="0.25">
      <c r="B143" s="103"/>
      <c r="C143" s="103"/>
      <c r="D143" s="103"/>
      <c r="E143" s="103"/>
      <c r="F143" s="103"/>
      <c r="H143" s="103"/>
      <c r="I143" s="103"/>
      <c r="J143" s="103"/>
      <c r="K143" s="103"/>
      <c r="L143" s="103"/>
      <c r="N143" s="103"/>
      <c r="O143" s="103"/>
      <c r="Q143" s="16"/>
      <c r="R143" s="16"/>
      <c r="S143" s="16"/>
      <c r="T143" s="103"/>
      <c r="U143" s="16"/>
      <c r="V143" s="16"/>
      <c r="W143" s="16"/>
      <c r="X143" s="103"/>
    </row>
    <row r="144" spans="2:24" x14ac:dyDescent="0.25">
      <c r="B144" s="103"/>
      <c r="C144" s="103"/>
      <c r="D144" s="103"/>
      <c r="E144" s="103"/>
      <c r="F144" s="103"/>
      <c r="H144" s="103"/>
      <c r="I144" s="103"/>
      <c r="J144" s="103"/>
      <c r="K144" s="103"/>
      <c r="L144" s="103"/>
      <c r="N144" s="103"/>
      <c r="O144" s="103"/>
      <c r="Q144" s="16"/>
      <c r="R144" s="16"/>
      <c r="S144" s="16"/>
      <c r="T144" s="103"/>
      <c r="U144" s="16"/>
      <c r="V144" s="16"/>
      <c r="W144" s="16"/>
      <c r="X144" s="103"/>
    </row>
    <row r="145" spans="2:24" x14ac:dyDescent="0.25">
      <c r="B145" s="103"/>
      <c r="C145" s="103"/>
      <c r="D145" s="103"/>
      <c r="E145" s="103"/>
      <c r="F145" s="103"/>
      <c r="H145" s="103"/>
      <c r="I145" s="103"/>
      <c r="J145" s="103"/>
      <c r="K145" s="103"/>
      <c r="L145" s="103"/>
      <c r="N145" s="103"/>
      <c r="O145" s="103"/>
      <c r="Q145" s="16"/>
      <c r="R145" s="16"/>
      <c r="S145" s="16"/>
      <c r="T145" s="103"/>
      <c r="U145" s="16"/>
      <c r="V145" s="16"/>
      <c r="W145" s="16"/>
      <c r="X145" s="103"/>
    </row>
    <row r="146" spans="2:24" x14ac:dyDescent="0.25">
      <c r="B146" s="103"/>
      <c r="C146" s="103"/>
      <c r="D146" s="103"/>
      <c r="E146" s="103"/>
      <c r="F146" s="103"/>
      <c r="H146" s="103"/>
      <c r="I146" s="103"/>
      <c r="J146" s="103"/>
      <c r="K146" s="103"/>
      <c r="L146" s="103"/>
      <c r="N146" s="103"/>
      <c r="O146" s="103"/>
      <c r="Q146" s="16"/>
      <c r="R146" s="16"/>
      <c r="S146" s="16"/>
      <c r="T146" s="103"/>
      <c r="U146" s="16"/>
      <c r="V146" s="16"/>
      <c r="W146" s="16"/>
      <c r="X146" s="103"/>
    </row>
    <row r="147" spans="2:24" x14ac:dyDescent="0.25">
      <c r="B147" s="103"/>
      <c r="C147" s="103"/>
      <c r="D147" s="103"/>
      <c r="E147" s="103"/>
      <c r="F147" s="103"/>
      <c r="H147" s="103"/>
      <c r="I147" s="103"/>
      <c r="J147" s="103"/>
      <c r="K147" s="103"/>
      <c r="L147" s="103"/>
      <c r="N147" s="103"/>
      <c r="O147" s="103"/>
      <c r="Q147" s="16"/>
      <c r="R147" s="16"/>
      <c r="S147" s="16"/>
      <c r="T147" s="103"/>
      <c r="U147" s="16"/>
      <c r="V147" s="16"/>
      <c r="W147" s="16"/>
      <c r="X147" s="103"/>
    </row>
    <row r="148" spans="2:24" x14ac:dyDescent="0.25">
      <c r="B148" s="103"/>
      <c r="C148" s="103"/>
      <c r="D148" s="103"/>
      <c r="E148" s="103"/>
      <c r="F148" s="103"/>
      <c r="H148" s="103"/>
      <c r="I148" s="103"/>
      <c r="J148" s="103"/>
      <c r="K148" s="103"/>
      <c r="L148" s="103"/>
      <c r="N148" s="103"/>
      <c r="O148" s="103"/>
      <c r="Q148" s="16"/>
      <c r="R148" s="16"/>
      <c r="S148" s="16"/>
      <c r="T148" s="103"/>
      <c r="U148" s="16"/>
      <c r="V148" s="16"/>
      <c r="W148" s="16"/>
      <c r="X148" s="103"/>
    </row>
    <row r="149" spans="2:24" x14ac:dyDescent="0.25">
      <c r="B149" s="103"/>
      <c r="C149" s="103"/>
      <c r="D149" s="103"/>
      <c r="E149" s="103"/>
      <c r="F149" s="103"/>
      <c r="H149" s="103"/>
      <c r="I149" s="103"/>
      <c r="J149" s="103"/>
      <c r="K149" s="103"/>
      <c r="L149" s="103"/>
      <c r="N149" s="103"/>
      <c r="O149" s="103"/>
      <c r="Q149" s="16"/>
      <c r="R149" s="16"/>
      <c r="S149" s="16"/>
      <c r="T149" s="103"/>
      <c r="U149" s="16"/>
      <c r="V149" s="16"/>
      <c r="W149" s="16"/>
      <c r="X149" s="103"/>
    </row>
    <row r="150" spans="2:24" x14ac:dyDescent="0.25">
      <c r="B150" s="103"/>
      <c r="C150" s="103"/>
      <c r="D150" s="103"/>
      <c r="E150" s="103"/>
      <c r="F150" s="103"/>
      <c r="H150" s="103"/>
      <c r="I150" s="103"/>
      <c r="J150" s="103"/>
      <c r="K150" s="103"/>
      <c r="L150" s="103"/>
      <c r="N150" s="103"/>
      <c r="O150" s="103"/>
      <c r="Q150" s="16"/>
      <c r="R150" s="16"/>
      <c r="S150" s="16"/>
      <c r="T150" s="103"/>
      <c r="U150" s="16"/>
      <c r="V150" s="16"/>
      <c r="W150" s="16"/>
      <c r="X150" s="103"/>
    </row>
    <row r="151" spans="2:24" x14ac:dyDescent="0.25">
      <c r="B151" s="103"/>
      <c r="C151" s="103"/>
      <c r="D151" s="103"/>
      <c r="E151" s="103"/>
      <c r="F151" s="103"/>
      <c r="H151" s="103"/>
      <c r="I151" s="103"/>
      <c r="J151" s="103"/>
      <c r="K151" s="103"/>
      <c r="L151" s="103"/>
      <c r="N151" s="103"/>
      <c r="O151" s="103"/>
      <c r="Q151" s="16"/>
      <c r="R151" s="16"/>
      <c r="S151" s="16"/>
      <c r="T151" s="103"/>
      <c r="U151" s="16"/>
      <c r="V151" s="16"/>
      <c r="W151" s="16"/>
      <c r="X151" s="103"/>
    </row>
    <row r="152" spans="2:24" x14ac:dyDescent="0.25">
      <c r="B152" s="103"/>
      <c r="C152" s="103"/>
      <c r="D152" s="103"/>
      <c r="E152" s="103"/>
      <c r="F152" s="103"/>
      <c r="H152" s="103"/>
      <c r="I152" s="103"/>
      <c r="J152" s="103"/>
      <c r="K152" s="103"/>
      <c r="L152" s="103"/>
      <c r="N152" s="103"/>
      <c r="O152" s="103"/>
      <c r="Q152" s="16"/>
      <c r="R152" s="16"/>
      <c r="S152" s="16"/>
      <c r="T152" s="103"/>
      <c r="U152" s="16"/>
      <c r="V152" s="16"/>
      <c r="W152" s="16"/>
      <c r="X152" s="103"/>
    </row>
    <row r="153" spans="2:24" x14ac:dyDescent="0.25">
      <c r="B153" s="103"/>
      <c r="C153" s="103"/>
      <c r="D153" s="103"/>
      <c r="E153" s="103"/>
      <c r="F153" s="103"/>
      <c r="H153" s="103"/>
      <c r="I153" s="103"/>
      <c r="J153" s="103"/>
      <c r="K153" s="103"/>
      <c r="L153" s="103"/>
      <c r="N153" s="103"/>
      <c r="O153" s="103"/>
      <c r="Q153" s="16"/>
      <c r="R153" s="16"/>
      <c r="S153" s="16"/>
      <c r="T153" s="103"/>
      <c r="U153" s="16"/>
      <c r="V153" s="16"/>
      <c r="W153" s="16"/>
      <c r="X153" s="103"/>
    </row>
    <row r="154" spans="2:24" x14ac:dyDescent="0.25">
      <c r="B154" s="103"/>
      <c r="C154" s="103"/>
      <c r="D154" s="103"/>
      <c r="E154" s="103"/>
      <c r="F154" s="103"/>
      <c r="H154" s="103"/>
      <c r="I154" s="103"/>
      <c r="J154" s="103"/>
      <c r="K154" s="103"/>
      <c r="L154" s="103"/>
      <c r="N154" s="103"/>
      <c r="O154" s="103"/>
      <c r="Q154" s="16"/>
      <c r="R154" s="16"/>
      <c r="S154" s="16"/>
      <c r="T154" s="103"/>
      <c r="U154" s="16"/>
      <c r="V154" s="16"/>
      <c r="W154" s="16"/>
      <c r="X154" s="103"/>
    </row>
    <row r="155" spans="2:24" x14ac:dyDescent="0.25">
      <c r="B155" s="103"/>
      <c r="C155" s="103"/>
      <c r="D155" s="103"/>
      <c r="E155" s="103"/>
      <c r="F155" s="103"/>
      <c r="H155" s="103"/>
      <c r="I155" s="103"/>
      <c r="J155" s="103"/>
      <c r="K155" s="103"/>
      <c r="L155" s="103"/>
      <c r="N155" s="103"/>
      <c r="O155" s="103"/>
      <c r="Q155" s="16"/>
      <c r="R155" s="16"/>
      <c r="S155" s="16"/>
      <c r="T155" s="103"/>
      <c r="U155" s="16"/>
      <c r="V155" s="16"/>
      <c r="W155" s="16"/>
      <c r="X155" s="103"/>
    </row>
    <row r="156" spans="2:24" x14ac:dyDescent="0.25">
      <c r="B156" s="103"/>
      <c r="C156" s="103"/>
      <c r="D156" s="103"/>
      <c r="E156" s="103"/>
      <c r="F156" s="103"/>
      <c r="H156" s="103"/>
      <c r="I156" s="103"/>
      <c r="J156" s="103"/>
      <c r="K156" s="103"/>
      <c r="L156" s="103"/>
      <c r="N156" s="103"/>
      <c r="O156" s="103"/>
      <c r="Q156" s="16"/>
      <c r="R156" s="16"/>
      <c r="S156" s="16"/>
      <c r="T156" s="103"/>
      <c r="U156" s="16"/>
      <c r="V156" s="16"/>
      <c r="W156" s="16"/>
      <c r="X156" s="103"/>
    </row>
    <row r="157" spans="2:24" x14ac:dyDescent="0.25">
      <c r="B157" s="103"/>
      <c r="C157" s="103"/>
      <c r="D157" s="103"/>
      <c r="E157" s="103"/>
      <c r="F157" s="103"/>
      <c r="H157" s="103"/>
      <c r="I157" s="103"/>
      <c r="J157" s="103"/>
      <c r="K157" s="103"/>
      <c r="L157" s="103"/>
      <c r="N157" s="103"/>
      <c r="O157" s="103"/>
      <c r="Q157" s="16"/>
      <c r="R157" s="16"/>
      <c r="S157" s="16"/>
      <c r="T157" s="103"/>
      <c r="U157" s="16"/>
      <c r="V157" s="16"/>
      <c r="W157" s="16"/>
      <c r="X157" s="103"/>
    </row>
    <row r="158" spans="2:24" x14ac:dyDescent="0.25">
      <c r="B158" s="103"/>
      <c r="C158" s="103"/>
      <c r="D158" s="103"/>
      <c r="E158" s="103"/>
      <c r="F158" s="103"/>
      <c r="H158" s="103"/>
      <c r="I158" s="103"/>
      <c r="J158" s="103"/>
      <c r="K158" s="103"/>
      <c r="L158" s="103"/>
      <c r="N158" s="103"/>
      <c r="O158" s="103"/>
      <c r="Q158" s="16"/>
      <c r="R158" s="16"/>
      <c r="S158" s="16"/>
      <c r="T158" s="103"/>
      <c r="U158" s="16"/>
      <c r="V158" s="16"/>
      <c r="W158" s="16"/>
      <c r="X158" s="103"/>
    </row>
    <row r="159" spans="2:24" x14ac:dyDescent="0.25">
      <c r="B159" s="103"/>
      <c r="C159" s="103"/>
      <c r="D159" s="103"/>
      <c r="E159" s="103"/>
      <c r="F159" s="103"/>
      <c r="H159" s="103"/>
      <c r="I159" s="103"/>
      <c r="J159" s="103"/>
      <c r="K159" s="103"/>
      <c r="L159" s="103"/>
      <c r="N159" s="103"/>
      <c r="O159" s="103"/>
      <c r="Q159" s="16"/>
      <c r="R159" s="16"/>
      <c r="S159" s="16"/>
      <c r="T159" s="103"/>
      <c r="U159" s="16"/>
      <c r="V159" s="16"/>
      <c r="W159" s="16"/>
      <c r="X159" s="103"/>
    </row>
    <row r="160" spans="2:24" x14ac:dyDescent="0.25">
      <c r="B160" s="103"/>
      <c r="C160" s="103"/>
      <c r="D160" s="103"/>
      <c r="E160" s="103"/>
      <c r="F160" s="103"/>
      <c r="H160" s="103"/>
      <c r="I160" s="103"/>
      <c r="J160" s="103"/>
      <c r="K160" s="103"/>
      <c r="L160" s="103"/>
      <c r="N160" s="103"/>
      <c r="O160" s="103"/>
      <c r="Q160" s="16"/>
      <c r="R160" s="16"/>
      <c r="S160" s="16"/>
      <c r="T160" s="103"/>
      <c r="U160" s="16"/>
      <c r="V160" s="16"/>
      <c r="W160" s="16"/>
      <c r="X160" s="103"/>
    </row>
    <row r="161" spans="2:24" x14ac:dyDescent="0.25">
      <c r="B161" s="103"/>
      <c r="C161" s="103"/>
      <c r="D161" s="103"/>
      <c r="E161" s="103"/>
      <c r="F161" s="103"/>
      <c r="H161" s="103"/>
      <c r="I161" s="103"/>
      <c r="J161" s="103"/>
      <c r="K161" s="103"/>
      <c r="L161" s="103"/>
      <c r="N161" s="103"/>
      <c r="O161" s="103"/>
      <c r="Q161" s="16"/>
      <c r="R161" s="16"/>
      <c r="S161" s="16"/>
      <c r="T161" s="103"/>
      <c r="U161" s="16"/>
      <c r="V161" s="16"/>
      <c r="W161" s="16"/>
      <c r="X161" s="103"/>
    </row>
    <row r="162" spans="2:24" x14ac:dyDescent="0.25">
      <c r="B162" s="103"/>
      <c r="C162" s="103"/>
      <c r="D162" s="103"/>
      <c r="E162" s="103"/>
      <c r="F162" s="103"/>
      <c r="H162" s="103"/>
      <c r="I162" s="103"/>
      <c r="J162" s="103"/>
      <c r="K162" s="103"/>
      <c r="L162" s="103"/>
      <c r="N162" s="103"/>
      <c r="O162" s="103"/>
      <c r="Q162" s="16"/>
      <c r="R162" s="16"/>
      <c r="S162" s="16"/>
      <c r="T162" s="103"/>
      <c r="U162" s="16"/>
      <c r="V162" s="16"/>
      <c r="W162" s="16"/>
      <c r="X162" s="103"/>
    </row>
    <row r="163" spans="2:24" x14ac:dyDescent="0.25">
      <c r="B163" s="103"/>
      <c r="C163" s="103"/>
      <c r="D163" s="103"/>
      <c r="E163" s="103"/>
      <c r="F163" s="103"/>
      <c r="H163" s="103"/>
      <c r="I163" s="103"/>
      <c r="J163" s="103"/>
      <c r="K163" s="103"/>
      <c r="L163" s="103"/>
      <c r="N163" s="103"/>
      <c r="O163" s="103"/>
      <c r="Q163" s="16"/>
      <c r="R163" s="16"/>
      <c r="S163" s="16"/>
      <c r="T163" s="103"/>
      <c r="U163" s="16"/>
      <c r="V163" s="16"/>
      <c r="W163" s="16"/>
      <c r="X163" s="103"/>
    </row>
    <row r="164" spans="2:24" x14ac:dyDescent="0.25">
      <c r="B164" s="103"/>
      <c r="C164" s="103"/>
      <c r="D164" s="103"/>
      <c r="E164" s="103"/>
      <c r="F164" s="103"/>
      <c r="H164" s="103"/>
      <c r="I164" s="103"/>
      <c r="J164" s="103"/>
      <c r="K164" s="103"/>
      <c r="L164" s="103"/>
      <c r="N164" s="103"/>
      <c r="O164" s="103"/>
      <c r="Q164" s="16"/>
      <c r="R164" s="16"/>
      <c r="S164" s="16"/>
      <c r="T164" s="103"/>
      <c r="U164" s="16"/>
      <c r="V164" s="16"/>
      <c r="W164" s="16"/>
      <c r="X164" s="103"/>
    </row>
    <row r="165" spans="2:24" x14ac:dyDescent="0.25">
      <c r="B165" s="103"/>
      <c r="C165" s="103"/>
      <c r="D165" s="103"/>
      <c r="E165" s="103"/>
      <c r="F165" s="103"/>
      <c r="H165" s="103"/>
      <c r="I165" s="103"/>
      <c r="J165" s="103"/>
      <c r="K165" s="103"/>
      <c r="L165" s="103"/>
      <c r="N165" s="103"/>
      <c r="O165" s="103"/>
      <c r="Q165" s="16"/>
      <c r="R165" s="16"/>
      <c r="S165" s="16"/>
      <c r="T165" s="103"/>
      <c r="U165" s="16"/>
      <c r="V165" s="16"/>
      <c r="W165" s="16"/>
      <c r="X165" s="103"/>
    </row>
    <row r="166" spans="2:24" x14ac:dyDescent="0.25">
      <c r="B166" s="103"/>
      <c r="C166" s="103"/>
      <c r="D166" s="103"/>
      <c r="E166" s="103"/>
      <c r="F166" s="103"/>
      <c r="H166" s="103"/>
      <c r="I166" s="103"/>
      <c r="J166" s="103"/>
      <c r="K166" s="103"/>
      <c r="L166" s="103"/>
      <c r="N166" s="103"/>
      <c r="O166" s="103"/>
      <c r="Q166" s="16"/>
      <c r="R166" s="16"/>
      <c r="S166" s="16"/>
      <c r="T166" s="103"/>
      <c r="U166" s="16"/>
      <c r="V166" s="16"/>
      <c r="W166" s="16"/>
      <c r="X166" s="103"/>
    </row>
    <row r="167" spans="2:24" x14ac:dyDescent="0.25">
      <c r="B167" s="103"/>
      <c r="C167" s="103"/>
      <c r="D167" s="103"/>
      <c r="E167" s="103"/>
      <c r="F167" s="103"/>
      <c r="H167" s="103"/>
      <c r="I167" s="103"/>
      <c r="J167" s="103"/>
      <c r="K167" s="103"/>
      <c r="L167" s="103"/>
      <c r="N167" s="103"/>
      <c r="O167" s="103"/>
      <c r="Q167" s="16"/>
      <c r="R167" s="16"/>
      <c r="S167" s="16"/>
      <c r="T167" s="103"/>
      <c r="U167" s="16"/>
      <c r="V167" s="16"/>
      <c r="W167" s="16"/>
      <c r="X167" s="103"/>
    </row>
    <row r="168" spans="2:24" x14ac:dyDescent="0.25">
      <c r="B168" s="103"/>
      <c r="C168" s="103"/>
      <c r="D168" s="103"/>
      <c r="E168" s="103"/>
      <c r="F168" s="103"/>
      <c r="H168" s="103"/>
      <c r="I168" s="103"/>
      <c r="J168" s="103"/>
      <c r="K168" s="103"/>
      <c r="L168" s="103"/>
      <c r="N168" s="103"/>
      <c r="O168" s="103"/>
      <c r="Q168" s="16"/>
      <c r="R168" s="16"/>
      <c r="S168" s="16"/>
      <c r="T168" s="103"/>
      <c r="U168" s="16"/>
      <c r="V168" s="16"/>
      <c r="W168" s="16"/>
      <c r="X168" s="103"/>
    </row>
    <row r="169" spans="2:24" x14ac:dyDescent="0.25">
      <c r="B169" s="103"/>
      <c r="C169" s="103"/>
      <c r="D169" s="103"/>
      <c r="E169" s="103"/>
      <c r="F169" s="103"/>
      <c r="H169" s="103"/>
      <c r="I169" s="103"/>
      <c r="J169" s="103"/>
      <c r="K169" s="103"/>
      <c r="L169" s="103"/>
      <c r="N169" s="103"/>
      <c r="O169" s="103"/>
      <c r="Q169" s="16"/>
      <c r="R169" s="16"/>
      <c r="S169" s="16"/>
      <c r="T169" s="103"/>
      <c r="U169" s="16"/>
      <c r="V169" s="16"/>
      <c r="W169" s="16"/>
      <c r="X169" s="103"/>
    </row>
    <row r="170" spans="2:24" x14ac:dyDescent="0.25">
      <c r="B170" s="103"/>
      <c r="C170" s="103"/>
      <c r="D170" s="103"/>
      <c r="E170" s="103"/>
      <c r="F170" s="103"/>
      <c r="H170" s="103"/>
      <c r="I170" s="103"/>
      <c r="J170" s="103"/>
      <c r="K170" s="103"/>
      <c r="L170" s="103"/>
      <c r="N170" s="103"/>
      <c r="O170" s="103"/>
      <c r="Q170" s="16"/>
      <c r="R170" s="16"/>
      <c r="S170" s="16"/>
      <c r="T170" s="103"/>
      <c r="U170" s="16"/>
      <c r="V170" s="16"/>
      <c r="W170" s="16"/>
      <c r="X170" s="103"/>
    </row>
    <row r="171" spans="2:24" x14ac:dyDescent="0.25">
      <c r="B171" s="103"/>
      <c r="C171" s="103"/>
      <c r="D171" s="103"/>
      <c r="E171" s="103"/>
      <c r="F171" s="103"/>
      <c r="H171" s="103"/>
      <c r="I171" s="103"/>
      <c r="J171" s="103"/>
      <c r="K171" s="103"/>
      <c r="L171" s="103"/>
      <c r="N171" s="103"/>
      <c r="O171" s="103"/>
      <c r="Q171" s="16"/>
      <c r="R171" s="16"/>
      <c r="S171" s="16"/>
      <c r="T171" s="103"/>
      <c r="U171" s="16"/>
      <c r="V171" s="16"/>
      <c r="W171" s="16"/>
      <c r="X171" s="103"/>
    </row>
    <row r="172" spans="2:24" x14ac:dyDescent="0.25">
      <c r="B172" s="103"/>
      <c r="C172" s="103"/>
      <c r="D172" s="103"/>
      <c r="E172" s="103"/>
      <c r="F172" s="103"/>
      <c r="H172" s="103"/>
      <c r="I172" s="103"/>
      <c r="J172" s="103"/>
      <c r="K172" s="103"/>
      <c r="L172" s="103"/>
      <c r="N172" s="103"/>
      <c r="O172" s="103"/>
      <c r="Q172" s="16"/>
      <c r="R172" s="16"/>
      <c r="S172" s="16"/>
      <c r="T172" s="103"/>
      <c r="U172" s="16"/>
      <c r="V172" s="16"/>
      <c r="W172" s="16"/>
      <c r="X172" s="103"/>
    </row>
    <row r="173" spans="2:24" x14ac:dyDescent="0.25">
      <c r="B173" s="103"/>
      <c r="C173" s="103"/>
      <c r="D173" s="103"/>
      <c r="E173" s="103"/>
      <c r="F173" s="103"/>
      <c r="H173" s="103"/>
      <c r="I173" s="103"/>
      <c r="J173" s="103"/>
      <c r="K173" s="103"/>
      <c r="L173" s="103"/>
      <c r="N173" s="103"/>
      <c r="O173" s="103"/>
      <c r="Q173" s="16"/>
      <c r="R173" s="16"/>
      <c r="S173" s="16"/>
      <c r="T173" s="103"/>
      <c r="U173" s="16"/>
      <c r="V173" s="16"/>
      <c r="W173" s="16"/>
      <c r="X173" s="103"/>
    </row>
    <row r="174" spans="2:24" x14ac:dyDescent="0.25">
      <c r="B174" s="103"/>
      <c r="C174" s="103"/>
      <c r="D174" s="103"/>
      <c r="E174" s="103"/>
      <c r="F174" s="103"/>
      <c r="H174" s="103"/>
      <c r="I174" s="103"/>
      <c r="J174" s="103"/>
      <c r="K174" s="103"/>
      <c r="L174" s="103"/>
      <c r="N174" s="103"/>
      <c r="O174" s="103"/>
      <c r="Q174" s="16"/>
      <c r="R174" s="16"/>
      <c r="S174" s="16"/>
      <c r="T174" s="103"/>
      <c r="U174" s="16"/>
      <c r="V174" s="16"/>
      <c r="W174" s="16"/>
      <c r="X174" s="103"/>
    </row>
    <row r="175" spans="2:24" x14ac:dyDescent="0.25">
      <c r="B175" s="103"/>
      <c r="C175" s="103"/>
      <c r="D175" s="103"/>
      <c r="E175" s="103"/>
      <c r="F175" s="103"/>
      <c r="H175" s="103"/>
      <c r="I175" s="103"/>
      <c r="J175" s="103"/>
      <c r="K175" s="103"/>
      <c r="L175" s="103"/>
      <c r="N175" s="103"/>
      <c r="O175" s="103"/>
      <c r="Q175" s="16"/>
      <c r="R175" s="16"/>
      <c r="S175" s="16"/>
      <c r="T175" s="103"/>
      <c r="U175" s="16"/>
      <c r="V175" s="16"/>
      <c r="W175" s="16"/>
      <c r="X175" s="103"/>
    </row>
    <row r="176" spans="2:24" x14ac:dyDescent="0.25">
      <c r="B176" s="103"/>
      <c r="C176" s="103"/>
      <c r="D176" s="103"/>
      <c r="E176" s="103"/>
      <c r="F176" s="103"/>
      <c r="H176" s="103"/>
      <c r="I176" s="103"/>
      <c r="J176" s="103"/>
      <c r="K176" s="103"/>
      <c r="L176" s="103"/>
      <c r="N176" s="103"/>
      <c r="O176" s="103"/>
      <c r="Q176" s="16"/>
      <c r="R176" s="16"/>
      <c r="S176" s="16"/>
      <c r="T176" s="103"/>
      <c r="U176" s="16"/>
      <c r="V176" s="16"/>
      <c r="W176" s="16"/>
      <c r="X176" s="103"/>
    </row>
    <row r="177" spans="2:24" x14ac:dyDescent="0.25">
      <c r="B177" s="103"/>
      <c r="C177" s="103"/>
      <c r="D177" s="103"/>
      <c r="E177" s="103"/>
      <c r="F177" s="103"/>
      <c r="H177" s="103"/>
      <c r="I177" s="103"/>
      <c r="J177" s="103"/>
      <c r="K177" s="103"/>
      <c r="L177" s="103"/>
      <c r="N177" s="103"/>
      <c r="O177" s="103"/>
      <c r="Q177" s="16"/>
      <c r="R177" s="16"/>
      <c r="S177" s="16"/>
      <c r="T177" s="103"/>
      <c r="U177" s="16"/>
      <c r="V177" s="16"/>
      <c r="W177" s="16"/>
      <c r="X177" s="103"/>
    </row>
    <row r="178" spans="2:24" x14ac:dyDescent="0.25">
      <c r="B178" s="103"/>
      <c r="C178" s="103"/>
      <c r="D178" s="103"/>
      <c r="E178" s="103"/>
      <c r="F178" s="103"/>
      <c r="H178" s="103"/>
      <c r="I178" s="103"/>
      <c r="J178" s="103"/>
      <c r="K178" s="103"/>
      <c r="L178" s="103"/>
      <c r="N178" s="103"/>
      <c r="O178" s="103"/>
      <c r="Q178" s="16"/>
      <c r="R178" s="16"/>
      <c r="S178" s="16"/>
      <c r="T178" s="103"/>
      <c r="U178" s="16"/>
      <c r="V178" s="16"/>
      <c r="W178" s="16"/>
      <c r="X178" s="103"/>
    </row>
    <row r="179" spans="2:24" x14ac:dyDescent="0.25">
      <c r="B179" s="103"/>
      <c r="C179" s="103"/>
      <c r="D179" s="103"/>
      <c r="E179" s="103"/>
      <c r="F179" s="103"/>
      <c r="H179" s="103"/>
      <c r="I179" s="103"/>
      <c r="J179" s="103"/>
      <c r="K179" s="103"/>
      <c r="L179" s="103"/>
      <c r="N179" s="103"/>
      <c r="O179" s="103"/>
      <c r="Q179" s="16"/>
      <c r="R179" s="16"/>
      <c r="S179" s="16"/>
      <c r="T179" s="103"/>
      <c r="U179" s="16"/>
      <c r="V179" s="16"/>
      <c r="W179" s="16"/>
      <c r="X179" s="103"/>
    </row>
    <row r="180" spans="2:24" x14ac:dyDescent="0.25">
      <c r="B180" s="103"/>
      <c r="C180" s="103"/>
      <c r="D180" s="103"/>
      <c r="E180" s="103"/>
      <c r="F180" s="103"/>
      <c r="H180" s="103"/>
      <c r="I180" s="103"/>
      <c r="J180" s="103"/>
      <c r="K180" s="103"/>
      <c r="L180" s="103"/>
      <c r="N180" s="103"/>
      <c r="O180" s="103"/>
      <c r="Q180" s="16"/>
      <c r="R180" s="16"/>
      <c r="S180" s="16"/>
      <c r="T180" s="103"/>
      <c r="U180" s="16"/>
      <c r="V180" s="16"/>
      <c r="W180" s="16"/>
      <c r="X180" s="103"/>
    </row>
    <row r="181" spans="2:24" x14ac:dyDescent="0.25">
      <c r="B181" s="103"/>
      <c r="C181" s="103"/>
      <c r="D181" s="103"/>
      <c r="E181" s="103"/>
      <c r="F181" s="103"/>
      <c r="H181" s="103"/>
      <c r="I181" s="103"/>
      <c r="J181" s="103"/>
      <c r="K181" s="103"/>
      <c r="L181" s="103"/>
      <c r="N181" s="103"/>
      <c r="O181" s="103"/>
      <c r="Q181" s="16"/>
      <c r="R181" s="16"/>
      <c r="S181" s="16"/>
      <c r="T181" s="103"/>
      <c r="U181" s="16"/>
      <c r="V181" s="16"/>
      <c r="W181" s="16"/>
      <c r="X181" s="103"/>
    </row>
    <row r="182" spans="2:24" x14ac:dyDescent="0.25">
      <c r="B182" s="103"/>
      <c r="C182" s="103"/>
      <c r="D182" s="103"/>
      <c r="E182" s="103"/>
      <c r="F182" s="103"/>
      <c r="H182" s="103"/>
      <c r="I182" s="103"/>
      <c r="J182" s="103"/>
      <c r="K182" s="103"/>
      <c r="L182" s="103"/>
      <c r="N182" s="103"/>
      <c r="O182" s="103"/>
      <c r="Q182" s="16"/>
      <c r="R182" s="16"/>
      <c r="S182" s="16"/>
      <c r="T182" s="103"/>
      <c r="U182" s="16"/>
      <c r="V182" s="16"/>
      <c r="W182" s="16"/>
      <c r="X182" s="103"/>
    </row>
    <row r="183" spans="2:24" x14ac:dyDescent="0.25">
      <c r="B183" s="103"/>
      <c r="C183" s="103"/>
      <c r="D183" s="103"/>
      <c r="E183" s="103"/>
      <c r="F183" s="103"/>
      <c r="H183" s="103"/>
      <c r="I183" s="103"/>
      <c r="J183" s="103"/>
      <c r="K183" s="103"/>
      <c r="L183" s="103"/>
      <c r="N183" s="103"/>
      <c r="O183" s="103"/>
      <c r="Q183" s="16"/>
      <c r="R183" s="16"/>
      <c r="S183" s="16"/>
      <c r="T183" s="103"/>
      <c r="U183" s="16"/>
      <c r="V183" s="16"/>
      <c r="W183" s="16"/>
      <c r="X183" s="103"/>
    </row>
    <row r="184" spans="2:24" x14ac:dyDescent="0.25">
      <c r="B184" s="103"/>
      <c r="C184" s="103"/>
      <c r="D184" s="103"/>
      <c r="E184" s="103"/>
      <c r="F184" s="103"/>
      <c r="H184" s="103"/>
      <c r="I184" s="103"/>
      <c r="J184" s="103"/>
      <c r="K184" s="103"/>
      <c r="L184" s="103"/>
      <c r="N184" s="103"/>
      <c r="O184" s="103"/>
      <c r="Q184" s="16"/>
      <c r="R184" s="16"/>
      <c r="S184" s="16"/>
      <c r="T184" s="103"/>
      <c r="U184" s="16"/>
      <c r="V184" s="16"/>
      <c r="W184" s="16"/>
      <c r="X184" s="103"/>
    </row>
    <row r="185" spans="2:24" x14ac:dyDescent="0.25">
      <c r="B185" s="103"/>
      <c r="C185" s="103"/>
      <c r="D185" s="103"/>
      <c r="E185" s="103"/>
      <c r="F185" s="103"/>
      <c r="H185" s="103"/>
      <c r="I185" s="103"/>
      <c r="J185" s="103"/>
      <c r="K185" s="103"/>
      <c r="L185" s="103"/>
      <c r="N185" s="103"/>
      <c r="O185" s="103"/>
      <c r="Q185" s="16"/>
      <c r="R185" s="16"/>
      <c r="S185" s="16"/>
      <c r="T185" s="103"/>
      <c r="U185" s="16"/>
      <c r="V185" s="16"/>
      <c r="W185" s="16"/>
      <c r="X185" s="103"/>
    </row>
    <row r="186" spans="2:24" x14ac:dyDescent="0.25">
      <c r="B186" s="103"/>
      <c r="C186" s="103"/>
      <c r="D186" s="103"/>
      <c r="E186" s="103"/>
      <c r="F186" s="103"/>
      <c r="H186" s="103"/>
      <c r="I186" s="103"/>
      <c r="J186" s="103"/>
      <c r="K186" s="103"/>
      <c r="L186" s="103"/>
      <c r="N186" s="103"/>
      <c r="O186" s="103"/>
      <c r="Q186" s="16"/>
      <c r="R186" s="16"/>
      <c r="S186" s="16"/>
      <c r="T186" s="103"/>
      <c r="U186" s="16"/>
      <c r="V186" s="16"/>
      <c r="W186" s="16"/>
      <c r="X186" s="103"/>
    </row>
    <row r="187" spans="2:24" x14ac:dyDescent="0.25">
      <c r="B187" s="103"/>
      <c r="C187" s="103"/>
      <c r="D187" s="103"/>
      <c r="E187" s="103"/>
      <c r="F187" s="103"/>
      <c r="H187" s="103"/>
      <c r="I187" s="103"/>
      <c r="J187" s="103"/>
      <c r="K187" s="103"/>
      <c r="L187" s="103"/>
      <c r="N187" s="103"/>
      <c r="O187" s="103"/>
      <c r="Q187" s="16"/>
      <c r="R187" s="16"/>
      <c r="S187" s="16"/>
      <c r="T187" s="103"/>
      <c r="U187" s="16"/>
      <c r="V187" s="16"/>
      <c r="W187" s="16"/>
      <c r="X187" s="103"/>
    </row>
    <row r="188" spans="2:24" x14ac:dyDescent="0.25">
      <c r="B188" s="103"/>
      <c r="C188" s="103"/>
      <c r="D188" s="103"/>
      <c r="E188" s="103"/>
      <c r="F188" s="103"/>
      <c r="H188" s="103"/>
      <c r="I188" s="103"/>
      <c r="J188" s="103"/>
      <c r="K188" s="103"/>
      <c r="L188" s="103"/>
      <c r="N188" s="103"/>
      <c r="O188" s="103"/>
      <c r="Q188" s="16"/>
      <c r="R188" s="16"/>
      <c r="S188" s="16"/>
      <c r="T188" s="103"/>
      <c r="U188" s="16"/>
      <c r="V188" s="16"/>
      <c r="W188" s="16"/>
      <c r="X188" s="103"/>
    </row>
    <row r="189" spans="2:24" x14ac:dyDescent="0.25">
      <c r="B189" s="103"/>
      <c r="C189" s="103"/>
      <c r="D189" s="103"/>
      <c r="E189" s="103"/>
      <c r="F189" s="103"/>
      <c r="H189" s="103"/>
      <c r="I189" s="103"/>
      <c r="J189" s="103"/>
      <c r="K189" s="103"/>
      <c r="L189" s="103"/>
      <c r="N189" s="103"/>
      <c r="O189" s="103"/>
      <c r="Q189" s="16"/>
      <c r="R189" s="16"/>
      <c r="S189" s="16"/>
      <c r="T189" s="103"/>
      <c r="U189" s="16"/>
      <c r="V189" s="16"/>
      <c r="W189" s="16"/>
      <c r="X189" s="103"/>
    </row>
    <row r="190" spans="2:24" x14ac:dyDescent="0.25">
      <c r="B190" s="103"/>
      <c r="C190" s="103"/>
      <c r="D190" s="103"/>
      <c r="E190" s="103"/>
      <c r="F190" s="103"/>
      <c r="H190" s="103"/>
      <c r="I190" s="103"/>
      <c r="J190" s="103"/>
      <c r="K190" s="103"/>
      <c r="L190" s="103"/>
      <c r="N190" s="103"/>
      <c r="O190" s="103"/>
      <c r="Q190" s="16"/>
      <c r="R190" s="16"/>
      <c r="S190" s="16"/>
      <c r="T190" s="103"/>
      <c r="U190" s="16"/>
      <c r="V190" s="16"/>
      <c r="W190" s="16"/>
      <c r="X190" s="103"/>
    </row>
    <row r="191" spans="2:24" x14ac:dyDescent="0.25">
      <c r="B191" s="103"/>
      <c r="C191" s="103"/>
      <c r="D191" s="103"/>
      <c r="E191" s="103"/>
      <c r="F191" s="103"/>
      <c r="H191" s="103"/>
      <c r="I191" s="103"/>
      <c r="J191" s="103"/>
      <c r="K191" s="103"/>
      <c r="L191" s="103"/>
      <c r="N191" s="103"/>
      <c r="O191" s="103"/>
      <c r="Q191" s="16"/>
      <c r="R191" s="16"/>
      <c r="S191" s="16"/>
      <c r="T191" s="103"/>
      <c r="U191" s="16"/>
      <c r="V191" s="16"/>
      <c r="W191" s="16"/>
      <c r="X191" s="103"/>
    </row>
    <row r="192" spans="2:24" x14ac:dyDescent="0.25">
      <c r="B192" s="103"/>
      <c r="C192" s="103"/>
      <c r="D192" s="103"/>
      <c r="E192" s="103"/>
      <c r="F192" s="103"/>
      <c r="H192" s="103"/>
      <c r="I192" s="103"/>
      <c r="J192" s="103"/>
      <c r="K192" s="103"/>
      <c r="L192" s="103"/>
      <c r="N192" s="103"/>
      <c r="O192" s="103"/>
      <c r="Q192" s="16"/>
      <c r="R192" s="16"/>
      <c r="S192" s="16"/>
      <c r="T192" s="103"/>
      <c r="U192" s="16"/>
      <c r="V192" s="16"/>
      <c r="W192" s="16"/>
      <c r="X192" s="103"/>
    </row>
    <row r="193" spans="2:24" x14ac:dyDescent="0.25">
      <c r="B193" s="103"/>
      <c r="C193" s="103"/>
      <c r="D193" s="103"/>
      <c r="E193" s="103"/>
      <c r="F193" s="103"/>
      <c r="H193" s="103"/>
      <c r="I193" s="103"/>
      <c r="J193" s="103"/>
      <c r="K193" s="103"/>
      <c r="L193" s="103"/>
      <c r="N193" s="103"/>
      <c r="O193" s="103"/>
      <c r="Q193" s="16"/>
      <c r="R193" s="16"/>
      <c r="S193" s="16"/>
      <c r="T193" s="103"/>
      <c r="U193" s="16"/>
      <c r="V193" s="16"/>
      <c r="W193" s="16"/>
      <c r="X193" s="103"/>
    </row>
    <row r="194" spans="2:24" x14ac:dyDescent="0.25">
      <c r="B194" s="103"/>
      <c r="C194" s="103"/>
      <c r="D194" s="103"/>
      <c r="E194" s="103"/>
      <c r="F194" s="103"/>
      <c r="H194" s="103"/>
      <c r="I194" s="103"/>
      <c r="J194" s="103"/>
      <c r="K194" s="103"/>
      <c r="L194" s="103"/>
      <c r="N194" s="103"/>
      <c r="O194" s="103"/>
      <c r="Q194" s="16"/>
      <c r="R194" s="16"/>
      <c r="S194" s="16"/>
      <c r="T194" s="103"/>
      <c r="U194" s="16"/>
      <c r="V194" s="16"/>
      <c r="W194" s="16"/>
      <c r="X194" s="103"/>
    </row>
    <row r="195" spans="2:24" x14ac:dyDescent="0.25">
      <c r="B195" s="103"/>
      <c r="C195" s="103"/>
      <c r="D195" s="103"/>
      <c r="E195" s="103"/>
      <c r="F195" s="103"/>
      <c r="H195" s="103"/>
      <c r="I195" s="103"/>
      <c r="J195" s="103"/>
      <c r="K195" s="103"/>
      <c r="L195" s="103"/>
      <c r="N195" s="103"/>
      <c r="O195" s="103"/>
      <c r="Q195" s="16"/>
      <c r="R195" s="16"/>
      <c r="S195" s="16"/>
      <c r="T195" s="103"/>
      <c r="U195" s="16"/>
      <c r="V195" s="16"/>
      <c r="W195" s="16"/>
      <c r="X195" s="103"/>
    </row>
    <row r="196" spans="2:24" x14ac:dyDescent="0.25">
      <c r="B196" s="103"/>
      <c r="C196" s="103"/>
      <c r="D196" s="103"/>
      <c r="E196" s="103"/>
      <c r="F196" s="103"/>
      <c r="H196" s="103"/>
      <c r="I196" s="103"/>
      <c r="J196" s="103"/>
      <c r="K196" s="103"/>
      <c r="L196" s="103"/>
      <c r="N196" s="103"/>
      <c r="O196" s="103"/>
      <c r="Q196" s="16"/>
      <c r="R196" s="16"/>
      <c r="S196" s="16"/>
      <c r="T196" s="103"/>
      <c r="U196" s="16"/>
      <c r="V196" s="16"/>
      <c r="W196" s="16"/>
      <c r="X196" s="103"/>
    </row>
    <row r="197" spans="2:24" x14ac:dyDescent="0.25">
      <c r="B197" s="103"/>
      <c r="C197" s="103"/>
      <c r="D197" s="103"/>
      <c r="E197" s="103"/>
      <c r="F197" s="103"/>
      <c r="H197" s="103"/>
      <c r="I197" s="103"/>
      <c r="J197" s="103"/>
      <c r="K197" s="103"/>
      <c r="L197" s="103"/>
      <c r="N197" s="103"/>
      <c r="O197" s="103"/>
      <c r="Q197" s="16"/>
      <c r="R197" s="16"/>
      <c r="S197" s="16"/>
      <c r="T197" s="103"/>
      <c r="U197" s="16"/>
      <c r="V197" s="16"/>
      <c r="W197" s="16"/>
      <c r="X197" s="103"/>
    </row>
    <row r="198" spans="2:24" x14ac:dyDescent="0.25">
      <c r="B198" s="103"/>
      <c r="C198" s="103"/>
      <c r="D198" s="103"/>
      <c r="E198" s="103"/>
      <c r="F198" s="103"/>
      <c r="H198" s="103"/>
      <c r="I198" s="103"/>
      <c r="J198" s="103"/>
      <c r="K198" s="103"/>
      <c r="L198" s="103"/>
      <c r="N198" s="103"/>
      <c r="O198" s="103"/>
      <c r="Q198" s="16"/>
      <c r="R198" s="16"/>
      <c r="S198" s="16"/>
      <c r="T198" s="103"/>
      <c r="U198" s="16"/>
      <c r="V198" s="16"/>
      <c r="W198" s="16"/>
      <c r="X198" s="103"/>
    </row>
    <row r="199" spans="2:24" x14ac:dyDescent="0.25">
      <c r="B199" s="103"/>
      <c r="C199" s="103"/>
      <c r="D199" s="103"/>
      <c r="E199" s="103"/>
      <c r="F199" s="103"/>
      <c r="H199" s="103"/>
      <c r="I199" s="103"/>
      <c r="J199" s="103"/>
      <c r="K199" s="103"/>
      <c r="L199" s="103"/>
      <c r="N199" s="103"/>
      <c r="O199" s="103"/>
      <c r="Q199" s="16"/>
      <c r="R199" s="16"/>
      <c r="S199" s="16"/>
      <c r="T199" s="103"/>
      <c r="U199" s="16"/>
      <c r="V199" s="16"/>
      <c r="W199" s="16"/>
      <c r="X199" s="103"/>
    </row>
    <row r="200" spans="2:24" x14ac:dyDescent="0.25">
      <c r="B200" s="103"/>
      <c r="C200" s="103"/>
      <c r="D200" s="103"/>
      <c r="E200" s="103"/>
      <c r="F200" s="103"/>
      <c r="H200" s="103"/>
      <c r="I200" s="103"/>
      <c r="J200" s="103"/>
      <c r="K200" s="103"/>
      <c r="L200" s="103"/>
      <c r="N200" s="103"/>
      <c r="O200" s="103"/>
      <c r="Q200" s="16"/>
      <c r="R200" s="16"/>
      <c r="S200" s="16"/>
      <c r="T200" s="103"/>
      <c r="U200" s="16"/>
      <c r="V200" s="16"/>
      <c r="W200" s="16"/>
      <c r="X200" s="103"/>
    </row>
    <row r="201" spans="2:24" x14ac:dyDescent="0.25">
      <c r="B201" s="103"/>
      <c r="C201" s="103"/>
      <c r="D201" s="103"/>
      <c r="E201" s="103"/>
      <c r="F201" s="103"/>
      <c r="H201" s="103"/>
      <c r="I201" s="103"/>
      <c r="J201" s="103"/>
      <c r="K201" s="103"/>
      <c r="L201" s="103"/>
      <c r="N201" s="103"/>
      <c r="O201" s="103"/>
      <c r="Q201" s="16"/>
      <c r="R201" s="16"/>
      <c r="S201" s="16"/>
      <c r="T201" s="103"/>
      <c r="U201" s="16"/>
      <c r="V201" s="16"/>
      <c r="W201" s="16"/>
      <c r="X201" s="103"/>
    </row>
    <row r="202" spans="2:24" x14ac:dyDescent="0.25">
      <c r="B202" s="103"/>
      <c r="C202" s="103"/>
      <c r="D202" s="103"/>
      <c r="E202" s="103"/>
      <c r="F202" s="103"/>
      <c r="H202" s="103"/>
      <c r="I202" s="103"/>
      <c r="J202" s="103"/>
      <c r="K202" s="103"/>
      <c r="L202" s="103"/>
      <c r="N202" s="103"/>
      <c r="O202" s="103"/>
      <c r="Q202" s="16"/>
      <c r="R202" s="16"/>
      <c r="S202" s="16"/>
      <c r="T202" s="103"/>
      <c r="U202" s="16"/>
      <c r="V202" s="16"/>
      <c r="W202" s="16"/>
      <c r="X202" s="103"/>
    </row>
    <row r="203" spans="2:24" x14ac:dyDescent="0.25">
      <c r="B203" s="103"/>
      <c r="C203" s="103"/>
      <c r="D203" s="103"/>
      <c r="E203" s="103"/>
      <c r="F203" s="103"/>
      <c r="H203" s="103"/>
      <c r="I203" s="103"/>
      <c r="J203" s="103"/>
      <c r="K203" s="103"/>
      <c r="L203" s="103"/>
      <c r="N203" s="103"/>
      <c r="O203" s="103"/>
      <c r="Q203" s="16"/>
      <c r="R203" s="16"/>
      <c r="S203" s="16"/>
      <c r="T203" s="103"/>
      <c r="U203" s="16"/>
      <c r="V203" s="16"/>
      <c r="W203" s="16"/>
      <c r="X203" s="103"/>
    </row>
    <row r="204" spans="2:24" x14ac:dyDescent="0.25">
      <c r="B204" s="103"/>
      <c r="C204" s="103"/>
      <c r="D204" s="103"/>
      <c r="E204" s="103"/>
      <c r="F204" s="103"/>
      <c r="H204" s="103"/>
      <c r="I204" s="103"/>
      <c r="J204" s="103"/>
      <c r="K204" s="103"/>
      <c r="L204" s="103"/>
      <c r="N204" s="103"/>
      <c r="O204" s="103"/>
      <c r="Q204" s="16"/>
      <c r="R204" s="16"/>
      <c r="S204" s="16"/>
      <c r="T204" s="103"/>
      <c r="U204" s="16"/>
      <c r="V204" s="16"/>
      <c r="W204" s="16"/>
      <c r="X204" s="103"/>
    </row>
    <row r="205" spans="2:24" x14ac:dyDescent="0.25">
      <c r="B205" s="103"/>
      <c r="C205" s="103"/>
      <c r="D205" s="103"/>
      <c r="E205" s="103"/>
      <c r="F205" s="103"/>
      <c r="H205" s="103"/>
      <c r="I205" s="103"/>
      <c r="J205" s="103"/>
      <c r="K205" s="103"/>
      <c r="L205" s="103"/>
      <c r="N205" s="103"/>
      <c r="O205" s="103"/>
      <c r="Q205" s="16"/>
      <c r="R205" s="16"/>
      <c r="S205" s="16"/>
      <c r="T205" s="103"/>
      <c r="U205" s="16"/>
      <c r="V205" s="16"/>
      <c r="W205" s="16"/>
      <c r="X205" s="103"/>
    </row>
    <row r="206" spans="2:24" x14ac:dyDescent="0.25">
      <c r="B206" s="103"/>
      <c r="C206" s="103"/>
      <c r="D206" s="103"/>
      <c r="E206" s="103"/>
      <c r="F206" s="103"/>
      <c r="H206" s="103"/>
      <c r="I206" s="103"/>
      <c r="J206" s="103"/>
      <c r="K206" s="103"/>
      <c r="L206" s="103"/>
      <c r="N206" s="103"/>
      <c r="O206" s="103"/>
      <c r="Q206" s="16"/>
      <c r="R206" s="16"/>
      <c r="S206" s="16"/>
      <c r="T206" s="103"/>
      <c r="U206" s="16"/>
      <c r="V206" s="16"/>
      <c r="W206" s="16"/>
      <c r="X206" s="103"/>
    </row>
    <row r="207" spans="2:24" x14ac:dyDescent="0.25">
      <c r="B207" s="103"/>
      <c r="C207" s="103"/>
      <c r="D207" s="103"/>
      <c r="E207" s="103"/>
      <c r="F207" s="103"/>
      <c r="H207" s="103"/>
      <c r="I207" s="103"/>
      <c r="J207" s="103"/>
      <c r="K207" s="103"/>
      <c r="L207" s="103"/>
      <c r="N207" s="103"/>
      <c r="O207" s="103"/>
      <c r="Q207" s="16"/>
      <c r="R207" s="16"/>
      <c r="S207" s="16"/>
      <c r="T207" s="103"/>
      <c r="U207" s="16"/>
      <c r="V207" s="16"/>
      <c r="W207" s="16"/>
      <c r="X207" s="103"/>
    </row>
    <row r="208" spans="2:24" x14ac:dyDescent="0.25">
      <c r="B208" s="103"/>
      <c r="C208" s="103"/>
      <c r="D208" s="103"/>
      <c r="E208" s="103"/>
      <c r="F208" s="103"/>
      <c r="H208" s="103"/>
      <c r="I208" s="103"/>
      <c r="J208" s="103"/>
      <c r="K208" s="103"/>
      <c r="L208" s="103"/>
      <c r="N208" s="103"/>
      <c r="O208" s="103"/>
      <c r="Q208" s="16"/>
      <c r="R208" s="16"/>
      <c r="S208" s="16"/>
      <c r="T208" s="103"/>
      <c r="U208" s="16"/>
      <c r="V208" s="16"/>
      <c r="W208" s="16"/>
      <c r="X208" s="103"/>
    </row>
    <row r="209" spans="2:24" x14ac:dyDescent="0.25">
      <c r="B209" s="103"/>
      <c r="C209" s="103"/>
      <c r="D209" s="103"/>
      <c r="E209" s="103"/>
      <c r="F209" s="103"/>
      <c r="H209" s="103"/>
      <c r="I209" s="103"/>
      <c r="J209" s="103"/>
      <c r="K209" s="103"/>
      <c r="L209" s="103"/>
      <c r="N209" s="103"/>
      <c r="O209" s="103"/>
      <c r="Q209" s="16"/>
      <c r="R209" s="16"/>
      <c r="S209" s="16"/>
      <c r="T209" s="103"/>
      <c r="U209" s="16"/>
      <c r="V209" s="16"/>
      <c r="W209" s="16"/>
      <c r="X209" s="103"/>
    </row>
    <row r="210" spans="2:24" x14ac:dyDescent="0.25">
      <c r="B210" s="103"/>
      <c r="C210" s="103"/>
      <c r="D210" s="103"/>
      <c r="E210" s="103"/>
      <c r="F210" s="103"/>
      <c r="H210" s="103"/>
      <c r="I210" s="103"/>
      <c r="J210" s="103"/>
      <c r="K210" s="103"/>
      <c r="L210" s="103"/>
      <c r="N210" s="103"/>
      <c r="O210" s="103"/>
      <c r="Q210" s="16"/>
      <c r="R210" s="16"/>
      <c r="S210" s="16"/>
      <c r="T210" s="103"/>
      <c r="U210" s="16"/>
      <c r="V210" s="16"/>
      <c r="W210" s="16"/>
      <c r="X210" s="103"/>
    </row>
    <row r="211" spans="2:24" x14ac:dyDescent="0.25">
      <c r="B211" s="103"/>
      <c r="C211" s="103"/>
      <c r="D211" s="103"/>
      <c r="E211" s="103"/>
      <c r="F211" s="103"/>
      <c r="H211" s="103"/>
      <c r="I211" s="103"/>
      <c r="J211" s="103"/>
      <c r="K211" s="103"/>
      <c r="L211" s="103"/>
      <c r="N211" s="103"/>
      <c r="O211" s="103"/>
      <c r="Q211" s="16"/>
      <c r="R211" s="16"/>
      <c r="S211" s="16"/>
      <c r="T211" s="103"/>
      <c r="U211" s="16"/>
      <c r="V211" s="16"/>
      <c r="W211" s="16"/>
      <c r="X211" s="103"/>
    </row>
    <row r="212" spans="2:24" x14ac:dyDescent="0.25">
      <c r="B212" s="103"/>
      <c r="C212" s="103"/>
      <c r="D212" s="103"/>
      <c r="E212" s="103"/>
      <c r="F212" s="103"/>
      <c r="H212" s="103"/>
      <c r="I212" s="103"/>
      <c r="J212" s="103"/>
      <c r="K212" s="103"/>
      <c r="L212" s="103"/>
      <c r="N212" s="103"/>
      <c r="O212" s="103"/>
      <c r="Q212" s="16"/>
      <c r="R212" s="16"/>
      <c r="S212" s="16"/>
      <c r="T212" s="103"/>
      <c r="U212" s="16"/>
      <c r="V212" s="16"/>
      <c r="W212" s="16"/>
      <c r="X212" s="103"/>
    </row>
    <row r="213" spans="2:24" x14ac:dyDescent="0.25">
      <c r="B213" s="103"/>
      <c r="C213" s="103"/>
      <c r="D213" s="103"/>
      <c r="E213" s="103"/>
      <c r="F213" s="103"/>
      <c r="H213" s="103"/>
      <c r="I213" s="103"/>
      <c r="J213" s="103"/>
      <c r="K213" s="103"/>
      <c r="L213" s="103"/>
      <c r="N213" s="103"/>
      <c r="O213" s="103"/>
      <c r="Q213" s="16"/>
      <c r="R213" s="16"/>
      <c r="S213" s="16"/>
      <c r="T213" s="103"/>
      <c r="U213" s="16"/>
      <c r="V213" s="16"/>
      <c r="W213" s="16"/>
      <c r="X213" s="103"/>
    </row>
    <row r="214" spans="2:24" x14ac:dyDescent="0.25">
      <c r="B214" s="103"/>
      <c r="C214" s="103"/>
      <c r="D214" s="103"/>
      <c r="E214" s="103"/>
      <c r="F214" s="103"/>
      <c r="H214" s="103"/>
      <c r="I214" s="103"/>
      <c r="J214" s="103"/>
      <c r="K214" s="103"/>
      <c r="L214" s="103"/>
      <c r="N214" s="103"/>
      <c r="O214" s="103"/>
      <c r="Q214" s="16"/>
      <c r="R214" s="16"/>
      <c r="S214" s="16"/>
      <c r="T214" s="103"/>
      <c r="U214" s="16"/>
      <c r="V214" s="16"/>
      <c r="W214" s="16"/>
      <c r="X214" s="103"/>
    </row>
    <row r="215" spans="2:24" x14ac:dyDescent="0.25">
      <c r="B215" s="103"/>
      <c r="C215" s="103"/>
      <c r="D215" s="103"/>
      <c r="E215" s="103"/>
      <c r="F215" s="103"/>
      <c r="H215" s="103"/>
      <c r="I215" s="103"/>
      <c r="J215" s="103"/>
      <c r="K215" s="103"/>
      <c r="L215" s="103"/>
      <c r="N215" s="103"/>
      <c r="O215" s="103"/>
      <c r="Q215" s="16"/>
      <c r="R215" s="16"/>
      <c r="S215" s="16"/>
      <c r="T215" s="103"/>
      <c r="U215" s="16"/>
      <c r="V215" s="16"/>
      <c r="W215" s="16"/>
      <c r="X215" s="103"/>
    </row>
    <row r="216" spans="2:24" x14ac:dyDescent="0.25">
      <c r="B216" s="103"/>
      <c r="C216" s="103"/>
      <c r="D216" s="103"/>
      <c r="E216" s="103"/>
      <c r="F216" s="103"/>
      <c r="H216" s="103"/>
      <c r="I216" s="103"/>
      <c r="J216" s="103"/>
      <c r="K216" s="103"/>
      <c r="L216" s="103"/>
      <c r="N216" s="103"/>
      <c r="O216" s="103"/>
      <c r="Q216" s="16"/>
      <c r="R216" s="16"/>
      <c r="S216" s="16"/>
      <c r="T216" s="103"/>
      <c r="U216" s="16"/>
      <c r="V216" s="16"/>
      <c r="W216" s="16"/>
      <c r="X216" s="103"/>
    </row>
    <row r="217" spans="2:24" x14ac:dyDescent="0.25">
      <c r="B217" s="103"/>
      <c r="C217" s="103"/>
      <c r="D217" s="103"/>
      <c r="E217" s="103"/>
      <c r="F217" s="103"/>
      <c r="H217" s="103"/>
      <c r="I217" s="103"/>
      <c r="J217" s="103"/>
      <c r="K217" s="103"/>
      <c r="L217" s="103"/>
      <c r="N217" s="103"/>
      <c r="O217" s="103"/>
      <c r="Q217" s="16"/>
      <c r="R217" s="16"/>
      <c r="S217" s="16"/>
      <c r="T217" s="103"/>
      <c r="U217" s="16"/>
      <c r="V217" s="16"/>
      <c r="W217" s="16"/>
      <c r="X217" s="103"/>
    </row>
    <row r="218" spans="2:24" x14ac:dyDescent="0.25">
      <c r="B218" s="103"/>
      <c r="C218" s="103"/>
      <c r="D218" s="103"/>
      <c r="E218" s="103"/>
      <c r="F218" s="103"/>
      <c r="H218" s="103"/>
      <c r="I218" s="103"/>
      <c r="J218" s="103"/>
      <c r="K218" s="103"/>
      <c r="L218" s="103"/>
      <c r="N218" s="103"/>
      <c r="O218" s="103"/>
      <c r="Q218" s="16"/>
      <c r="R218" s="16"/>
      <c r="S218" s="16"/>
      <c r="T218" s="103"/>
      <c r="U218" s="16"/>
      <c r="V218" s="16"/>
      <c r="W218" s="16"/>
      <c r="X218" s="103"/>
    </row>
    <row r="219" spans="2:24" x14ac:dyDescent="0.25">
      <c r="B219" s="103"/>
      <c r="C219" s="103"/>
      <c r="D219" s="103"/>
      <c r="E219" s="103"/>
      <c r="F219" s="103"/>
      <c r="H219" s="103"/>
      <c r="I219" s="103"/>
      <c r="J219" s="103"/>
      <c r="K219" s="103"/>
      <c r="L219" s="103"/>
      <c r="N219" s="103"/>
      <c r="O219" s="103"/>
      <c r="Q219" s="16"/>
      <c r="R219" s="16"/>
      <c r="S219" s="16"/>
      <c r="T219" s="103"/>
      <c r="U219" s="16"/>
      <c r="V219" s="16"/>
      <c r="W219" s="16"/>
      <c r="X219" s="103"/>
    </row>
    <row r="220" spans="2:24" x14ac:dyDescent="0.25">
      <c r="B220" s="103"/>
      <c r="C220" s="103"/>
      <c r="D220" s="103"/>
      <c r="E220" s="103"/>
      <c r="F220" s="103"/>
      <c r="H220" s="103"/>
      <c r="I220" s="103"/>
      <c r="J220" s="103"/>
      <c r="K220" s="103"/>
      <c r="L220" s="103"/>
      <c r="N220" s="103"/>
      <c r="O220" s="103"/>
      <c r="Q220" s="16"/>
      <c r="R220" s="16"/>
      <c r="S220" s="16"/>
      <c r="T220" s="103"/>
      <c r="U220" s="16"/>
      <c r="V220" s="16"/>
      <c r="W220" s="16"/>
      <c r="X220" s="103"/>
    </row>
    <row r="221" spans="2:24" x14ac:dyDescent="0.25">
      <c r="B221" s="103"/>
      <c r="C221" s="103"/>
      <c r="D221" s="103"/>
      <c r="E221" s="103"/>
      <c r="F221" s="103"/>
      <c r="H221" s="103"/>
      <c r="I221" s="103"/>
      <c r="J221" s="103"/>
      <c r="K221" s="103"/>
      <c r="L221" s="103"/>
      <c r="N221" s="103"/>
      <c r="O221" s="103"/>
      <c r="Q221" s="16"/>
      <c r="R221" s="16"/>
      <c r="S221" s="16"/>
      <c r="T221" s="103"/>
      <c r="U221" s="16"/>
      <c r="V221" s="16"/>
      <c r="W221" s="16"/>
      <c r="X221" s="103"/>
    </row>
    <row r="222" spans="2:24" x14ac:dyDescent="0.25">
      <c r="B222" s="103"/>
      <c r="C222" s="103"/>
      <c r="D222" s="103"/>
      <c r="E222" s="103"/>
      <c r="F222" s="103"/>
      <c r="H222" s="103"/>
      <c r="I222" s="103"/>
      <c r="J222" s="103"/>
      <c r="K222" s="103"/>
      <c r="L222" s="103"/>
      <c r="N222" s="103"/>
      <c r="O222" s="103"/>
      <c r="Q222" s="16"/>
      <c r="R222" s="16"/>
      <c r="S222" s="16"/>
      <c r="T222" s="103"/>
      <c r="U222" s="16"/>
      <c r="V222" s="16"/>
      <c r="W222" s="16"/>
      <c r="X222" s="103"/>
    </row>
    <row r="223" spans="2:24" x14ac:dyDescent="0.25">
      <c r="B223" s="103"/>
      <c r="C223" s="103"/>
      <c r="D223" s="103"/>
      <c r="E223" s="103"/>
      <c r="F223" s="103"/>
      <c r="H223" s="103"/>
      <c r="I223" s="103"/>
      <c r="J223" s="103"/>
      <c r="K223" s="103"/>
      <c r="L223" s="103"/>
      <c r="N223" s="103"/>
      <c r="O223" s="103"/>
      <c r="Q223" s="16"/>
      <c r="R223" s="16"/>
      <c r="S223" s="16"/>
      <c r="T223" s="103"/>
      <c r="U223" s="16"/>
      <c r="V223" s="16"/>
      <c r="W223" s="16"/>
      <c r="X223" s="103"/>
    </row>
    <row r="224" spans="2:24" x14ac:dyDescent="0.25">
      <c r="B224" s="103"/>
      <c r="C224" s="103"/>
      <c r="D224" s="103"/>
      <c r="E224" s="103"/>
      <c r="F224" s="103"/>
      <c r="H224" s="103"/>
      <c r="I224" s="103"/>
      <c r="J224" s="103"/>
      <c r="K224" s="103"/>
      <c r="L224" s="103"/>
      <c r="N224" s="103"/>
      <c r="O224" s="103"/>
      <c r="Q224" s="16"/>
      <c r="R224" s="16"/>
      <c r="S224" s="16"/>
      <c r="T224" s="103"/>
      <c r="U224" s="16"/>
      <c r="V224" s="16"/>
      <c r="W224" s="16"/>
      <c r="X224" s="103"/>
    </row>
    <row r="225" spans="2:24" x14ac:dyDescent="0.25">
      <c r="B225" s="103"/>
      <c r="C225" s="103"/>
      <c r="D225" s="103"/>
      <c r="E225" s="103"/>
      <c r="F225" s="103"/>
      <c r="H225" s="103"/>
      <c r="I225" s="103"/>
      <c r="J225" s="103"/>
      <c r="K225" s="103"/>
      <c r="L225" s="103"/>
      <c r="N225" s="103"/>
      <c r="O225" s="103"/>
      <c r="Q225" s="16"/>
      <c r="R225" s="16"/>
      <c r="S225" s="16"/>
      <c r="T225" s="103"/>
      <c r="U225" s="16"/>
      <c r="V225" s="16"/>
      <c r="W225" s="16"/>
      <c r="X225" s="103"/>
    </row>
    <row r="226" spans="2:24" x14ac:dyDescent="0.25">
      <c r="B226" s="103"/>
      <c r="C226" s="103"/>
      <c r="D226" s="103"/>
      <c r="E226" s="103"/>
      <c r="F226" s="103"/>
      <c r="H226" s="103"/>
      <c r="I226" s="103"/>
      <c r="J226" s="103"/>
      <c r="K226" s="103"/>
      <c r="L226" s="103"/>
      <c r="N226" s="103"/>
      <c r="O226" s="103"/>
      <c r="Q226" s="16"/>
      <c r="R226" s="16"/>
      <c r="S226" s="16"/>
      <c r="T226" s="103"/>
      <c r="U226" s="16"/>
      <c r="V226" s="16"/>
      <c r="W226" s="16"/>
      <c r="X226" s="103"/>
    </row>
    <row r="227" spans="2:24" x14ac:dyDescent="0.25">
      <c r="B227" s="103"/>
      <c r="C227" s="103"/>
      <c r="D227" s="103"/>
      <c r="E227" s="103"/>
      <c r="F227" s="103"/>
      <c r="H227" s="103"/>
      <c r="I227" s="103"/>
      <c r="J227" s="103"/>
      <c r="K227" s="103"/>
      <c r="L227" s="103"/>
      <c r="N227" s="103"/>
      <c r="O227" s="103"/>
      <c r="Q227" s="16"/>
      <c r="R227" s="16"/>
      <c r="S227" s="16"/>
      <c r="T227" s="103"/>
      <c r="U227" s="16"/>
      <c r="V227" s="16"/>
      <c r="W227" s="16"/>
      <c r="X227" s="103"/>
    </row>
    <row r="228" spans="2:24" x14ac:dyDescent="0.25">
      <c r="B228" s="103"/>
      <c r="C228" s="103"/>
      <c r="D228" s="103"/>
      <c r="E228" s="103"/>
      <c r="F228" s="103"/>
      <c r="H228" s="103"/>
      <c r="I228" s="103"/>
      <c r="J228" s="103"/>
      <c r="K228" s="103"/>
      <c r="L228" s="103"/>
      <c r="N228" s="103"/>
      <c r="O228" s="103"/>
      <c r="Q228" s="16"/>
      <c r="R228" s="16"/>
      <c r="S228" s="16"/>
      <c r="T228" s="103"/>
      <c r="U228" s="16"/>
      <c r="V228" s="16"/>
      <c r="W228" s="16"/>
      <c r="X228" s="103"/>
    </row>
    <row r="229" spans="2:24" x14ac:dyDescent="0.25">
      <c r="B229" s="103"/>
      <c r="C229" s="103"/>
      <c r="D229" s="103"/>
      <c r="E229" s="103"/>
      <c r="F229" s="103"/>
      <c r="H229" s="103"/>
      <c r="I229" s="103"/>
      <c r="J229" s="103"/>
      <c r="K229" s="103"/>
      <c r="L229" s="103"/>
      <c r="N229" s="103"/>
      <c r="O229" s="103"/>
      <c r="Q229" s="16"/>
      <c r="R229" s="16"/>
      <c r="S229" s="16"/>
      <c r="T229" s="103"/>
      <c r="U229" s="16"/>
      <c r="V229" s="16"/>
      <c r="W229" s="16"/>
      <c r="X229" s="103"/>
    </row>
    <row r="230" spans="2:24" x14ac:dyDescent="0.25">
      <c r="B230" s="103"/>
      <c r="C230" s="103"/>
      <c r="D230" s="103"/>
      <c r="E230" s="103"/>
      <c r="F230" s="103"/>
      <c r="H230" s="103"/>
      <c r="I230" s="103"/>
      <c r="J230" s="103"/>
      <c r="K230" s="103"/>
      <c r="L230" s="103"/>
      <c r="N230" s="103"/>
      <c r="O230" s="103"/>
      <c r="Q230" s="16"/>
      <c r="R230" s="16"/>
      <c r="S230" s="16"/>
      <c r="T230" s="103"/>
      <c r="U230" s="16"/>
      <c r="V230" s="16"/>
      <c r="W230" s="16"/>
      <c r="X230" s="103"/>
    </row>
    <row r="231" spans="2:24" x14ac:dyDescent="0.25">
      <c r="B231" s="103"/>
      <c r="C231" s="103"/>
      <c r="D231" s="103"/>
      <c r="E231" s="103"/>
      <c r="F231" s="103"/>
      <c r="H231" s="103"/>
      <c r="I231" s="103"/>
      <c r="J231" s="103"/>
      <c r="K231" s="103"/>
      <c r="L231" s="103"/>
      <c r="N231" s="103"/>
      <c r="O231" s="103"/>
      <c r="Q231" s="16"/>
      <c r="R231" s="16"/>
      <c r="S231" s="16"/>
      <c r="T231" s="103"/>
      <c r="U231" s="16"/>
      <c r="V231" s="16"/>
      <c r="W231" s="16"/>
      <c r="X231" s="103"/>
    </row>
    <row r="232" spans="2:24" x14ac:dyDescent="0.25">
      <c r="B232" s="103"/>
      <c r="C232" s="103"/>
      <c r="D232" s="103"/>
      <c r="E232" s="103"/>
      <c r="F232" s="103"/>
      <c r="H232" s="103"/>
      <c r="I232" s="103"/>
      <c r="J232" s="103"/>
      <c r="K232" s="103"/>
      <c r="L232" s="103"/>
      <c r="N232" s="103"/>
      <c r="O232" s="103"/>
      <c r="Q232" s="16"/>
      <c r="R232" s="16"/>
      <c r="S232" s="16"/>
      <c r="T232" s="103"/>
      <c r="U232" s="16"/>
      <c r="V232" s="16"/>
      <c r="W232" s="16"/>
      <c r="X232" s="103"/>
    </row>
    <row r="233" spans="2:24" x14ac:dyDescent="0.25">
      <c r="B233" s="103"/>
      <c r="C233" s="103"/>
      <c r="D233" s="103"/>
      <c r="E233" s="103"/>
      <c r="F233" s="103"/>
      <c r="H233" s="103"/>
      <c r="I233" s="103"/>
      <c r="J233" s="103"/>
      <c r="K233" s="103"/>
      <c r="L233" s="103"/>
      <c r="N233" s="103"/>
      <c r="O233" s="103"/>
      <c r="Q233" s="16"/>
      <c r="R233" s="16"/>
      <c r="S233" s="16"/>
      <c r="T233" s="103"/>
      <c r="U233" s="16"/>
      <c r="V233" s="16"/>
      <c r="W233" s="16"/>
      <c r="X233" s="103"/>
    </row>
    <row r="234" spans="2:24" x14ac:dyDescent="0.25">
      <c r="B234" s="103"/>
      <c r="C234" s="103"/>
      <c r="D234" s="103"/>
      <c r="E234" s="103"/>
      <c r="F234" s="103"/>
      <c r="H234" s="103"/>
      <c r="I234" s="103"/>
      <c r="J234" s="103"/>
      <c r="K234" s="103"/>
      <c r="L234" s="103"/>
      <c r="N234" s="103"/>
      <c r="O234" s="103"/>
      <c r="Q234" s="16"/>
      <c r="R234" s="16"/>
      <c r="S234" s="16"/>
      <c r="T234" s="103"/>
      <c r="U234" s="16"/>
      <c r="V234" s="16"/>
      <c r="W234" s="16"/>
      <c r="X234" s="103"/>
    </row>
    <row r="235" spans="2:24" x14ac:dyDescent="0.25">
      <c r="B235" s="103"/>
      <c r="C235" s="103"/>
      <c r="D235" s="103"/>
      <c r="E235" s="103"/>
      <c r="F235" s="103"/>
      <c r="H235" s="103"/>
      <c r="I235" s="103"/>
      <c r="J235" s="103"/>
      <c r="K235" s="103"/>
      <c r="L235" s="103"/>
      <c r="N235" s="103"/>
      <c r="O235" s="103"/>
      <c r="Q235" s="16"/>
      <c r="R235" s="16"/>
      <c r="S235" s="16"/>
      <c r="T235" s="103"/>
      <c r="U235" s="16"/>
      <c r="V235" s="16"/>
      <c r="W235" s="16"/>
      <c r="X235" s="103"/>
    </row>
    <row r="236" spans="2:24" x14ac:dyDescent="0.25">
      <c r="B236" s="103"/>
      <c r="C236" s="103"/>
      <c r="D236" s="103"/>
      <c r="E236" s="103"/>
      <c r="F236" s="103"/>
      <c r="H236" s="103"/>
      <c r="I236" s="103"/>
      <c r="J236" s="103"/>
      <c r="K236" s="103"/>
      <c r="L236" s="103"/>
      <c r="N236" s="103"/>
      <c r="O236" s="103"/>
      <c r="Q236" s="16"/>
      <c r="R236" s="16"/>
      <c r="S236" s="16"/>
      <c r="T236" s="103"/>
      <c r="U236" s="16"/>
      <c r="V236" s="16"/>
      <c r="W236" s="16"/>
      <c r="X236" s="103"/>
    </row>
    <row r="237" spans="2:24" x14ac:dyDescent="0.25">
      <c r="B237" s="103"/>
      <c r="C237" s="103"/>
      <c r="D237" s="103"/>
      <c r="E237" s="103"/>
      <c r="F237" s="103"/>
      <c r="H237" s="103"/>
      <c r="I237" s="103"/>
      <c r="J237" s="103"/>
      <c r="K237" s="103"/>
      <c r="L237" s="103"/>
      <c r="N237" s="103"/>
      <c r="O237" s="103"/>
      <c r="Q237" s="16"/>
      <c r="R237" s="16"/>
      <c r="S237" s="16"/>
      <c r="T237" s="103"/>
      <c r="U237" s="16"/>
      <c r="V237" s="16"/>
      <c r="W237" s="16"/>
      <c r="X237" s="103"/>
    </row>
    <row r="238" spans="2:24" x14ac:dyDescent="0.25">
      <c r="B238" s="103"/>
      <c r="C238" s="103"/>
      <c r="D238" s="103"/>
      <c r="E238" s="103"/>
      <c r="F238" s="103"/>
      <c r="H238" s="103"/>
      <c r="I238" s="103"/>
      <c r="J238" s="103"/>
      <c r="K238" s="103"/>
      <c r="L238" s="103"/>
      <c r="N238" s="103"/>
      <c r="O238" s="103"/>
      <c r="Q238" s="16"/>
      <c r="R238" s="16"/>
      <c r="S238" s="16"/>
      <c r="T238" s="103"/>
      <c r="U238" s="16"/>
      <c r="V238" s="16"/>
      <c r="W238" s="16"/>
      <c r="X238" s="103"/>
    </row>
    <row r="239" spans="2:24" x14ac:dyDescent="0.25">
      <c r="B239" s="103"/>
      <c r="C239" s="103"/>
      <c r="D239" s="103"/>
      <c r="E239" s="103"/>
      <c r="F239" s="103"/>
      <c r="H239" s="103"/>
      <c r="I239" s="103"/>
      <c r="J239" s="103"/>
      <c r="K239" s="103"/>
      <c r="L239" s="103"/>
      <c r="N239" s="103"/>
      <c r="O239" s="103"/>
      <c r="Q239" s="16"/>
      <c r="R239" s="16"/>
      <c r="S239" s="16"/>
      <c r="T239" s="103"/>
      <c r="U239" s="16"/>
      <c r="V239" s="16"/>
      <c r="W239" s="16"/>
      <c r="X239" s="103"/>
    </row>
    <row r="240" spans="2:24" x14ac:dyDescent="0.25">
      <c r="B240" s="103"/>
      <c r="C240" s="103"/>
      <c r="D240" s="103"/>
      <c r="E240" s="103"/>
      <c r="F240" s="103"/>
      <c r="H240" s="103"/>
      <c r="I240" s="103"/>
      <c r="J240" s="103"/>
      <c r="K240" s="103"/>
      <c r="L240" s="103"/>
      <c r="N240" s="103"/>
      <c r="O240" s="103"/>
      <c r="Q240" s="16"/>
      <c r="R240" s="16"/>
      <c r="S240" s="16"/>
      <c r="T240" s="103"/>
      <c r="U240" s="16"/>
      <c r="V240" s="16"/>
      <c r="W240" s="16"/>
      <c r="X240" s="103"/>
    </row>
    <row r="241" spans="2:24" x14ac:dyDescent="0.25">
      <c r="B241" s="103"/>
      <c r="C241" s="103"/>
      <c r="D241" s="103"/>
      <c r="E241" s="103"/>
      <c r="F241" s="103"/>
      <c r="H241" s="103"/>
      <c r="I241" s="103"/>
      <c r="J241" s="103"/>
      <c r="K241" s="103"/>
      <c r="L241" s="103"/>
      <c r="N241" s="103"/>
      <c r="O241" s="103"/>
      <c r="Q241" s="16"/>
      <c r="R241" s="16"/>
      <c r="S241" s="16"/>
      <c r="T241" s="103"/>
      <c r="U241" s="16"/>
      <c r="V241" s="16"/>
      <c r="W241" s="16"/>
      <c r="X241" s="103"/>
    </row>
    <row r="242" spans="2:24" x14ac:dyDescent="0.25">
      <c r="B242" s="103"/>
      <c r="C242" s="103"/>
      <c r="D242" s="103"/>
      <c r="E242" s="103"/>
      <c r="F242" s="103"/>
      <c r="H242" s="103"/>
      <c r="I242" s="103"/>
      <c r="J242" s="103"/>
      <c r="K242" s="103"/>
      <c r="L242" s="103"/>
      <c r="N242" s="103"/>
      <c r="O242" s="103"/>
      <c r="Q242" s="16"/>
      <c r="R242" s="16"/>
      <c r="S242" s="16"/>
      <c r="T242" s="103"/>
      <c r="U242" s="16"/>
      <c r="V242" s="16"/>
      <c r="W242" s="16"/>
      <c r="X242" s="103"/>
    </row>
    <row r="243" spans="2:24" x14ac:dyDescent="0.25">
      <c r="B243" s="103"/>
      <c r="C243" s="103"/>
      <c r="D243" s="103"/>
      <c r="E243" s="103"/>
      <c r="F243" s="103"/>
      <c r="H243" s="103"/>
      <c r="I243" s="103"/>
      <c r="J243" s="103"/>
      <c r="K243" s="103"/>
      <c r="L243" s="103"/>
      <c r="N243" s="103"/>
      <c r="O243" s="103"/>
      <c r="Q243" s="16"/>
      <c r="R243" s="16"/>
      <c r="S243" s="16"/>
      <c r="T243" s="103"/>
      <c r="U243" s="16"/>
      <c r="V243" s="16"/>
      <c r="W243" s="16"/>
      <c r="X243" s="103"/>
    </row>
    <row r="244" spans="2:24" x14ac:dyDescent="0.25">
      <c r="B244" s="103"/>
      <c r="C244" s="103"/>
      <c r="D244" s="103"/>
      <c r="E244" s="103"/>
      <c r="F244" s="103"/>
      <c r="H244" s="103"/>
      <c r="I244" s="103"/>
      <c r="J244" s="103"/>
      <c r="K244" s="103"/>
      <c r="L244" s="103"/>
      <c r="N244" s="103"/>
      <c r="O244" s="103"/>
      <c r="Q244" s="16"/>
      <c r="R244" s="16"/>
      <c r="S244" s="16"/>
      <c r="T244" s="103"/>
      <c r="U244" s="16"/>
      <c r="V244" s="16"/>
      <c r="W244" s="16"/>
      <c r="X244" s="103"/>
    </row>
    <row r="245" spans="2:24" x14ac:dyDescent="0.25">
      <c r="B245" s="103"/>
      <c r="C245" s="103"/>
      <c r="D245" s="103"/>
      <c r="E245" s="103"/>
      <c r="F245" s="103"/>
      <c r="H245" s="103"/>
      <c r="I245" s="103"/>
      <c r="J245" s="103"/>
      <c r="K245" s="103"/>
      <c r="L245" s="103"/>
      <c r="N245" s="103"/>
      <c r="O245" s="103"/>
      <c r="Q245" s="16"/>
      <c r="R245" s="16"/>
      <c r="S245" s="16"/>
      <c r="T245" s="103"/>
      <c r="U245" s="16"/>
      <c r="V245" s="16"/>
      <c r="W245" s="16"/>
      <c r="X245" s="103"/>
    </row>
    <row r="246" spans="2:24" x14ac:dyDescent="0.25">
      <c r="B246" s="103"/>
      <c r="C246" s="103"/>
      <c r="D246" s="103"/>
      <c r="E246" s="103"/>
      <c r="F246" s="103"/>
      <c r="H246" s="103"/>
      <c r="I246" s="103"/>
      <c r="J246" s="103"/>
      <c r="K246" s="103"/>
      <c r="L246" s="103"/>
      <c r="N246" s="103"/>
      <c r="O246" s="103"/>
      <c r="Q246" s="16"/>
      <c r="R246" s="16"/>
      <c r="S246" s="16"/>
      <c r="T246" s="103"/>
      <c r="U246" s="16"/>
      <c r="V246" s="16"/>
      <c r="W246" s="16"/>
      <c r="X246" s="103"/>
    </row>
    <row r="247" spans="2:24" x14ac:dyDescent="0.25">
      <c r="B247" s="103"/>
      <c r="C247" s="103"/>
      <c r="D247" s="103"/>
      <c r="E247" s="103"/>
      <c r="F247" s="103"/>
      <c r="H247" s="103"/>
      <c r="I247" s="103"/>
      <c r="J247" s="103"/>
      <c r="K247" s="103"/>
      <c r="L247" s="103"/>
      <c r="N247" s="103"/>
      <c r="O247" s="103"/>
      <c r="Q247" s="16"/>
      <c r="R247" s="16"/>
      <c r="S247" s="16"/>
      <c r="T247" s="103"/>
      <c r="U247" s="16"/>
      <c r="V247" s="16"/>
      <c r="W247" s="16"/>
      <c r="X247" s="103"/>
    </row>
    <row r="248" spans="2:24" x14ac:dyDescent="0.25">
      <c r="B248" s="103"/>
      <c r="C248" s="103"/>
      <c r="D248" s="103"/>
      <c r="E248" s="103"/>
      <c r="F248" s="103"/>
      <c r="H248" s="103"/>
      <c r="I248" s="103"/>
      <c r="J248" s="103"/>
      <c r="K248" s="103"/>
      <c r="L248" s="103"/>
      <c r="N248" s="103"/>
      <c r="O248" s="103"/>
      <c r="Q248" s="16"/>
      <c r="R248" s="16"/>
      <c r="S248" s="16"/>
      <c r="T248" s="103"/>
      <c r="U248" s="16"/>
      <c r="V248" s="16"/>
      <c r="W248" s="16"/>
      <c r="X248" s="103"/>
    </row>
    <row r="249" spans="2:24" x14ac:dyDescent="0.25">
      <c r="B249" s="103"/>
      <c r="C249" s="103"/>
      <c r="D249" s="103"/>
      <c r="E249" s="103"/>
      <c r="F249" s="103"/>
      <c r="H249" s="103"/>
      <c r="I249" s="103"/>
      <c r="J249" s="103"/>
      <c r="K249" s="103"/>
      <c r="L249" s="103"/>
      <c r="N249" s="103"/>
      <c r="O249" s="103"/>
      <c r="Q249" s="16"/>
      <c r="R249" s="16"/>
      <c r="S249" s="16"/>
      <c r="T249" s="103"/>
      <c r="U249" s="16"/>
      <c r="V249" s="16"/>
      <c r="W249" s="16"/>
      <c r="X249" s="103"/>
    </row>
    <row r="250" spans="2:24" x14ac:dyDescent="0.25">
      <c r="B250" s="103"/>
      <c r="C250" s="103"/>
      <c r="D250" s="103"/>
      <c r="E250" s="103"/>
      <c r="F250" s="103"/>
      <c r="H250" s="103"/>
      <c r="I250" s="103"/>
      <c r="J250" s="103"/>
      <c r="K250" s="103"/>
      <c r="L250" s="103"/>
      <c r="N250" s="103"/>
      <c r="O250" s="103"/>
      <c r="Q250" s="16"/>
      <c r="R250" s="16"/>
      <c r="S250" s="16"/>
      <c r="T250" s="103"/>
      <c r="U250" s="16"/>
      <c r="V250" s="16"/>
      <c r="W250" s="16"/>
      <c r="X250" s="103"/>
    </row>
    <row r="251" spans="2:24" x14ac:dyDescent="0.25">
      <c r="B251" s="103"/>
      <c r="C251" s="103"/>
      <c r="D251" s="103"/>
      <c r="E251" s="103"/>
      <c r="F251" s="103"/>
      <c r="H251" s="103"/>
      <c r="I251" s="103"/>
      <c r="J251" s="103"/>
      <c r="K251" s="103"/>
      <c r="L251" s="103"/>
      <c r="N251" s="103"/>
      <c r="O251" s="103"/>
      <c r="Q251" s="16"/>
      <c r="R251" s="16"/>
      <c r="S251" s="16"/>
      <c r="T251" s="103"/>
      <c r="U251" s="16"/>
      <c r="V251" s="16"/>
      <c r="W251" s="16"/>
      <c r="X251" s="103"/>
    </row>
    <row r="252" spans="2:24" x14ac:dyDescent="0.25">
      <c r="B252" s="103"/>
      <c r="C252" s="103"/>
      <c r="D252" s="103"/>
      <c r="E252" s="103"/>
      <c r="F252" s="103"/>
      <c r="H252" s="103"/>
      <c r="I252" s="103"/>
      <c r="J252" s="103"/>
      <c r="K252" s="103"/>
      <c r="L252" s="103"/>
      <c r="N252" s="103"/>
      <c r="O252" s="103"/>
      <c r="Q252" s="16"/>
      <c r="R252" s="16"/>
      <c r="S252" s="16"/>
      <c r="T252" s="103"/>
      <c r="U252" s="16"/>
      <c r="V252" s="16"/>
      <c r="W252" s="16"/>
      <c r="X252" s="103"/>
    </row>
    <row r="253" spans="2:24" x14ac:dyDescent="0.25">
      <c r="B253" s="103"/>
      <c r="C253" s="103"/>
      <c r="D253" s="103"/>
      <c r="E253" s="103"/>
      <c r="F253" s="103"/>
      <c r="H253" s="103"/>
      <c r="I253" s="103"/>
      <c r="J253" s="103"/>
      <c r="K253" s="103"/>
      <c r="L253" s="103"/>
      <c r="N253" s="103"/>
      <c r="O253" s="103"/>
      <c r="Q253" s="16"/>
      <c r="R253" s="16"/>
      <c r="S253" s="16"/>
      <c r="T253" s="103"/>
      <c r="U253" s="16"/>
      <c r="V253" s="16"/>
      <c r="W253" s="16"/>
      <c r="X253" s="103"/>
    </row>
    <row r="254" spans="2:24" x14ac:dyDescent="0.25">
      <c r="B254" s="103"/>
      <c r="C254" s="103"/>
      <c r="D254" s="103"/>
      <c r="E254" s="103"/>
      <c r="F254" s="103"/>
      <c r="H254" s="103"/>
      <c r="I254" s="103"/>
      <c r="J254" s="103"/>
      <c r="K254" s="103"/>
      <c r="L254" s="103"/>
      <c r="N254" s="103"/>
      <c r="O254" s="103"/>
      <c r="Q254" s="16"/>
      <c r="R254" s="16"/>
      <c r="S254" s="16"/>
      <c r="T254" s="103"/>
      <c r="U254" s="16"/>
      <c r="V254" s="16"/>
      <c r="W254" s="16"/>
      <c r="X254" s="103"/>
    </row>
    <row r="255" spans="2:24" x14ac:dyDescent="0.25">
      <c r="B255" s="103"/>
      <c r="C255" s="103"/>
      <c r="D255" s="103"/>
      <c r="E255" s="103"/>
      <c r="F255" s="103"/>
      <c r="H255" s="103"/>
      <c r="I255" s="103"/>
      <c r="J255" s="103"/>
      <c r="K255" s="103"/>
      <c r="L255" s="103"/>
      <c r="N255" s="103"/>
      <c r="O255" s="103"/>
      <c r="Q255" s="16"/>
      <c r="R255" s="16"/>
      <c r="S255" s="16"/>
      <c r="T255" s="103"/>
      <c r="U255" s="16"/>
      <c r="V255" s="16"/>
      <c r="W255" s="16"/>
      <c r="X255" s="103"/>
    </row>
    <row r="256" spans="2:24" x14ac:dyDescent="0.25">
      <c r="B256" s="103"/>
      <c r="C256" s="103"/>
      <c r="D256" s="103"/>
      <c r="E256" s="103"/>
      <c r="F256" s="103"/>
      <c r="H256" s="103"/>
      <c r="I256" s="103"/>
      <c r="J256" s="103"/>
      <c r="K256" s="103"/>
      <c r="L256" s="103"/>
      <c r="N256" s="103"/>
      <c r="O256" s="103"/>
      <c r="Q256" s="16"/>
      <c r="R256" s="16"/>
      <c r="S256" s="16"/>
      <c r="T256" s="103"/>
      <c r="U256" s="16"/>
      <c r="V256" s="16"/>
      <c r="W256" s="16"/>
      <c r="X256" s="103"/>
    </row>
    <row r="257" spans="2:24" x14ac:dyDescent="0.25">
      <c r="B257" s="103"/>
      <c r="C257" s="103"/>
      <c r="D257" s="103"/>
      <c r="E257" s="103"/>
      <c r="F257" s="103"/>
      <c r="H257" s="103"/>
      <c r="I257" s="103"/>
      <c r="J257" s="103"/>
      <c r="K257" s="103"/>
      <c r="L257" s="103"/>
      <c r="N257" s="103"/>
      <c r="O257" s="103"/>
      <c r="Q257" s="16"/>
      <c r="R257" s="16"/>
      <c r="S257" s="16"/>
      <c r="T257" s="103"/>
      <c r="U257" s="16"/>
      <c r="V257" s="16"/>
      <c r="W257" s="16"/>
      <c r="X257" s="103"/>
    </row>
    <row r="258" spans="2:24" x14ac:dyDescent="0.25">
      <c r="B258" s="103"/>
      <c r="C258" s="103"/>
      <c r="D258" s="103"/>
      <c r="E258" s="103"/>
      <c r="F258" s="103"/>
      <c r="H258" s="103"/>
      <c r="I258" s="103"/>
      <c r="J258" s="103"/>
      <c r="K258" s="103"/>
      <c r="L258" s="103"/>
      <c r="N258" s="103"/>
      <c r="O258" s="103"/>
      <c r="Q258" s="16"/>
      <c r="R258" s="16"/>
      <c r="S258" s="16"/>
      <c r="T258" s="103"/>
      <c r="U258" s="16"/>
      <c r="V258" s="16"/>
      <c r="W258" s="16"/>
      <c r="X258" s="103"/>
    </row>
    <row r="259" spans="2:24" x14ac:dyDescent="0.25">
      <c r="B259" s="103"/>
      <c r="C259" s="103"/>
      <c r="D259" s="103"/>
      <c r="E259" s="103"/>
      <c r="F259" s="103"/>
      <c r="H259" s="103"/>
      <c r="I259" s="103"/>
      <c r="J259" s="103"/>
      <c r="K259" s="103"/>
      <c r="L259" s="103"/>
      <c r="N259" s="103"/>
      <c r="O259" s="103"/>
      <c r="Q259" s="16"/>
      <c r="R259" s="16"/>
      <c r="S259" s="16"/>
      <c r="T259" s="103"/>
      <c r="U259" s="16"/>
      <c r="V259" s="16"/>
      <c r="W259" s="16"/>
      <c r="X259" s="103"/>
    </row>
    <row r="260" spans="2:24" x14ac:dyDescent="0.25">
      <c r="B260" s="103"/>
      <c r="C260" s="103"/>
      <c r="D260" s="103"/>
      <c r="E260" s="103"/>
      <c r="F260" s="103"/>
      <c r="H260" s="103"/>
      <c r="I260" s="103"/>
      <c r="J260" s="103"/>
      <c r="K260" s="103"/>
      <c r="L260" s="103"/>
      <c r="N260" s="103"/>
      <c r="O260" s="103"/>
      <c r="Q260" s="16"/>
      <c r="R260" s="16"/>
      <c r="S260" s="16"/>
      <c r="T260" s="103"/>
      <c r="U260" s="16"/>
      <c r="V260" s="16"/>
      <c r="W260" s="16"/>
      <c r="X260" s="103"/>
    </row>
    <row r="261" spans="2:24" x14ac:dyDescent="0.25">
      <c r="B261" s="103"/>
      <c r="C261" s="103"/>
      <c r="D261" s="103"/>
      <c r="E261" s="103"/>
      <c r="F261" s="103"/>
      <c r="H261" s="103"/>
      <c r="I261" s="103"/>
      <c r="J261" s="103"/>
      <c r="K261" s="103"/>
      <c r="L261" s="103"/>
      <c r="N261" s="103"/>
      <c r="O261" s="103"/>
      <c r="Q261" s="16"/>
      <c r="R261" s="16"/>
      <c r="S261" s="16"/>
      <c r="T261" s="103"/>
      <c r="U261" s="16"/>
      <c r="V261" s="16"/>
      <c r="W261" s="16"/>
      <c r="X261" s="103"/>
    </row>
    <row r="262" spans="2:24" x14ac:dyDescent="0.25">
      <c r="B262" s="103"/>
      <c r="C262" s="103"/>
      <c r="D262" s="103"/>
      <c r="E262" s="103"/>
      <c r="F262" s="103"/>
      <c r="H262" s="103"/>
      <c r="I262" s="103"/>
      <c r="J262" s="103"/>
      <c r="K262" s="103"/>
      <c r="L262" s="103"/>
      <c r="N262" s="103"/>
      <c r="O262" s="103"/>
      <c r="Q262" s="16"/>
      <c r="R262" s="16"/>
      <c r="S262" s="16"/>
      <c r="T262" s="103"/>
      <c r="U262" s="16"/>
      <c r="V262" s="16"/>
      <c r="W262" s="16"/>
      <c r="X262" s="103"/>
    </row>
    <row r="263" spans="2:24" x14ac:dyDescent="0.25">
      <c r="B263" s="103"/>
      <c r="C263" s="103"/>
      <c r="D263" s="103"/>
      <c r="E263" s="103"/>
      <c r="F263" s="103"/>
      <c r="H263" s="103"/>
      <c r="I263" s="103"/>
      <c r="J263" s="103"/>
      <c r="K263" s="103"/>
      <c r="L263" s="103"/>
      <c r="N263" s="103"/>
      <c r="O263" s="103"/>
      <c r="Q263" s="16"/>
      <c r="R263" s="16"/>
      <c r="S263" s="16"/>
      <c r="T263" s="103"/>
      <c r="U263" s="16"/>
      <c r="V263" s="16"/>
      <c r="W263" s="16"/>
      <c r="X263" s="103"/>
    </row>
    <row r="264" spans="2:24" x14ac:dyDescent="0.25">
      <c r="B264" s="103"/>
      <c r="C264" s="103"/>
      <c r="D264" s="103"/>
      <c r="E264" s="103"/>
      <c r="F264" s="103"/>
      <c r="H264" s="103"/>
      <c r="I264" s="103"/>
      <c r="J264" s="103"/>
      <c r="K264" s="103"/>
      <c r="L264" s="103"/>
      <c r="N264" s="103"/>
      <c r="O264" s="103"/>
      <c r="Q264" s="16"/>
      <c r="R264" s="16"/>
      <c r="S264" s="16"/>
      <c r="T264" s="103"/>
      <c r="U264" s="16"/>
      <c r="V264" s="16"/>
      <c r="W264" s="16"/>
      <c r="X264" s="103"/>
    </row>
    <row r="265" spans="2:24" x14ac:dyDescent="0.25">
      <c r="B265" s="103"/>
      <c r="C265" s="103"/>
      <c r="D265" s="103"/>
      <c r="E265" s="103"/>
      <c r="F265" s="103"/>
      <c r="H265" s="103"/>
      <c r="I265" s="103"/>
      <c r="J265" s="103"/>
      <c r="K265" s="103"/>
      <c r="L265" s="103"/>
      <c r="N265" s="103"/>
      <c r="O265" s="103"/>
      <c r="Q265" s="16"/>
      <c r="R265" s="16"/>
      <c r="S265" s="16"/>
      <c r="T265" s="103"/>
      <c r="U265" s="16"/>
      <c r="V265" s="16"/>
      <c r="W265" s="16"/>
      <c r="X265" s="103"/>
    </row>
    <row r="266" spans="2:24" x14ac:dyDescent="0.25">
      <c r="B266" s="103"/>
      <c r="C266" s="103"/>
      <c r="D266" s="103"/>
      <c r="E266" s="103"/>
      <c r="F266" s="103"/>
      <c r="H266" s="103"/>
      <c r="I266" s="103"/>
      <c r="J266" s="103"/>
      <c r="K266" s="103"/>
      <c r="L266" s="103"/>
      <c r="N266" s="103"/>
      <c r="O266" s="103"/>
      <c r="Q266" s="16"/>
      <c r="R266" s="16"/>
      <c r="S266" s="16"/>
      <c r="T266" s="103"/>
      <c r="U266" s="16"/>
      <c r="V266" s="16"/>
      <c r="W266" s="16"/>
      <c r="X266" s="103"/>
    </row>
    <row r="267" spans="2:24" x14ac:dyDescent="0.25">
      <c r="B267" s="103"/>
      <c r="C267" s="103"/>
      <c r="D267" s="103"/>
      <c r="E267" s="103"/>
      <c r="F267" s="103"/>
      <c r="H267" s="103"/>
      <c r="I267" s="103"/>
      <c r="J267" s="103"/>
      <c r="K267" s="103"/>
      <c r="L267" s="103"/>
      <c r="N267" s="103"/>
      <c r="O267" s="103"/>
      <c r="Q267" s="16"/>
      <c r="R267" s="16"/>
      <c r="S267" s="16"/>
      <c r="T267" s="103"/>
      <c r="U267" s="16"/>
      <c r="V267" s="16"/>
      <c r="W267" s="16"/>
      <c r="X267" s="103"/>
    </row>
    <row r="268" spans="2:24" x14ac:dyDescent="0.25">
      <c r="B268" s="103"/>
      <c r="C268" s="103"/>
      <c r="D268" s="103"/>
      <c r="E268" s="103"/>
      <c r="F268" s="103"/>
      <c r="H268" s="103"/>
      <c r="I268" s="103"/>
      <c r="J268" s="103"/>
      <c r="K268" s="103"/>
      <c r="L268" s="103"/>
      <c r="N268" s="103"/>
      <c r="O268" s="103"/>
      <c r="Q268" s="16"/>
      <c r="R268" s="16"/>
      <c r="S268" s="16"/>
      <c r="T268" s="103"/>
      <c r="U268" s="16"/>
      <c r="V268" s="16"/>
      <c r="W268" s="16"/>
      <c r="X268" s="103"/>
    </row>
    <row r="269" spans="2:24" x14ac:dyDescent="0.25">
      <c r="B269" s="103"/>
      <c r="C269" s="103"/>
      <c r="D269" s="103"/>
      <c r="E269" s="103"/>
      <c r="F269" s="103"/>
      <c r="H269" s="103"/>
      <c r="I269" s="103"/>
      <c r="J269" s="103"/>
      <c r="K269" s="103"/>
      <c r="L269" s="103"/>
      <c r="N269" s="103"/>
      <c r="O269" s="103"/>
      <c r="Q269" s="16"/>
      <c r="R269" s="16"/>
      <c r="S269" s="16"/>
      <c r="T269" s="103"/>
      <c r="U269" s="16"/>
      <c r="V269" s="16"/>
      <c r="W269" s="16"/>
      <c r="X269" s="103"/>
    </row>
    <row r="270" spans="2:24" x14ac:dyDescent="0.25">
      <c r="B270" s="103"/>
      <c r="C270" s="103"/>
      <c r="D270" s="103"/>
      <c r="E270" s="103"/>
      <c r="F270" s="103"/>
      <c r="H270" s="103"/>
      <c r="I270" s="103"/>
      <c r="J270" s="103"/>
      <c r="K270" s="103"/>
      <c r="L270" s="103"/>
      <c r="N270" s="103"/>
      <c r="O270" s="103"/>
      <c r="Q270" s="16"/>
      <c r="R270" s="16"/>
      <c r="S270" s="16"/>
      <c r="T270" s="103"/>
      <c r="U270" s="16"/>
      <c r="V270" s="16"/>
      <c r="W270" s="16"/>
      <c r="X270" s="103"/>
    </row>
    <row r="271" spans="2:24" x14ac:dyDescent="0.25">
      <c r="B271" s="103"/>
      <c r="C271" s="103"/>
      <c r="D271" s="103"/>
      <c r="E271" s="103"/>
      <c r="F271" s="103"/>
      <c r="H271" s="103"/>
      <c r="I271" s="103"/>
      <c r="J271" s="103"/>
      <c r="K271" s="103"/>
      <c r="L271" s="103"/>
      <c r="N271" s="103"/>
      <c r="O271" s="103"/>
      <c r="Q271" s="16"/>
      <c r="R271" s="16"/>
      <c r="S271" s="16"/>
      <c r="T271" s="103"/>
      <c r="U271" s="16"/>
      <c r="V271" s="16"/>
      <c r="W271" s="16"/>
      <c r="X271" s="103"/>
    </row>
    <row r="272" spans="2:24" x14ac:dyDescent="0.25">
      <c r="B272" s="103"/>
      <c r="C272" s="103"/>
      <c r="D272" s="103"/>
      <c r="E272" s="103"/>
      <c r="F272" s="103"/>
      <c r="H272" s="103"/>
      <c r="I272" s="103"/>
      <c r="J272" s="103"/>
      <c r="K272" s="103"/>
      <c r="L272" s="103"/>
      <c r="N272" s="103"/>
      <c r="O272" s="103"/>
      <c r="Q272" s="16"/>
      <c r="R272" s="16"/>
      <c r="S272" s="16"/>
      <c r="T272" s="103"/>
      <c r="U272" s="16"/>
      <c r="V272" s="16"/>
      <c r="W272" s="16"/>
      <c r="X272" s="103"/>
    </row>
    <row r="273" spans="2:24" x14ac:dyDescent="0.25">
      <c r="B273" s="103"/>
      <c r="C273" s="103"/>
      <c r="D273" s="103"/>
      <c r="E273" s="103"/>
      <c r="F273" s="103"/>
      <c r="H273" s="103"/>
      <c r="I273" s="103"/>
      <c r="J273" s="103"/>
      <c r="K273" s="103"/>
      <c r="L273" s="103"/>
      <c r="N273" s="103"/>
      <c r="O273" s="103"/>
      <c r="Q273" s="16"/>
      <c r="R273" s="16"/>
      <c r="S273" s="16"/>
      <c r="T273" s="103"/>
      <c r="U273" s="16"/>
      <c r="V273" s="16"/>
      <c r="W273" s="16"/>
      <c r="X273" s="103"/>
    </row>
    <row r="274" spans="2:24" x14ac:dyDescent="0.25">
      <c r="B274" s="103"/>
      <c r="C274" s="103"/>
      <c r="D274" s="103"/>
      <c r="E274" s="103"/>
      <c r="F274" s="103"/>
      <c r="H274" s="103"/>
      <c r="I274" s="103"/>
      <c r="J274" s="103"/>
      <c r="K274" s="103"/>
      <c r="L274" s="103"/>
      <c r="N274" s="103"/>
      <c r="O274" s="103"/>
      <c r="Q274" s="16"/>
      <c r="R274" s="16"/>
      <c r="S274" s="16"/>
      <c r="T274" s="103"/>
      <c r="U274" s="16"/>
      <c r="V274" s="16"/>
      <c r="W274" s="16"/>
      <c r="X274" s="103"/>
    </row>
    <row r="275" spans="2:24" x14ac:dyDescent="0.25">
      <c r="B275" s="103"/>
      <c r="C275" s="103"/>
      <c r="D275" s="103"/>
      <c r="E275" s="103"/>
      <c r="F275" s="103"/>
      <c r="H275" s="103"/>
      <c r="I275" s="103"/>
      <c r="J275" s="103"/>
      <c r="K275" s="103"/>
      <c r="L275" s="103"/>
      <c r="N275" s="103"/>
      <c r="O275" s="103"/>
      <c r="Q275" s="16"/>
      <c r="R275" s="16"/>
      <c r="S275" s="16"/>
      <c r="T275" s="103"/>
      <c r="U275" s="16"/>
      <c r="V275" s="16"/>
      <c r="W275" s="16"/>
      <c r="X275" s="103"/>
    </row>
    <row r="276" spans="2:24" x14ac:dyDescent="0.25">
      <c r="B276" s="103"/>
      <c r="C276" s="103"/>
      <c r="D276" s="103"/>
      <c r="E276" s="103"/>
      <c r="F276" s="103"/>
      <c r="H276" s="103"/>
      <c r="I276" s="103"/>
      <c r="J276" s="103"/>
      <c r="K276" s="103"/>
      <c r="L276" s="103"/>
      <c r="N276" s="103"/>
      <c r="O276" s="103"/>
      <c r="Q276" s="16"/>
      <c r="R276" s="16"/>
      <c r="S276" s="16"/>
      <c r="T276" s="103"/>
      <c r="U276" s="16"/>
      <c r="V276" s="16"/>
      <c r="W276" s="16"/>
      <c r="X276" s="103"/>
    </row>
    <row r="277" spans="2:24" x14ac:dyDescent="0.25">
      <c r="B277" s="103"/>
      <c r="C277" s="103"/>
      <c r="D277" s="103"/>
      <c r="E277" s="103"/>
      <c r="F277" s="103"/>
      <c r="H277" s="103"/>
      <c r="I277" s="103"/>
      <c r="J277" s="103"/>
      <c r="K277" s="103"/>
      <c r="L277" s="103"/>
      <c r="N277" s="103"/>
      <c r="O277" s="103"/>
      <c r="Q277" s="16"/>
      <c r="R277" s="16"/>
      <c r="S277" s="16"/>
      <c r="T277" s="103"/>
      <c r="U277" s="16"/>
      <c r="V277" s="16"/>
      <c r="W277" s="16"/>
      <c r="X277" s="103"/>
    </row>
    <row r="278" spans="2:24" x14ac:dyDescent="0.25">
      <c r="B278" s="103"/>
      <c r="C278" s="103"/>
      <c r="D278" s="103"/>
      <c r="E278" s="103"/>
      <c r="F278" s="103"/>
      <c r="H278" s="103"/>
      <c r="I278" s="103"/>
      <c r="J278" s="103"/>
      <c r="K278" s="103"/>
      <c r="L278" s="103"/>
      <c r="N278" s="103"/>
      <c r="O278" s="103"/>
      <c r="Q278" s="16"/>
      <c r="R278" s="16"/>
      <c r="S278" s="16"/>
      <c r="T278" s="103"/>
      <c r="U278" s="16"/>
      <c r="V278" s="16"/>
      <c r="W278" s="16"/>
      <c r="X278" s="103"/>
    </row>
    <row r="279" spans="2:24" x14ac:dyDescent="0.25">
      <c r="B279" s="103"/>
      <c r="C279" s="103"/>
      <c r="D279" s="103"/>
      <c r="E279" s="103"/>
      <c r="F279" s="103"/>
      <c r="H279" s="103"/>
      <c r="I279" s="103"/>
      <c r="J279" s="103"/>
      <c r="K279" s="103"/>
      <c r="L279" s="103"/>
      <c r="N279" s="103"/>
      <c r="O279" s="103"/>
      <c r="Q279" s="16"/>
      <c r="R279" s="16"/>
      <c r="S279" s="16"/>
      <c r="T279" s="103"/>
      <c r="U279" s="16"/>
      <c r="V279" s="16"/>
      <c r="W279" s="16"/>
      <c r="X279" s="103"/>
    </row>
    <row r="280" spans="2:24" x14ac:dyDescent="0.25">
      <c r="B280" s="103"/>
      <c r="C280" s="103"/>
      <c r="D280" s="103"/>
      <c r="E280" s="103"/>
      <c r="F280" s="103"/>
      <c r="H280" s="103"/>
      <c r="I280" s="103"/>
      <c r="J280" s="103"/>
      <c r="K280" s="103"/>
      <c r="L280" s="103"/>
      <c r="N280" s="103"/>
      <c r="O280" s="103"/>
      <c r="Q280" s="16"/>
      <c r="R280" s="16"/>
      <c r="S280" s="16"/>
      <c r="T280" s="103"/>
      <c r="U280" s="16"/>
      <c r="V280" s="16"/>
      <c r="W280" s="16"/>
      <c r="X280" s="103"/>
    </row>
    <row r="281" spans="2:24" x14ac:dyDescent="0.25">
      <c r="B281" s="103"/>
      <c r="C281" s="103"/>
      <c r="D281" s="103"/>
      <c r="E281" s="103"/>
      <c r="F281" s="103"/>
      <c r="H281" s="103"/>
      <c r="I281" s="103"/>
      <c r="J281" s="103"/>
      <c r="K281" s="103"/>
      <c r="L281" s="103"/>
      <c r="N281" s="103"/>
      <c r="O281" s="103"/>
      <c r="Q281" s="16"/>
      <c r="R281" s="16"/>
      <c r="S281" s="16"/>
      <c r="T281" s="103"/>
      <c r="U281" s="16"/>
      <c r="V281" s="16"/>
      <c r="W281" s="16"/>
      <c r="X281" s="103"/>
    </row>
    <row r="282" spans="2:24" x14ac:dyDescent="0.25">
      <c r="B282" s="103"/>
      <c r="C282" s="103"/>
      <c r="D282" s="103"/>
      <c r="E282" s="103"/>
      <c r="F282" s="103"/>
      <c r="H282" s="103"/>
      <c r="I282" s="103"/>
      <c r="J282" s="103"/>
      <c r="K282" s="103"/>
      <c r="L282" s="103"/>
      <c r="N282" s="103"/>
      <c r="O282" s="103"/>
      <c r="Q282" s="16"/>
      <c r="R282" s="16"/>
      <c r="S282" s="16"/>
      <c r="T282" s="103"/>
      <c r="U282" s="16"/>
      <c r="V282" s="16"/>
      <c r="W282" s="16"/>
      <c r="X282" s="103"/>
    </row>
    <row r="283" spans="2:24" x14ac:dyDescent="0.25">
      <c r="B283" s="103"/>
      <c r="C283" s="103"/>
      <c r="D283" s="103"/>
      <c r="E283" s="103"/>
      <c r="F283" s="103"/>
      <c r="H283" s="103"/>
      <c r="I283" s="103"/>
      <c r="J283" s="103"/>
      <c r="K283" s="103"/>
      <c r="L283" s="103"/>
      <c r="N283" s="103"/>
      <c r="O283" s="103"/>
      <c r="Q283" s="16"/>
      <c r="R283" s="16"/>
      <c r="S283" s="16"/>
      <c r="T283" s="103"/>
      <c r="U283" s="16"/>
      <c r="V283" s="16"/>
      <c r="W283" s="16"/>
      <c r="X283" s="103"/>
    </row>
    <row r="284" spans="2:24" x14ac:dyDescent="0.25">
      <c r="B284" s="103"/>
      <c r="C284" s="103"/>
      <c r="D284" s="103"/>
      <c r="E284" s="103"/>
      <c r="F284" s="103"/>
      <c r="H284" s="103"/>
      <c r="I284" s="103"/>
      <c r="J284" s="103"/>
      <c r="K284" s="103"/>
      <c r="L284" s="103"/>
      <c r="N284" s="103"/>
      <c r="O284" s="103"/>
      <c r="Q284" s="16"/>
      <c r="R284" s="16"/>
      <c r="S284" s="16"/>
      <c r="T284" s="103"/>
      <c r="U284" s="16"/>
      <c r="V284" s="16"/>
      <c r="W284" s="16"/>
      <c r="X284" s="103"/>
    </row>
    <row r="285" spans="2:24" x14ac:dyDescent="0.25">
      <c r="B285" s="103"/>
      <c r="C285" s="103"/>
      <c r="D285" s="103"/>
      <c r="E285" s="103"/>
      <c r="F285" s="103"/>
      <c r="H285" s="103"/>
      <c r="I285" s="103"/>
      <c r="J285" s="103"/>
      <c r="K285" s="103"/>
      <c r="L285" s="103"/>
      <c r="N285" s="103"/>
      <c r="O285" s="103"/>
      <c r="Q285" s="16"/>
      <c r="R285" s="16"/>
      <c r="S285" s="16"/>
      <c r="T285" s="103"/>
      <c r="U285" s="16"/>
      <c r="V285" s="16"/>
      <c r="W285" s="16"/>
      <c r="X285" s="103"/>
    </row>
    <row r="286" spans="2:24" x14ac:dyDescent="0.25">
      <c r="B286" s="103"/>
      <c r="C286" s="103"/>
      <c r="D286" s="103"/>
      <c r="E286" s="103"/>
      <c r="F286" s="103"/>
      <c r="H286" s="103"/>
      <c r="I286" s="103"/>
      <c r="J286" s="103"/>
      <c r="K286" s="103"/>
      <c r="L286" s="103"/>
      <c r="N286" s="103"/>
      <c r="O286" s="103"/>
      <c r="Q286" s="16"/>
      <c r="R286" s="16"/>
      <c r="S286" s="16"/>
      <c r="T286" s="103"/>
      <c r="U286" s="16"/>
      <c r="V286" s="16"/>
      <c r="W286" s="16"/>
      <c r="X286" s="103"/>
    </row>
    <row r="287" spans="2:24" x14ac:dyDescent="0.25">
      <c r="B287" s="103"/>
      <c r="C287" s="103"/>
      <c r="D287" s="103"/>
      <c r="E287" s="103"/>
      <c r="F287" s="103"/>
      <c r="H287" s="103"/>
      <c r="I287" s="103"/>
      <c r="J287" s="103"/>
      <c r="K287" s="103"/>
      <c r="L287" s="103"/>
      <c r="N287" s="103"/>
      <c r="O287" s="103"/>
      <c r="Q287" s="16"/>
      <c r="R287" s="16"/>
      <c r="S287" s="16"/>
      <c r="T287" s="103"/>
      <c r="U287" s="16"/>
      <c r="V287" s="16"/>
      <c r="W287" s="16"/>
      <c r="X287" s="103"/>
    </row>
    <row r="288" spans="2:24" x14ac:dyDescent="0.25">
      <c r="B288" s="103"/>
      <c r="C288" s="103"/>
      <c r="D288" s="103"/>
      <c r="E288" s="103"/>
      <c r="F288" s="103"/>
      <c r="H288" s="103"/>
      <c r="I288" s="103"/>
      <c r="J288" s="103"/>
      <c r="K288" s="103"/>
      <c r="L288" s="103"/>
      <c r="N288" s="103"/>
      <c r="O288" s="103"/>
      <c r="Q288" s="16"/>
      <c r="R288" s="16"/>
      <c r="S288" s="16"/>
      <c r="T288" s="103"/>
      <c r="U288" s="16"/>
      <c r="V288" s="16"/>
      <c r="W288" s="16"/>
      <c r="X288" s="103"/>
    </row>
    <row r="289" spans="2:24" x14ac:dyDescent="0.25">
      <c r="B289" s="103"/>
      <c r="C289" s="103"/>
      <c r="D289" s="103"/>
      <c r="E289" s="103"/>
      <c r="F289" s="103"/>
      <c r="H289" s="103"/>
      <c r="I289" s="103"/>
      <c r="J289" s="103"/>
      <c r="K289" s="103"/>
      <c r="L289" s="103"/>
      <c r="N289" s="103"/>
      <c r="O289" s="103"/>
      <c r="Q289" s="16"/>
      <c r="R289" s="16"/>
      <c r="S289" s="16"/>
      <c r="T289" s="103"/>
      <c r="U289" s="16"/>
      <c r="V289" s="16"/>
      <c r="W289" s="16"/>
      <c r="X289" s="103"/>
    </row>
    <row r="290" spans="2:24" x14ac:dyDescent="0.25">
      <c r="B290" s="103"/>
      <c r="C290" s="103"/>
      <c r="D290" s="103"/>
      <c r="E290" s="103"/>
      <c r="F290" s="103"/>
      <c r="H290" s="103"/>
      <c r="I290" s="103"/>
      <c r="J290" s="103"/>
      <c r="K290" s="103"/>
      <c r="L290" s="103"/>
      <c r="N290" s="103"/>
      <c r="O290" s="103"/>
      <c r="Q290" s="16"/>
      <c r="R290" s="16"/>
      <c r="S290" s="16"/>
      <c r="T290" s="103"/>
      <c r="U290" s="16"/>
      <c r="V290" s="16"/>
      <c r="W290" s="16"/>
      <c r="X290" s="103"/>
    </row>
    <row r="291" spans="2:24" x14ac:dyDescent="0.25">
      <c r="B291" s="103"/>
      <c r="C291" s="103"/>
      <c r="D291" s="103"/>
      <c r="E291" s="103"/>
      <c r="F291" s="103"/>
      <c r="H291" s="103"/>
      <c r="I291" s="103"/>
      <c r="J291" s="103"/>
      <c r="K291" s="103"/>
      <c r="L291" s="103"/>
      <c r="N291" s="103"/>
      <c r="O291" s="103"/>
      <c r="Q291" s="16"/>
      <c r="R291" s="16"/>
      <c r="S291" s="16"/>
      <c r="T291" s="103"/>
      <c r="U291" s="16"/>
      <c r="V291" s="16"/>
      <c r="W291" s="16"/>
      <c r="X291" s="103"/>
    </row>
    <row r="292" spans="2:24" x14ac:dyDescent="0.25">
      <c r="B292" s="103"/>
      <c r="C292" s="103"/>
      <c r="D292" s="103"/>
      <c r="E292" s="103"/>
      <c r="F292" s="103"/>
      <c r="H292" s="103"/>
      <c r="I292" s="103"/>
      <c r="J292" s="103"/>
      <c r="K292" s="103"/>
      <c r="L292" s="103"/>
      <c r="N292" s="103"/>
      <c r="O292" s="103"/>
      <c r="Q292" s="16"/>
      <c r="R292" s="16"/>
      <c r="S292" s="16"/>
      <c r="T292" s="103"/>
      <c r="U292" s="16"/>
      <c r="V292" s="16"/>
      <c r="W292" s="16"/>
      <c r="X292" s="103"/>
    </row>
    <row r="293" spans="2:24" x14ac:dyDescent="0.25">
      <c r="B293" s="103"/>
      <c r="C293" s="103"/>
      <c r="D293" s="103"/>
      <c r="E293" s="103"/>
      <c r="F293" s="103"/>
      <c r="H293" s="103"/>
      <c r="I293" s="103"/>
      <c r="J293" s="103"/>
      <c r="K293" s="103"/>
      <c r="L293" s="103"/>
      <c r="N293" s="103"/>
      <c r="O293" s="103"/>
      <c r="Q293" s="16"/>
      <c r="R293" s="16"/>
      <c r="S293" s="16"/>
      <c r="T293" s="103"/>
      <c r="U293" s="16"/>
      <c r="V293" s="16"/>
      <c r="W293" s="16"/>
      <c r="X293" s="103"/>
    </row>
    <row r="294" spans="2:24" x14ac:dyDescent="0.25">
      <c r="B294" s="103"/>
      <c r="C294" s="103"/>
      <c r="D294" s="103"/>
      <c r="E294" s="103"/>
      <c r="F294" s="103"/>
      <c r="H294" s="103"/>
      <c r="I294" s="103"/>
      <c r="J294" s="103"/>
      <c r="K294" s="103"/>
      <c r="L294" s="103"/>
      <c r="N294" s="103"/>
      <c r="O294" s="103"/>
      <c r="Q294" s="16"/>
      <c r="R294" s="16"/>
      <c r="S294" s="16"/>
      <c r="T294" s="103"/>
      <c r="U294" s="16"/>
      <c r="V294" s="16"/>
      <c r="W294" s="16"/>
      <c r="X294" s="103"/>
    </row>
    <row r="295" spans="2:24" x14ac:dyDescent="0.25">
      <c r="B295" s="103"/>
      <c r="C295" s="103"/>
      <c r="D295" s="103"/>
      <c r="E295" s="103"/>
      <c r="F295" s="103"/>
      <c r="H295" s="103"/>
      <c r="I295" s="103"/>
      <c r="J295" s="103"/>
      <c r="K295" s="103"/>
      <c r="L295" s="103"/>
      <c r="N295" s="103"/>
      <c r="O295" s="103"/>
      <c r="Q295" s="16"/>
      <c r="R295" s="16"/>
      <c r="S295" s="16"/>
      <c r="T295" s="103"/>
      <c r="U295" s="16"/>
      <c r="V295" s="16"/>
      <c r="W295" s="16"/>
      <c r="X295" s="103"/>
    </row>
    <row r="296" spans="2:24" x14ac:dyDescent="0.25">
      <c r="B296" s="103"/>
      <c r="C296" s="103"/>
      <c r="D296" s="103"/>
      <c r="E296" s="103"/>
      <c r="F296" s="103"/>
      <c r="H296" s="103"/>
      <c r="I296" s="103"/>
      <c r="J296" s="103"/>
      <c r="K296" s="103"/>
      <c r="L296" s="103"/>
      <c r="N296" s="103"/>
      <c r="O296" s="103"/>
      <c r="Q296" s="16"/>
      <c r="R296" s="16"/>
      <c r="S296" s="16"/>
      <c r="T296" s="103"/>
      <c r="U296" s="16"/>
      <c r="V296" s="16"/>
      <c r="W296" s="16"/>
      <c r="X296" s="103"/>
    </row>
    <row r="297" spans="2:24" x14ac:dyDescent="0.25">
      <c r="B297" s="103"/>
      <c r="C297" s="103"/>
      <c r="D297" s="103"/>
      <c r="E297" s="103"/>
      <c r="F297" s="103"/>
      <c r="H297" s="103"/>
      <c r="I297" s="103"/>
      <c r="J297" s="103"/>
      <c r="K297" s="103"/>
      <c r="L297" s="103"/>
      <c r="N297" s="103"/>
      <c r="O297" s="103"/>
      <c r="Q297" s="16"/>
      <c r="R297" s="16"/>
      <c r="S297" s="16"/>
      <c r="T297" s="103"/>
      <c r="U297" s="16"/>
      <c r="V297" s="16"/>
      <c r="W297" s="16"/>
      <c r="X297" s="103"/>
    </row>
    <row r="298" spans="2:24" x14ac:dyDescent="0.25">
      <c r="B298" s="103"/>
      <c r="C298" s="103"/>
      <c r="D298" s="103"/>
      <c r="E298" s="103"/>
      <c r="F298" s="103"/>
      <c r="H298" s="103"/>
      <c r="I298" s="103"/>
      <c r="J298" s="103"/>
      <c r="K298" s="103"/>
      <c r="L298" s="103"/>
      <c r="N298" s="103"/>
      <c r="O298" s="103"/>
      <c r="Q298" s="16"/>
      <c r="R298" s="16"/>
      <c r="S298" s="16"/>
      <c r="T298" s="103"/>
      <c r="U298" s="16"/>
      <c r="V298" s="16"/>
      <c r="W298" s="16"/>
      <c r="X298" s="103"/>
    </row>
    <row r="299" spans="2:24" x14ac:dyDescent="0.25">
      <c r="B299" s="103"/>
      <c r="C299" s="103"/>
      <c r="D299" s="103"/>
      <c r="E299" s="103"/>
      <c r="F299" s="103"/>
      <c r="H299" s="103"/>
      <c r="I299" s="103"/>
      <c r="J299" s="103"/>
      <c r="K299" s="103"/>
      <c r="L299" s="103"/>
      <c r="N299" s="103"/>
      <c r="O299" s="103"/>
      <c r="Q299" s="16"/>
      <c r="R299" s="16"/>
      <c r="S299" s="16"/>
      <c r="T299" s="103"/>
      <c r="U299" s="16"/>
      <c r="V299" s="16"/>
      <c r="W299" s="16"/>
      <c r="X299" s="103"/>
    </row>
    <row r="300" spans="2:24" x14ac:dyDescent="0.25">
      <c r="B300" s="103"/>
      <c r="C300" s="103"/>
      <c r="D300" s="103"/>
      <c r="E300" s="103"/>
      <c r="F300" s="103"/>
      <c r="H300" s="103"/>
      <c r="I300" s="103"/>
      <c r="J300" s="103"/>
      <c r="K300" s="103"/>
      <c r="L300" s="103"/>
      <c r="N300" s="103"/>
      <c r="O300" s="103"/>
      <c r="Q300" s="16"/>
      <c r="R300" s="16"/>
      <c r="S300" s="16"/>
      <c r="T300" s="103"/>
      <c r="U300" s="16"/>
      <c r="V300" s="16"/>
      <c r="W300" s="16"/>
      <c r="X300" s="103"/>
    </row>
    <row r="301" spans="2:24" x14ac:dyDescent="0.25">
      <c r="B301" s="103"/>
      <c r="C301" s="103"/>
      <c r="D301" s="103"/>
      <c r="E301" s="103"/>
      <c r="F301" s="103"/>
      <c r="H301" s="103"/>
      <c r="I301" s="103"/>
      <c r="J301" s="103"/>
      <c r="K301" s="103"/>
      <c r="L301" s="103"/>
      <c r="N301" s="103"/>
      <c r="O301" s="103"/>
      <c r="Q301" s="16"/>
      <c r="R301" s="16"/>
      <c r="S301" s="16"/>
      <c r="T301" s="103"/>
      <c r="U301" s="16"/>
      <c r="V301" s="16"/>
      <c r="W301" s="16"/>
      <c r="X301" s="103"/>
    </row>
    <row r="302" spans="2:24" x14ac:dyDescent="0.25">
      <c r="B302" s="103"/>
      <c r="C302" s="103"/>
      <c r="D302" s="103"/>
      <c r="E302" s="103"/>
      <c r="F302" s="103"/>
      <c r="H302" s="103"/>
      <c r="I302" s="103"/>
      <c r="J302" s="103"/>
      <c r="K302" s="103"/>
      <c r="L302" s="103"/>
      <c r="N302" s="103"/>
      <c r="O302" s="103"/>
      <c r="Q302" s="16"/>
      <c r="R302" s="16"/>
      <c r="S302" s="16"/>
      <c r="T302" s="103"/>
      <c r="U302" s="16"/>
      <c r="V302" s="16"/>
      <c r="W302" s="16"/>
      <c r="X302" s="103"/>
    </row>
    <row r="303" spans="2:24" x14ac:dyDescent="0.25">
      <c r="B303" s="103"/>
      <c r="C303" s="103"/>
      <c r="D303" s="103"/>
      <c r="E303" s="103"/>
      <c r="F303" s="103"/>
      <c r="H303" s="103"/>
      <c r="I303" s="103"/>
      <c r="J303" s="103"/>
      <c r="K303" s="103"/>
      <c r="L303" s="103"/>
      <c r="N303" s="103"/>
      <c r="O303" s="103"/>
      <c r="Q303" s="16"/>
      <c r="R303" s="16"/>
      <c r="S303" s="16"/>
      <c r="T303" s="103"/>
      <c r="U303" s="16"/>
      <c r="V303" s="16"/>
      <c r="W303" s="16"/>
      <c r="X303" s="103"/>
    </row>
    <row r="304" spans="2:24" x14ac:dyDescent="0.25">
      <c r="B304" s="103"/>
      <c r="C304" s="103"/>
      <c r="D304" s="103"/>
      <c r="E304" s="103"/>
      <c r="F304" s="103"/>
      <c r="H304" s="103"/>
      <c r="I304" s="103"/>
      <c r="J304" s="103"/>
      <c r="K304" s="103"/>
      <c r="L304" s="103"/>
      <c r="N304" s="103"/>
      <c r="O304" s="103"/>
      <c r="Q304" s="16"/>
      <c r="R304" s="16"/>
      <c r="S304" s="16"/>
      <c r="T304" s="103"/>
      <c r="U304" s="16"/>
      <c r="V304" s="16"/>
      <c r="W304" s="16"/>
      <c r="X304" s="103"/>
    </row>
    <row r="305" spans="2:24" x14ac:dyDescent="0.25">
      <c r="B305" s="103"/>
      <c r="C305" s="103"/>
      <c r="D305" s="103"/>
      <c r="E305" s="103"/>
      <c r="F305" s="103"/>
      <c r="H305" s="103"/>
      <c r="I305" s="103"/>
      <c r="J305" s="103"/>
      <c r="K305" s="103"/>
      <c r="L305" s="103"/>
      <c r="N305" s="103"/>
      <c r="O305" s="103"/>
      <c r="Q305" s="16"/>
      <c r="R305" s="16"/>
      <c r="S305" s="16"/>
      <c r="T305" s="103"/>
      <c r="U305" s="16"/>
      <c r="V305" s="16"/>
      <c r="W305" s="16"/>
      <c r="X305" s="103"/>
    </row>
    <row r="306" spans="2:24" x14ac:dyDescent="0.25">
      <c r="B306" s="103"/>
      <c r="C306" s="103"/>
      <c r="D306" s="103"/>
      <c r="E306" s="103"/>
      <c r="F306" s="103"/>
      <c r="H306" s="103"/>
      <c r="I306" s="103"/>
      <c r="J306" s="103"/>
      <c r="K306" s="103"/>
      <c r="L306" s="103"/>
      <c r="N306" s="103"/>
      <c r="O306" s="103"/>
      <c r="Q306" s="16"/>
      <c r="R306" s="16"/>
      <c r="S306" s="16"/>
      <c r="T306" s="103"/>
      <c r="U306" s="16"/>
      <c r="V306" s="16"/>
      <c r="W306" s="16"/>
      <c r="X306" s="103"/>
    </row>
    <row r="307" spans="2:24" x14ac:dyDescent="0.25">
      <c r="B307" s="103"/>
      <c r="C307" s="103"/>
      <c r="D307" s="103"/>
      <c r="E307" s="103"/>
      <c r="F307" s="103"/>
      <c r="H307" s="103"/>
      <c r="I307" s="103"/>
      <c r="J307" s="103"/>
      <c r="K307" s="103"/>
      <c r="L307" s="103"/>
      <c r="N307" s="103"/>
      <c r="O307" s="103"/>
      <c r="Q307" s="16"/>
      <c r="R307" s="16"/>
      <c r="S307" s="16"/>
      <c r="T307" s="103"/>
      <c r="U307" s="16"/>
      <c r="V307" s="16"/>
      <c r="W307" s="16"/>
      <c r="X307" s="103"/>
    </row>
    <row r="308" spans="2:24" x14ac:dyDescent="0.25">
      <c r="B308" s="103"/>
      <c r="C308" s="103"/>
      <c r="D308" s="103"/>
      <c r="E308" s="103"/>
      <c r="F308" s="103"/>
      <c r="H308" s="103"/>
      <c r="I308" s="103"/>
      <c r="J308" s="103"/>
      <c r="K308" s="103"/>
      <c r="L308" s="103"/>
      <c r="N308" s="103"/>
      <c r="O308" s="103"/>
      <c r="Q308" s="16"/>
      <c r="R308" s="16"/>
      <c r="S308" s="16"/>
      <c r="T308" s="103"/>
      <c r="U308" s="16"/>
      <c r="V308" s="16"/>
      <c r="W308" s="16"/>
      <c r="X308" s="103"/>
    </row>
    <row r="309" spans="2:24" x14ac:dyDescent="0.25">
      <c r="B309" s="103"/>
      <c r="C309" s="103"/>
      <c r="D309" s="103"/>
      <c r="E309" s="103"/>
      <c r="F309" s="103"/>
      <c r="H309" s="103"/>
      <c r="I309" s="103"/>
      <c r="J309" s="103"/>
      <c r="K309" s="103"/>
      <c r="L309" s="103"/>
      <c r="N309" s="103"/>
      <c r="O309" s="103"/>
      <c r="Q309" s="16"/>
      <c r="R309" s="16"/>
      <c r="S309" s="16"/>
      <c r="T309" s="103"/>
      <c r="U309" s="16"/>
      <c r="V309" s="16"/>
      <c r="W309" s="16"/>
      <c r="X309" s="103"/>
    </row>
    <row r="310" spans="2:24" x14ac:dyDescent="0.25">
      <c r="B310" s="103"/>
      <c r="C310" s="103"/>
      <c r="D310" s="103"/>
      <c r="E310" s="103"/>
      <c r="F310" s="103"/>
      <c r="H310" s="103"/>
      <c r="I310" s="103"/>
      <c r="J310" s="103"/>
      <c r="K310" s="103"/>
      <c r="L310" s="103"/>
      <c r="N310" s="103"/>
      <c r="O310" s="103"/>
      <c r="Q310" s="16"/>
      <c r="R310" s="16"/>
      <c r="S310" s="16"/>
      <c r="T310" s="103"/>
      <c r="U310" s="16"/>
      <c r="V310" s="16"/>
      <c r="W310" s="16"/>
      <c r="X310" s="103"/>
    </row>
    <row r="311" spans="2:24" x14ac:dyDescent="0.25">
      <c r="B311" s="103"/>
      <c r="C311" s="103"/>
      <c r="D311" s="103"/>
      <c r="E311" s="103"/>
      <c r="F311" s="103"/>
      <c r="H311" s="103"/>
      <c r="I311" s="103"/>
      <c r="J311" s="103"/>
      <c r="K311" s="103"/>
      <c r="L311" s="103"/>
      <c r="N311" s="103"/>
      <c r="O311" s="103"/>
      <c r="Q311" s="16"/>
      <c r="R311" s="16"/>
      <c r="S311" s="16"/>
      <c r="T311" s="103"/>
      <c r="U311" s="16"/>
      <c r="V311" s="16"/>
      <c r="W311" s="16"/>
      <c r="X311" s="103"/>
    </row>
    <row r="312" spans="2:24" x14ac:dyDescent="0.25">
      <c r="B312" s="103"/>
      <c r="C312" s="103"/>
      <c r="D312" s="103"/>
      <c r="E312" s="103"/>
      <c r="F312" s="103"/>
      <c r="H312" s="103"/>
      <c r="I312" s="103"/>
      <c r="J312" s="103"/>
      <c r="K312" s="103"/>
      <c r="L312" s="103"/>
      <c r="N312" s="103"/>
      <c r="O312" s="103"/>
      <c r="Q312" s="16"/>
      <c r="R312" s="16"/>
      <c r="S312" s="16"/>
      <c r="T312" s="103"/>
      <c r="U312" s="16"/>
      <c r="V312" s="16"/>
      <c r="W312" s="16"/>
      <c r="X312" s="103"/>
    </row>
    <row r="313" spans="2:24" x14ac:dyDescent="0.25">
      <c r="B313" s="103"/>
      <c r="C313" s="103"/>
      <c r="D313" s="103"/>
      <c r="E313" s="103"/>
      <c r="F313" s="103"/>
      <c r="H313" s="103"/>
      <c r="I313" s="103"/>
      <c r="J313" s="103"/>
      <c r="K313" s="103"/>
      <c r="L313" s="103"/>
      <c r="N313" s="103"/>
      <c r="O313" s="103"/>
      <c r="Q313" s="16"/>
      <c r="R313" s="16"/>
      <c r="S313" s="16"/>
      <c r="T313" s="103"/>
      <c r="U313" s="16"/>
      <c r="V313" s="16"/>
      <c r="W313" s="16"/>
      <c r="X313" s="103"/>
    </row>
    <row r="314" spans="2:24" x14ac:dyDescent="0.25">
      <c r="B314" s="103"/>
      <c r="C314" s="103"/>
      <c r="D314" s="103"/>
      <c r="E314" s="103"/>
      <c r="F314" s="103"/>
      <c r="H314" s="103"/>
      <c r="I314" s="103"/>
      <c r="J314" s="103"/>
      <c r="K314" s="103"/>
      <c r="L314" s="103"/>
      <c r="N314" s="103"/>
      <c r="O314" s="103"/>
      <c r="Q314" s="16"/>
      <c r="R314" s="16"/>
      <c r="S314" s="16"/>
      <c r="T314" s="103"/>
      <c r="U314" s="16"/>
      <c r="V314" s="16"/>
      <c r="W314" s="16"/>
      <c r="X314" s="103"/>
    </row>
    <row r="315" spans="2:24" x14ac:dyDescent="0.25">
      <c r="B315" s="103"/>
      <c r="C315" s="103"/>
      <c r="D315" s="103"/>
      <c r="E315" s="103"/>
      <c r="F315" s="103"/>
      <c r="H315" s="103"/>
      <c r="I315" s="103"/>
      <c r="J315" s="103"/>
      <c r="K315" s="103"/>
      <c r="L315" s="103"/>
      <c r="N315" s="103"/>
      <c r="O315" s="103"/>
      <c r="Q315" s="16"/>
      <c r="R315" s="16"/>
      <c r="S315" s="16"/>
      <c r="T315" s="103"/>
      <c r="U315" s="16"/>
      <c r="V315" s="16"/>
      <c r="W315" s="16"/>
      <c r="X315" s="103"/>
    </row>
    <row r="316" spans="2:24" x14ac:dyDescent="0.25">
      <c r="B316" s="103"/>
      <c r="C316" s="103"/>
      <c r="D316" s="103"/>
      <c r="E316" s="103"/>
      <c r="F316" s="103"/>
      <c r="H316" s="103"/>
      <c r="I316" s="103"/>
      <c r="J316" s="103"/>
      <c r="K316" s="103"/>
      <c r="L316" s="103"/>
      <c r="N316" s="103"/>
      <c r="O316" s="103"/>
      <c r="Q316" s="16"/>
      <c r="R316" s="16"/>
      <c r="S316" s="16"/>
      <c r="T316" s="103"/>
      <c r="U316" s="16"/>
      <c r="V316" s="16"/>
      <c r="W316" s="16"/>
      <c r="X316" s="103"/>
    </row>
    <row r="317" spans="2:24" x14ac:dyDescent="0.25">
      <c r="B317" s="103"/>
      <c r="C317" s="103"/>
      <c r="D317" s="103"/>
      <c r="E317" s="103"/>
      <c r="F317" s="103"/>
      <c r="H317" s="103"/>
      <c r="I317" s="103"/>
      <c r="J317" s="103"/>
      <c r="K317" s="103"/>
      <c r="L317" s="103"/>
      <c r="N317" s="103"/>
      <c r="O317" s="103"/>
      <c r="Q317" s="16"/>
      <c r="R317" s="16"/>
      <c r="S317" s="16"/>
      <c r="T317" s="103"/>
      <c r="U317" s="16"/>
      <c r="V317" s="16"/>
      <c r="W317" s="16"/>
      <c r="X317" s="103"/>
    </row>
    <row r="318" spans="2:24" x14ac:dyDescent="0.25">
      <c r="B318" s="103"/>
      <c r="C318" s="103"/>
      <c r="D318" s="103"/>
      <c r="E318" s="103"/>
      <c r="F318" s="103"/>
      <c r="H318" s="103"/>
      <c r="I318" s="103"/>
      <c r="J318" s="103"/>
      <c r="K318" s="103"/>
      <c r="L318" s="103"/>
      <c r="N318" s="103"/>
      <c r="O318" s="103"/>
      <c r="Q318" s="16"/>
      <c r="R318" s="16"/>
      <c r="S318" s="16"/>
      <c r="T318" s="103"/>
      <c r="U318" s="16"/>
      <c r="V318" s="16"/>
      <c r="W318" s="16"/>
      <c r="X318" s="103"/>
    </row>
    <row r="319" spans="2:24" x14ac:dyDescent="0.25">
      <c r="B319" s="103"/>
      <c r="C319" s="103"/>
      <c r="D319" s="103"/>
      <c r="E319" s="103"/>
      <c r="F319" s="103"/>
      <c r="H319" s="103"/>
      <c r="I319" s="103"/>
      <c r="J319" s="103"/>
      <c r="K319" s="103"/>
      <c r="L319" s="103"/>
      <c r="N319" s="103"/>
      <c r="O319" s="103"/>
      <c r="Q319" s="16"/>
      <c r="R319" s="16"/>
      <c r="S319" s="16"/>
      <c r="T319" s="103"/>
      <c r="U319" s="16"/>
      <c r="V319" s="16"/>
      <c r="W319" s="16"/>
      <c r="X319" s="103"/>
    </row>
    <row r="320" spans="2:24" x14ac:dyDescent="0.25">
      <c r="B320" s="103"/>
      <c r="C320" s="103"/>
      <c r="D320" s="103"/>
      <c r="E320" s="103"/>
      <c r="F320" s="103"/>
      <c r="H320" s="103"/>
      <c r="I320" s="103"/>
      <c r="J320" s="103"/>
      <c r="K320" s="103"/>
      <c r="L320" s="103"/>
      <c r="N320" s="103"/>
      <c r="O320" s="103"/>
      <c r="Q320" s="16"/>
      <c r="R320" s="16"/>
      <c r="S320" s="16"/>
      <c r="T320" s="103"/>
      <c r="U320" s="16"/>
      <c r="V320" s="16"/>
      <c r="W320" s="16"/>
      <c r="X320" s="103"/>
    </row>
    <row r="321" spans="2:24" x14ac:dyDescent="0.25">
      <c r="B321" s="103"/>
      <c r="C321" s="103"/>
      <c r="D321" s="103"/>
      <c r="E321" s="103"/>
      <c r="F321" s="103"/>
      <c r="H321" s="103"/>
      <c r="I321" s="103"/>
      <c r="J321" s="103"/>
      <c r="K321" s="103"/>
      <c r="L321" s="103"/>
      <c r="N321" s="103"/>
      <c r="O321" s="103"/>
      <c r="Q321" s="16"/>
      <c r="R321" s="16"/>
      <c r="S321" s="16"/>
      <c r="T321" s="103"/>
      <c r="U321" s="16"/>
      <c r="V321" s="16"/>
      <c r="W321" s="16"/>
      <c r="X321" s="103"/>
    </row>
    <row r="322" spans="2:24" x14ac:dyDescent="0.25">
      <c r="B322" s="103"/>
      <c r="C322" s="103"/>
      <c r="D322" s="103"/>
      <c r="E322" s="103"/>
      <c r="F322" s="103"/>
      <c r="H322" s="103"/>
      <c r="I322" s="103"/>
      <c r="J322" s="103"/>
      <c r="K322" s="103"/>
      <c r="L322" s="103"/>
      <c r="N322" s="103"/>
      <c r="O322" s="103"/>
      <c r="Q322" s="16"/>
      <c r="R322" s="16"/>
      <c r="S322" s="16"/>
      <c r="T322" s="103"/>
      <c r="U322" s="16"/>
      <c r="V322" s="16"/>
      <c r="W322" s="16"/>
      <c r="X322" s="103"/>
    </row>
    <row r="323" spans="2:24" x14ac:dyDescent="0.25">
      <c r="B323" s="103"/>
      <c r="C323" s="103"/>
      <c r="D323" s="103"/>
      <c r="E323" s="103"/>
      <c r="F323" s="103"/>
      <c r="H323" s="103"/>
      <c r="I323" s="103"/>
      <c r="J323" s="103"/>
      <c r="K323" s="103"/>
      <c r="L323" s="103"/>
      <c r="N323" s="103"/>
      <c r="O323" s="103"/>
      <c r="Q323" s="16"/>
      <c r="R323" s="16"/>
      <c r="S323" s="16"/>
      <c r="T323" s="103"/>
      <c r="U323" s="16"/>
      <c r="V323" s="16"/>
      <c r="W323" s="16"/>
      <c r="X323" s="103"/>
    </row>
    <row r="324" spans="2:24" x14ac:dyDescent="0.25">
      <c r="B324" s="103"/>
      <c r="C324" s="103"/>
      <c r="D324" s="103"/>
      <c r="E324" s="103"/>
      <c r="F324" s="103"/>
      <c r="H324" s="103"/>
      <c r="I324" s="103"/>
      <c r="J324" s="103"/>
      <c r="K324" s="103"/>
      <c r="L324" s="103"/>
      <c r="N324" s="103"/>
      <c r="O324" s="103"/>
      <c r="Q324" s="16"/>
      <c r="R324" s="16"/>
      <c r="S324" s="16"/>
      <c r="T324" s="103"/>
      <c r="U324" s="16"/>
      <c r="V324" s="16"/>
      <c r="W324" s="16"/>
      <c r="X324" s="103"/>
    </row>
    <row r="325" spans="2:24" x14ac:dyDescent="0.25">
      <c r="B325" s="103"/>
      <c r="C325" s="103"/>
      <c r="D325" s="103"/>
      <c r="E325" s="103"/>
      <c r="F325" s="103"/>
      <c r="H325" s="103"/>
      <c r="I325" s="103"/>
      <c r="J325" s="103"/>
      <c r="K325" s="103"/>
      <c r="L325" s="103"/>
      <c r="N325" s="103"/>
      <c r="O325" s="103"/>
      <c r="Q325" s="16"/>
      <c r="R325" s="16"/>
      <c r="S325" s="16"/>
      <c r="T325" s="103"/>
      <c r="U325" s="16"/>
      <c r="V325" s="16"/>
      <c r="W325" s="16"/>
      <c r="X325" s="103"/>
    </row>
    <row r="326" spans="2:24" x14ac:dyDescent="0.25">
      <c r="B326" s="103"/>
      <c r="C326" s="103"/>
      <c r="D326" s="103"/>
      <c r="E326" s="103"/>
      <c r="F326" s="103"/>
      <c r="H326" s="103"/>
      <c r="I326" s="103"/>
      <c r="J326" s="103"/>
      <c r="K326" s="103"/>
      <c r="L326" s="103"/>
      <c r="N326" s="103"/>
      <c r="O326" s="103"/>
      <c r="Q326" s="16"/>
      <c r="R326" s="16"/>
      <c r="S326" s="16"/>
      <c r="T326" s="103"/>
      <c r="U326" s="16"/>
      <c r="V326" s="16"/>
      <c r="W326" s="16"/>
      <c r="X326" s="103"/>
    </row>
    <row r="327" spans="2:24" x14ac:dyDescent="0.25">
      <c r="B327" s="103"/>
      <c r="C327" s="103"/>
      <c r="D327" s="103"/>
      <c r="E327" s="103"/>
      <c r="F327" s="103"/>
      <c r="H327" s="103"/>
      <c r="I327" s="103"/>
      <c r="J327" s="103"/>
      <c r="K327" s="103"/>
      <c r="L327" s="103"/>
      <c r="N327" s="103"/>
      <c r="O327" s="103"/>
      <c r="Q327" s="16"/>
      <c r="R327" s="16"/>
      <c r="S327" s="16"/>
      <c r="T327" s="103"/>
      <c r="U327" s="16"/>
      <c r="V327" s="16"/>
      <c r="W327" s="16"/>
      <c r="X327" s="103"/>
    </row>
    <row r="328" spans="2:24" x14ac:dyDescent="0.25">
      <c r="B328" s="103"/>
      <c r="C328" s="103"/>
      <c r="D328" s="103"/>
      <c r="E328" s="103"/>
      <c r="F328" s="103"/>
      <c r="H328" s="103"/>
      <c r="I328" s="103"/>
      <c r="J328" s="103"/>
      <c r="K328" s="103"/>
      <c r="L328" s="103"/>
      <c r="N328" s="103"/>
      <c r="O328" s="103"/>
      <c r="Q328" s="16"/>
      <c r="R328" s="16"/>
      <c r="S328" s="16"/>
      <c r="T328" s="103"/>
      <c r="U328" s="16"/>
      <c r="V328" s="16"/>
      <c r="W328" s="16"/>
      <c r="X328" s="103"/>
    </row>
    <row r="329" spans="2:24" x14ac:dyDescent="0.25">
      <c r="B329" s="103"/>
      <c r="C329" s="103"/>
      <c r="D329" s="103"/>
      <c r="E329" s="103"/>
      <c r="F329" s="103"/>
      <c r="H329" s="103"/>
      <c r="I329" s="103"/>
      <c r="J329" s="103"/>
      <c r="K329" s="103"/>
      <c r="L329" s="103"/>
      <c r="N329" s="103"/>
      <c r="O329" s="103"/>
      <c r="Q329" s="16"/>
      <c r="R329" s="16"/>
      <c r="S329" s="16"/>
      <c r="T329" s="103"/>
      <c r="U329" s="16"/>
      <c r="V329" s="16"/>
      <c r="W329" s="16"/>
      <c r="X329" s="103"/>
    </row>
    <row r="330" spans="2:24" x14ac:dyDescent="0.25">
      <c r="B330" s="103"/>
      <c r="C330" s="103"/>
      <c r="D330" s="103"/>
      <c r="E330" s="103"/>
      <c r="F330" s="103"/>
      <c r="H330" s="103"/>
      <c r="I330" s="103"/>
      <c r="J330" s="103"/>
      <c r="K330" s="103"/>
      <c r="L330" s="103"/>
      <c r="N330" s="103"/>
      <c r="O330" s="103"/>
      <c r="Q330" s="16"/>
      <c r="R330" s="16"/>
      <c r="S330" s="16"/>
      <c r="T330" s="103"/>
      <c r="U330" s="16"/>
      <c r="V330" s="16"/>
      <c r="W330" s="16"/>
      <c r="X330" s="103"/>
    </row>
    <row r="331" spans="2:24" x14ac:dyDescent="0.25">
      <c r="B331" s="103"/>
      <c r="C331" s="103"/>
      <c r="D331" s="103"/>
      <c r="E331" s="103"/>
      <c r="F331" s="103"/>
      <c r="H331" s="103"/>
      <c r="I331" s="103"/>
      <c r="J331" s="103"/>
      <c r="K331" s="103"/>
      <c r="L331" s="103"/>
      <c r="N331" s="103"/>
      <c r="O331" s="103"/>
      <c r="Q331" s="16"/>
      <c r="R331" s="16"/>
      <c r="S331" s="16"/>
      <c r="T331" s="103"/>
      <c r="U331" s="16"/>
      <c r="V331" s="16"/>
      <c r="W331" s="16"/>
      <c r="X331" s="103"/>
    </row>
    <row r="332" spans="2:24" x14ac:dyDescent="0.25">
      <c r="B332" s="103"/>
      <c r="C332" s="103"/>
      <c r="D332" s="103"/>
      <c r="E332" s="103"/>
      <c r="F332" s="103"/>
      <c r="H332" s="103"/>
      <c r="I332" s="103"/>
      <c r="J332" s="103"/>
      <c r="K332" s="103"/>
      <c r="L332" s="103"/>
      <c r="N332" s="103"/>
      <c r="O332" s="103"/>
      <c r="Q332" s="16"/>
      <c r="R332" s="16"/>
      <c r="S332" s="16"/>
      <c r="T332" s="103"/>
      <c r="U332" s="16"/>
      <c r="V332" s="16"/>
      <c r="W332" s="16"/>
      <c r="X332" s="103"/>
    </row>
    <row r="333" spans="2:24" x14ac:dyDescent="0.25">
      <c r="B333" s="103"/>
      <c r="C333" s="103"/>
      <c r="D333" s="103"/>
      <c r="E333" s="103"/>
      <c r="F333" s="103"/>
      <c r="H333" s="103"/>
      <c r="I333" s="103"/>
      <c r="J333" s="103"/>
      <c r="K333" s="103"/>
      <c r="L333" s="103"/>
      <c r="N333" s="103"/>
      <c r="O333" s="103"/>
      <c r="Q333" s="16"/>
      <c r="R333" s="16"/>
      <c r="S333" s="16"/>
      <c r="T333" s="103"/>
      <c r="U333" s="16"/>
      <c r="V333" s="16"/>
      <c r="W333" s="16"/>
      <c r="X333" s="103"/>
    </row>
    <row r="334" spans="2:24" x14ac:dyDescent="0.25">
      <c r="B334" s="103"/>
      <c r="C334" s="103"/>
      <c r="D334" s="103"/>
      <c r="E334" s="103"/>
      <c r="F334" s="103"/>
      <c r="H334" s="103"/>
      <c r="I334" s="103"/>
      <c r="J334" s="103"/>
      <c r="K334" s="103"/>
      <c r="L334" s="103"/>
      <c r="N334" s="103"/>
      <c r="O334" s="103"/>
      <c r="Q334" s="16"/>
      <c r="R334" s="16"/>
      <c r="S334" s="16"/>
      <c r="T334" s="103"/>
      <c r="U334" s="16"/>
      <c r="V334" s="16"/>
      <c r="W334" s="16"/>
      <c r="X334" s="103"/>
    </row>
    <row r="335" spans="2:24" x14ac:dyDescent="0.25">
      <c r="B335" s="103"/>
      <c r="C335" s="103"/>
      <c r="D335" s="103"/>
      <c r="E335" s="103"/>
      <c r="F335" s="103"/>
      <c r="H335" s="103"/>
      <c r="I335" s="103"/>
      <c r="J335" s="103"/>
      <c r="K335" s="103"/>
      <c r="L335" s="103"/>
      <c r="N335" s="103"/>
      <c r="O335" s="103"/>
      <c r="Q335" s="16"/>
      <c r="R335" s="16"/>
      <c r="S335" s="16"/>
      <c r="T335" s="103"/>
      <c r="U335" s="16"/>
      <c r="V335" s="16"/>
      <c r="W335" s="16"/>
      <c r="X335" s="103"/>
    </row>
    <row r="336" spans="2:24" x14ac:dyDescent="0.25">
      <c r="B336" s="103"/>
      <c r="C336" s="103"/>
      <c r="D336" s="103"/>
      <c r="E336" s="103"/>
      <c r="F336" s="103"/>
      <c r="H336" s="103"/>
      <c r="I336" s="103"/>
      <c r="J336" s="103"/>
      <c r="K336" s="103"/>
      <c r="L336" s="103"/>
      <c r="N336" s="103"/>
      <c r="O336" s="103"/>
      <c r="Q336" s="16"/>
      <c r="R336" s="16"/>
      <c r="S336" s="16"/>
      <c r="T336" s="103"/>
      <c r="U336" s="16"/>
      <c r="V336" s="16"/>
      <c r="W336" s="16"/>
      <c r="X336" s="103"/>
    </row>
    <row r="337" spans="2:24" x14ac:dyDescent="0.25">
      <c r="B337" s="103"/>
      <c r="C337" s="103"/>
      <c r="D337" s="103"/>
      <c r="E337" s="103"/>
      <c r="F337" s="103"/>
      <c r="H337" s="103"/>
      <c r="I337" s="103"/>
      <c r="J337" s="103"/>
      <c r="K337" s="103"/>
      <c r="L337" s="103"/>
      <c r="N337" s="103"/>
      <c r="O337" s="103"/>
      <c r="Q337" s="16"/>
      <c r="R337" s="16"/>
      <c r="S337" s="16"/>
      <c r="T337" s="103"/>
      <c r="U337" s="16"/>
      <c r="V337" s="16"/>
      <c r="W337" s="16"/>
      <c r="X337" s="103"/>
    </row>
    <row r="338" spans="2:24" x14ac:dyDescent="0.25">
      <c r="B338" s="103"/>
      <c r="C338" s="103"/>
      <c r="D338" s="103"/>
      <c r="E338" s="103"/>
      <c r="F338" s="103"/>
      <c r="H338" s="103"/>
      <c r="I338" s="103"/>
      <c r="J338" s="103"/>
      <c r="K338" s="103"/>
      <c r="L338" s="103"/>
      <c r="N338" s="103"/>
      <c r="O338" s="103"/>
      <c r="Q338" s="16"/>
      <c r="R338" s="16"/>
      <c r="S338" s="16"/>
      <c r="T338" s="103"/>
      <c r="U338" s="16"/>
      <c r="V338" s="16"/>
      <c r="W338" s="16"/>
      <c r="X338" s="103"/>
    </row>
    <row r="339" spans="2:24" x14ac:dyDescent="0.25">
      <c r="B339" s="103"/>
      <c r="C339" s="103"/>
      <c r="D339" s="103"/>
      <c r="E339" s="103"/>
      <c r="F339" s="103"/>
      <c r="H339" s="103"/>
      <c r="I339" s="103"/>
      <c r="J339" s="103"/>
      <c r="K339" s="103"/>
      <c r="L339" s="103"/>
      <c r="N339" s="103"/>
      <c r="O339" s="103"/>
      <c r="Q339" s="16"/>
      <c r="R339" s="16"/>
      <c r="S339" s="16"/>
      <c r="T339" s="103"/>
      <c r="U339" s="16"/>
      <c r="V339" s="16"/>
      <c r="W339" s="16"/>
      <c r="X339" s="103"/>
    </row>
    <row r="340" spans="2:24" x14ac:dyDescent="0.25">
      <c r="B340" s="103"/>
      <c r="C340" s="103"/>
      <c r="D340" s="103"/>
      <c r="E340" s="103"/>
      <c r="F340" s="103"/>
      <c r="H340" s="103"/>
      <c r="I340" s="103"/>
      <c r="J340" s="103"/>
      <c r="K340" s="103"/>
      <c r="L340" s="103"/>
      <c r="N340" s="103"/>
      <c r="O340" s="103"/>
      <c r="Q340" s="16"/>
      <c r="R340" s="16"/>
      <c r="S340" s="16"/>
      <c r="T340" s="103"/>
      <c r="U340" s="16"/>
      <c r="V340" s="16"/>
      <c r="W340" s="16"/>
      <c r="X340" s="103"/>
    </row>
    <row r="341" spans="2:24" x14ac:dyDescent="0.25">
      <c r="B341" s="103"/>
      <c r="C341" s="103"/>
      <c r="D341" s="103"/>
      <c r="E341" s="103"/>
      <c r="F341" s="103"/>
      <c r="H341" s="103"/>
      <c r="I341" s="103"/>
      <c r="J341" s="103"/>
      <c r="K341" s="103"/>
      <c r="L341" s="103"/>
      <c r="N341" s="103"/>
      <c r="O341" s="103"/>
      <c r="Q341" s="16"/>
      <c r="R341" s="16"/>
      <c r="S341" s="16"/>
      <c r="T341" s="103"/>
      <c r="U341" s="16"/>
      <c r="V341" s="16"/>
      <c r="W341" s="16"/>
      <c r="X341" s="103"/>
    </row>
    <row r="342" spans="2:24" x14ac:dyDescent="0.25">
      <c r="B342" s="103"/>
      <c r="C342" s="103"/>
      <c r="D342" s="103"/>
      <c r="E342" s="103"/>
      <c r="F342" s="103"/>
      <c r="H342" s="103"/>
      <c r="I342" s="103"/>
      <c r="J342" s="103"/>
      <c r="K342" s="103"/>
      <c r="L342" s="103"/>
      <c r="N342" s="103"/>
      <c r="O342" s="103"/>
      <c r="Q342" s="16"/>
      <c r="R342" s="16"/>
      <c r="S342" s="16"/>
      <c r="T342" s="103"/>
      <c r="U342" s="16"/>
      <c r="V342" s="16"/>
      <c r="W342" s="16"/>
      <c r="X342" s="103"/>
    </row>
    <row r="343" spans="2:24" x14ac:dyDescent="0.25">
      <c r="B343" s="103"/>
      <c r="C343" s="103"/>
      <c r="D343" s="103"/>
      <c r="E343" s="103"/>
      <c r="F343" s="103"/>
      <c r="H343" s="103"/>
      <c r="I343" s="103"/>
      <c r="J343" s="103"/>
      <c r="K343" s="103"/>
      <c r="L343" s="103"/>
      <c r="N343" s="103"/>
      <c r="O343" s="103"/>
      <c r="Q343" s="16"/>
      <c r="R343" s="16"/>
      <c r="S343" s="16"/>
      <c r="T343" s="103"/>
      <c r="U343" s="16"/>
      <c r="V343" s="16"/>
      <c r="W343" s="16"/>
      <c r="X343" s="103"/>
    </row>
    <row r="344" spans="2:24" x14ac:dyDescent="0.25">
      <c r="B344" s="103"/>
      <c r="C344" s="103"/>
      <c r="D344" s="103"/>
      <c r="E344" s="103"/>
      <c r="F344" s="103"/>
      <c r="H344" s="103"/>
      <c r="I344" s="103"/>
      <c r="J344" s="103"/>
      <c r="K344" s="103"/>
      <c r="L344" s="103"/>
      <c r="N344" s="103"/>
      <c r="O344" s="103"/>
      <c r="Q344" s="16"/>
      <c r="R344" s="16"/>
      <c r="S344" s="16"/>
      <c r="T344" s="103"/>
      <c r="U344" s="16"/>
      <c r="V344" s="16"/>
      <c r="W344" s="16"/>
      <c r="X344" s="103"/>
    </row>
    <row r="345" spans="2:24" x14ac:dyDescent="0.25">
      <c r="B345" s="103"/>
      <c r="C345" s="103"/>
      <c r="D345" s="103"/>
      <c r="E345" s="103"/>
      <c r="F345" s="103"/>
      <c r="H345" s="103"/>
      <c r="I345" s="103"/>
      <c r="J345" s="103"/>
      <c r="K345" s="103"/>
      <c r="L345" s="103"/>
      <c r="N345" s="103"/>
      <c r="O345" s="103"/>
      <c r="Q345" s="16"/>
      <c r="R345" s="16"/>
      <c r="S345" s="16"/>
      <c r="T345" s="103"/>
      <c r="U345" s="16"/>
      <c r="V345" s="16"/>
      <c r="W345" s="16"/>
      <c r="X345" s="103"/>
    </row>
    <row r="346" spans="2:24" x14ac:dyDescent="0.25">
      <c r="B346" s="103"/>
      <c r="C346" s="103"/>
      <c r="D346" s="103"/>
      <c r="E346" s="103"/>
      <c r="F346" s="103"/>
      <c r="H346" s="103"/>
      <c r="I346" s="103"/>
      <c r="J346" s="103"/>
      <c r="K346" s="103"/>
      <c r="L346" s="103"/>
      <c r="N346" s="103"/>
      <c r="O346" s="103"/>
      <c r="Q346" s="16"/>
      <c r="R346" s="16"/>
      <c r="S346" s="16"/>
      <c r="T346" s="103"/>
      <c r="U346" s="16"/>
      <c r="V346" s="16"/>
      <c r="W346" s="16"/>
      <c r="X346" s="103"/>
    </row>
    <row r="347" spans="2:24" x14ac:dyDescent="0.25">
      <c r="B347" s="103"/>
      <c r="C347" s="103"/>
      <c r="D347" s="103"/>
      <c r="E347" s="103"/>
      <c r="F347" s="103"/>
      <c r="H347" s="103"/>
      <c r="I347" s="103"/>
      <c r="J347" s="103"/>
      <c r="K347" s="103"/>
      <c r="L347" s="103"/>
      <c r="N347" s="103"/>
      <c r="O347" s="103"/>
      <c r="Q347" s="16"/>
      <c r="R347" s="16"/>
      <c r="S347" s="16"/>
      <c r="T347" s="103"/>
      <c r="U347" s="16"/>
      <c r="V347" s="16"/>
      <c r="W347" s="16"/>
      <c r="X347" s="103"/>
    </row>
    <row r="348" spans="2:24" x14ac:dyDescent="0.25">
      <c r="B348" s="103"/>
      <c r="C348" s="103"/>
      <c r="D348" s="103"/>
      <c r="E348" s="103"/>
      <c r="F348" s="103"/>
      <c r="H348" s="103"/>
      <c r="I348" s="103"/>
      <c r="J348" s="103"/>
      <c r="K348" s="103"/>
      <c r="L348" s="103"/>
      <c r="N348" s="103"/>
      <c r="O348" s="103"/>
      <c r="Q348" s="16"/>
      <c r="R348" s="16"/>
      <c r="S348" s="16"/>
      <c r="T348" s="103"/>
      <c r="U348" s="16"/>
      <c r="V348" s="16"/>
      <c r="W348" s="16"/>
      <c r="X348" s="103"/>
    </row>
    <row r="349" spans="2:24" x14ac:dyDescent="0.25">
      <c r="B349" s="103"/>
      <c r="C349" s="103"/>
      <c r="D349" s="103"/>
      <c r="E349" s="103"/>
      <c r="F349" s="103"/>
      <c r="H349" s="103"/>
      <c r="I349" s="103"/>
      <c r="J349" s="103"/>
      <c r="K349" s="103"/>
      <c r="L349" s="103"/>
      <c r="N349" s="103"/>
      <c r="O349" s="103"/>
      <c r="Q349" s="16"/>
      <c r="R349" s="16"/>
      <c r="S349" s="16"/>
      <c r="T349" s="103"/>
      <c r="U349" s="16"/>
      <c r="V349" s="16"/>
      <c r="W349" s="16"/>
      <c r="X349" s="103"/>
    </row>
    <row r="350" spans="2:24" x14ac:dyDescent="0.25">
      <c r="B350" s="103"/>
      <c r="C350" s="103"/>
      <c r="D350" s="103"/>
      <c r="E350" s="103"/>
      <c r="F350" s="103"/>
      <c r="H350" s="103"/>
      <c r="I350" s="103"/>
      <c r="J350" s="103"/>
      <c r="K350" s="103"/>
      <c r="L350" s="103"/>
      <c r="N350" s="103"/>
      <c r="O350" s="103"/>
      <c r="Q350" s="16"/>
      <c r="R350" s="16"/>
      <c r="S350" s="16"/>
      <c r="T350" s="103"/>
      <c r="U350" s="16"/>
      <c r="V350" s="16"/>
      <c r="W350" s="16"/>
      <c r="X350" s="103"/>
    </row>
    <row r="351" spans="2:24" x14ac:dyDescent="0.25">
      <c r="B351" s="103"/>
      <c r="C351" s="103"/>
      <c r="D351" s="103"/>
      <c r="E351" s="103"/>
      <c r="F351" s="103"/>
      <c r="H351" s="103"/>
      <c r="I351" s="103"/>
      <c r="J351" s="103"/>
      <c r="K351" s="103"/>
      <c r="L351" s="103"/>
      <c r="N351" s="103"/>
      <c r="O351" s="103"/>
      <c r="Q351" s="16"/>
      <c r="R351" s="16"/>
      <c r="S351" s="16"/>
      <c r="T351" s="103"/>
      <c r="U351" s="16"/>
      <c r="V351" s="16"/>
      <c r="W351" s="16"/>
      <c r="X351" s="103"/>
    </row>
    <row r="352" spans="2:24" x14ac:dyDescent="0.25">
      <c r="B352" s="103"/>
      <c r="C352" s="103"/>
      <c r="D352" s="103"/>
      <c r="E352" s="103"/>
      <c r="F352" s="103"/>
      <c r="H352" s="103"/>
      <c r="I352" s="103"/>
      <c r="J352" s="103"/>
      <c r="K352" s="103"/>
      <c r="L352" s="103"/>
      <c r="N352" s="103"/>
      <c r="O352" s="103"/>
      <c r="Q352" s="16"/>
      <c r="R352" s="16"/>
      <c r="S352" s="16"/>
      <c r="T352" s="103"/>
      <c r="U352" s="16"/>
      <c r="V352" s="16"/>
      <c r="W352" s="16"/>
      <c r="X352" s="103"/>
    </row>
    <row r="353" spans="2:24" x14ac:dyDescent="0.25">
      <c r="B353" s="103"/>
      <c r="C353" s="103"/>
      <c r="D353" s="103"/>
      <c r="E353" s="103"/>
      <c r="F353" s="103"/>
      <c r="H353" s="103"/>
      <c r="I353" s="103"/>
      <c r="J353" s="103"/>
      <c r="K353" s="103"/>
      <c r="L353" s="103"/>
      <c r="N353" s="103"/>
      <c r="O353" s="103"/>
      <c r="Q353" s="16"/>
      <c r="R353" s="16"/>
      <c r="S353" s="16"/>
      <c r="T353" s="103"/>
      <c r="U353" s="16"/>
      <c r="V353" s="16"/>
      <c r="W353" s="16"/>
      <c r="X353" s="103"/>
    </row>
    <row r="354" spans="2:24" x14ac:dyDescent="0.25">
      <c r="B354" s="103"/>
      <c r="C354" s="103"/>
      <c r="D354" s="103"/>
      <c r="E354" s="103"/>
      <c r="F354" s="103"/>
      <c r="H354" s="103"/>
      <c r="I354" s="103"/>
      <c r="J354" s="103"/>
      <c r="K354" s="103"/>
      <c r="L354" s="103"/>
      <c r="N354" s="103"/>
      <c r="O354" s="103"/>
      <c r="Q354" s="16"/>
      <c r="R354" s="16"/>
      <c r="S354" s="16"/>
      <c r="T354" s="103"/>
      <c r="U354" s="16"/>
      <c r="V354" s="16"/>
      <c r="W354" s="16"/>
      <c r="X354" s="103"/>
    </row>
    <row r="355" spans="2:24" x14ac:dyDescent="0.25">
      <c r="B355" s="103"/>
      <c r="C355" s="103"/>
      <c r="D355" s="103"/>
      <c r="E355" s="103"/>
      <c r="F355" s="103"/>
      <c r="H355" s="103"/>
      <c r="I355" s="103"/>
      <c r="J355" s="103"/>
      <c r="K355" s="103"/>
      <c r="L355" s="103"/>
      <c r="N355" s="103"/>
      <c r="O355" s="103"/>
      <c r="Q355" s="16"/>
      <c r="R355" s="16"/>
      <c r="S355" s="16"/>
      <c r="T355" s="103"/>
      <c r="U355" s="16"/>
      <c r="V355" s="16"/>
      <c r="W355" s="16"/>
      <c r="X355" s="103"/>
    </row>
    <row r="356" spans="2:24" x14ac:dyDescent="0.25">
      <c r="B356" s="103"/>
      <c r="C356" s="103"/>
      <c r="D356" s="103"/>
      <c r="E356" s="103"/>
      <c r="F356" s="103"/>
      <c r="H356" s="103"/>
      <c r="I356" s="103"/>
      <c r="J356" s="103"/>
      <c r="K356" s="103"/>
      <c r="L356" s="103"/>
      <c r="N356" s="103"/>
      <c r="O356" s="103"/>
      <c r="Q356" s="16"/>
      <c r="R356" s="16"/>
      <c r="S356" s="16"/>
      <c r="T356" s="103"/>
      <c r="U356" s="16"/>
      <c r="V356" s="16"/>
      <c r="W356" s="16"/>
      <c r="X356" s="103"/>
    </row>
    <row r="357" spans="2:24" x14ac:dyDescent="0.25">
      <c r="B357" s="103"/>
      <c r="C357" s="103"/>
      <c r="D357" s="103"/>
      <c r="E357" s="103"/>
      <c r="F357" s="103"/>
      <c r="H357" s="103"/>
      <c r="I357" s="103"/>
      <c r="J357" s="103"/>
      <c r="K357" s="103"/>
      <c r="L357" s="103"/>
      <c r="N357" s="103"/>
      <c r="O357" s="103"/>
      <c r="Q357" s="16"/>
      <c r="R357" s="16"/>
      <c r="S357" s="16"/>
      <c r="T357" s="103"/>
      <c r="U357" s="16"/>
      <c r="V357" s="16"/>
      <c r="W357" s="16"/>
      <c r="X357" s="103"/>
    </row>
    <row r="358" spans="2:24" x14ac:dyDescent="0.25">
      <c r="B358" s="103"/>
      <c r="C358" s="103"/>
      <c r="D358" s="103"/>
      <c r="E358" s="103"/>
      <c r="F358" s="103"/>
      <c r="H358" s="103"/>
      <c r="I358" s="103"/>
      <c r="J358" s="103"/>
      <c r="K358" s="103"/>
      <c r="L358" s="103"/>
      <c r="N358" s="103"/>
      <c r="O358" s="103"/>
      <c r="Q358" s="16"/>
      <c r="R358" s="16"/>
      <c r="S358" s="16"/>
      <c r="T358" s="103"/>
      <c r="U358" s="16"/>
      <c r="V358" s="16"/>
      <c r="W358" s="16"/>
      <c r="X358" s="103"/>
    </row>
    <row r="359" spans="2:24" x14ac:dyDescent="0.25">
      <c r="B359" s="103"/>
      <c r="C359" s="103"/>
      <c r="D359" s="103"/>
      <c r="E359" s="103"/>
      <c r="F359" s="103"/>
      <c r="H359" s="103"/>
      <c r="I359" s="103"/>
      <c r="J359" s="103"/>
      <c r="K359" s="103"/>
      <c r="L359" s="103"/>
      <c r="N359" s="103"/>
      <c r="O359" s="103"/>
      <c r="Q359" s="16"/>
      <c r="R359" s="16"/>
      <c r="S359" s="16"/>
      <c r="T359" s="103"/>
      <c r="U359" s="16"/>
      <c r="V359" s="16"/>
      <c r="W359" s="16"/>
      <c r="X359" s="103"/>
    </row>
    <row r="360" spans="2:24" x14ac:dyDescent="0.25">
      <c r="B360" s="103"/>
      <c r="C360" s="103"/>
      <c r="D360" s="103"/>
      <c r="E360" s="103"/>
      <c r="F360" s="103"/>
      <c r="H360" s="103"/>
      <c r="I360" s="103"/>
      <c r="J360" s="103"/>
      <c r="K360" s="103"/>
      <c r="L360" s="103"/>
      <c r="N360" s="103"/>
      <c r="O360" s="103"/>
      <c r="Q360" s="16"/>
      <c r="R360" s="16"/>
      <c r="S360" s="16"/>
      <c r="T360" s="103"/>
      <c r="U360" s="16"/>
      <c r="V360" s="16"/>
      <c r="W360" s="16"/>
      <c r="X360" s="103"/>
    </row>
    <row r="361" spans="2:24" x14ac:dyDescent="0.25">
      <c r="B361" s="103"/>
      <c r="C361" s="103"/>
      <c r="D361" s="103"/>
      <c r="E361" s="103"/>
      <c r="F361" s="103"/>
      <c r="H361" s="103"/>
      <c r="I361" s="103"/>
      <c r="J361" s="103"/>
      <c r="K361" s="103"/>
      <c r="L361" s="103"/>
      <c r="N361" s="103"/>
      <c r="O361" s="103"/>
      <c r="Q361" s="16"/>
      <c r="R361" s="16"/>
      <c r="S361" s="16"/>
      <c r="T361" s="103"/>
      <c r="U361" s="16"/>
      <c r="V361" s="16"/>
      <c r="W361" s="16"/>
      <c r="X361" s="103"/>
    </row>
    <row r="362" spans="2:24" x14ac:dyDescent="0.25">
      <c r="B362" s="103"/>
      <c r="C362" s="103"/>
      <c r="D362" s="103"/>
      <c r="E362" s="103"/>
      <c r="F362" s="103"/>
      <c r="H362" s="103"/>
      <c r="I362" s="103"/>
      <c r="J362" s="103"/>
      <c r="K362" s="103"/>
      <c r="L362" s="103"/>
      <c r="N362" s="103"/>
      <c r="O362" s="103"/>
      <c r="Q362" s="16"/>
      <c r="R362" s="16"/>
      <c r="S362" s="16"/>
      <c r="T362" s="103"/>
      <c r="U362" s="16"/>
      <c r="V362" s="16"/>
      <c r="W362" s="16"/>
      <c r="X362" s="103"/>
    </row>
    <row r="363" spans="2:24" x14ac:dyDescent="0.25">
      <c r="B363" s="103"/>
      <c r="C363" s="103"/>
      <c r="D363" s="103"/>
      <c r="E363" s="103"/>
      <c r="F363" s="103"/>
      <c r="H363" s="103"/>
      <c r="I363" s="103"/>
      <c r="J363" s="103"/>
      <c r="K363" s="103"/>
      <c r="L363" s="103"/>
      <c r="N363" s="103"/>
      <c r="O363" s="103"/>
      <c r="Q363" s="16"/>
      <c r="R363" s="16"/>
      <c r="S363" s="16"/>
      <c r="T363" s="103"/>
      <c r="U363" s="16"/>
      <c r="V363" s="16"/>
      <c r="W363" s="16"/>
      <c r="X363" s="103"/>
    </row>
    <row r="364" spans="2:24" x14ac:dyDescent="0.25">
      <c r="B364" s="103"/>
      <c r="C364" s="103"/>
      <c r="D364" s="103"/>
      <c r="E364" s="103"/>
      <c r="F364" s="103"/>
      <c r="H364" s="103"/>
      <c r="I364" s="103"/>
      <c r="J364" s="103"/>
      <c r="K364" s="103"/>
      <c r="L364" s="103"/>
      <c r="N364" s="103"/>
      <c r="O364" s="103"/>
      <c r="Q364" s="16"/>
      <c r="R364" s="16"/>
      <c r="S364" s="16"/>
      <c r="T364" s="103"/>
      <c r="U364" s="16"/>
      <c r="V364" s="16"/>
      <c r="W364" s="16"/>
      <c r="X364" s="103"/>
    </row>
    <row r="365" spans="2:24" x14ac:dyDescent="0.25">
      <c r="B365" s="103"/>
      <c r="C365" s="103"/>
      <c r="D365" s="103"/>
      <c r="E365" s="103"/>
      <c r="F365" s="103"/>
      <c r="H365" s="103"/>
      <c r="I365" s="103"/>
      <c r="J365" s="103"/>
      <c r="K365" s="103"/>
      <c r="L365" s="103"/>
      <c r="N365" s="103"/>
      <c r="O365" s="103"/>
      <c r="Q365" s="16"/>
      <c r="R365" s="16"/>
      <c r="S365" s="16"/>
      <c r="T365" s="103"/>
      <c r="U365" s="16"/>
      <c r="V365" s="16"/>
      <c r="W365" s="16"/>
      <c r="X365" s="103"/>
    </row>
    <row r="366" spans="2:24" x14ac:dyDescent="0.25">
      <c r="B366" s="103"/>
      <c r="C366" s="103"/>
      <c r="D366" s="103"/>
      <c r="E366" s="103"/>
      <c r="F366" s="103"/>
      <c r="H366" s="103"/>
      <c r="I366" s="103"/>
      <c r="J366" s="103"/>
      <c r="K366" s="103"/>
      <c r="L366" s="103"/>
      <c r="N366" s="103"/>
      <c r="O366" s="103"/>
      <c r="Q366" s="16"/>
      <c r="R366" s="16"/>
      <c r="S366" s="16"/>
      <c r="T366" s="103"/>
      <c r="U366" s="16"/>
      <c r="V366" s="16"/>
      <c r="W366" s="16"/>
      <c r="X366" s="103"/>
    </row>
    <row r="367" spans="2:24" x14ac:dyDescent="0.25">
      <c r="B367" s="103"/>
      <c r="C367" s="103"/>
      <c r="D367" s="103"/>
      <c r="E367" s="103"/>
      <c r="F367" s="103"/>
      <c r="H367" s="103"/>
      <c r="I367" s="103"/>
      <c r="J367" s="103"/>
      <c r="K367" s="103"/>
      <c r="L367" s="103"/>
      <c r="N367" s="103"/>
      <c r="O367" s="103"/>
      <c r="Q367" s="16"/>
      <c r="R367" s="16"/>
      <c r="S367" s="16"/>
      <c r="T367" s="103"/>
      <c r="U367" s="16"/>
      <c r="V367" s="16"/>
      <c r="W367" s="16"/>
      <c r="X367" s="103"/>
    </row>
    <row r="368" spans="2:24" x14ac:dyDescent="0.25">
      <c r="B368" s="103"/>
      <c r="C368" s="103"/>
      <c r="D368" s="103"/>
      <c r="E368" s="103"/>
      <c r="F368" s="103"/>
      <c r="H368" s="103"/>
      <c r="I368" s="103"/>
      <c r="J368" s="103"/>
      <c r="K368" s="103"/>
      <c r="L368" s="103"/>
      <c r="N368" s="103"/>
      <c r="O368" s="103"/>
      <c r="Q368" s="16"/>
      <c r="R368" s="16"/>
      <c r="S368" s="16"/>
      <c r="T368" s="103"/>
      <c r="U368" s="16"/>
      <c r="V368" s="16"/>
      <c r="W368" s="16"/>
      <c r="X368" s="103"/>
    </row>
    <row r="369" spans="2:24" x14ac:dyDescent="0.25">
      <c r="B369" s="103"/>
      <c r="C369" s="103"/>
      <c r="D369" s="103"/>
      <c r="E369" s="103"/>
      <c r="F369" s="103"/>
      <c r="H369" s="103"/>
      <c r="I369" s="103"/>
      <c r="J369" s="103"/>
      <c r="K369" s="103"/>
      <c r="L369" s="103"/>
      <c r="N369" s="103"/>
      <c r="O369" s="103"/>
      <c r="Q369" s="16"/>
      <c r="R369" s="16"/>
      <c r="S369" s="16"/>
      <c r="T369" s="103"/>
      <c r="U369" s="16"/>
      <c r="V369" s="16"/>
      <c r="W369" s="16"/>
      <c r="X369" s="103"/>
    </row>
    <row r="370" spans="2:24" x14ac:dyDescent="0.25">
      <c r="B370" s="103"/>
      <c r="C370" s="103"/>
      <c r="D370" s="103"/>
      <c r="E370" s="103"/>
      <c r="F370" s="103"/>
      <c r="H370" s="103"/>
      <c r="I370" s="103"/>
      <c r="J370" s="103"/>
      <c r="K370" s="103"/>
      <c r="L370" s="103"/>
      <c r="N370" s="103"/>
      <c r="O370" s="103"/>
      <c r="Q370" s="16"/>
      <c r="R370" s="16"/>
      <c r="S370" s="16"/>
      <c r="T370" s="103"/>
      <c r="U370" s="16"/>
      <c r="V370" s="16"/>
      <c r="W370" s="16"/>
      <c r="X370" s="103"/>
    </row>
    <row r="371" spans="2:24" x14ac:dyDescent="0.25">
      <c r="B371" s="103"/>
      <c r="C371" s="103"/>
      <c r="D371" s="103"/>
      <c r="E371" s="103"/>
      <c r="F371" s="103"/>
      <c r="H371" s="103"/>
      <c r="I371" s="103"/>
      <c r="J371" s="103"/>
      <c r="K371" s="103"/>
      <c r="L371" s="103"/>
      <c r="N371" s="103"/>
      <c r="O371" s="103"/>
      <c r="Q371" s="16"/>
      <c r="R371" s="16"/>
      <c r="S371" s="16"/>
      <c r="T371" s="103"/>
      <c r="U371" s="16"/>
      <c r="V371" s="16"/>
      <c r="W371" s="16"/>
      <c r="X371" s="103"/>
    </row>
    <row r="372" spans="2:24" x14ac:dyDescent="0.25">
      <c r="B372" s="103"/>
      <c r="C372" s="103"/>
      <c r="D372" s="103"/>
      <c r="E372" s="103"/>
      <c r="F372" s="103"/>
      <c r="H372" s="103"/>
      <c r="I372" s="103"/>
      <c r="J372" s="103"/>
      <c r="K372" s="103"/>
      <c r="L372" s="103"/>
      <c r="N372" s="103"/>
      <c r="O372" s="103"/>
      <c r="Q372" s="16"/>
      <c r="R372" s="16"/>
      <c r="S372" s="16"/>
      <c r="T372" s="103"/>
      <c r="U372" s="16"/>
      <c r="V372" s="16"/>
      <c r="W372" s="16"/>
      <c r="X372" s="103"/>
    </row>
    <row r="373" spans="2:24" x14ac:dyDescent="0.25">
      <c r="B373" s="103"/>
      <c r="C373" s="103"/>
      <c r="D373" s="103"/>
      <c r="E373" s="103"/>
      <c r="F373" s="103"/>
      <c r="H373" s="103"/>
      <c r="I373" s="103"/>
      <c r="J373" s="103"/>
      <c r="K373" s="103"/>
      <c r="L373" s="103"/>
      <c r="N373" s="103"/>
      <c r="O373" s="103"/>
      <c r="Q373" s="16"/>
      <c r="R373" s="16"/>
      <c r="S373" s="16"/>
      <c r="T373" s="103"/>
      <c r="U373" s="16"/>
      <c r="V373" s="16"/>
      <c r="W373" s="16"/>
      <c r="X373" s="103"/>
    </row>
    <row r="374" spans="2:24" x14ac:dyDescent="0.25">
      <c r="B374" s="103"/>
      <c r="C374" s="103"/>
      <c r="D374" s="103"/>
      <c r="E374" s="103"/>
      <c r="F374" s="103"/>
      <c r="H374" s="103"/>
      <c r="I374" s="103"/>
      <c r="J374" s="103"/>
      <c r="K374" s="103"/>
      <c r="L374" s="103"/>
      <c r="N374" s="103"/>
      <c r="O374" s="103"/>
      <c r="Q374" s="16"/>
      <c r="R374" s="16"/>
      <c r="S374" s="16"/>
      <c r="T374" s="103"/>
      <c r="U374" s="16"/>
      <c r="V374" s="16"/>
      <c r="W374" s="16"/>
      <c r="X374" s="103"/>
    </row>
    <row r="375" spans="2:24" x14ac:dyDescent="0.25">
      <c r="B375" s="103"/>
      <c r="C375" s="103"/>
      <c r="D375" s="103"/>
      <c r="E375" s="103"/>
      <c r="F375" s="103"/>
      <c r="H375" s="103"/>
      <c r="I375" s="103"/>
      <c r="J375" s="103"/>
      <c r="K375" s="103"/>
      <c r="L375" s="103"/>
      <c r="N375" s="103"/>
      <c r="O375" s="103"/>
      <c r="Q375" s="16"/>
      <c r="R375" s="16"/>
      <c r="S375" s="16"/>
      <c r="T375" s="103"/>
      <c r="U375" s="16"/>
      <c r="V375" s="16"/>
      <c r="W375" s="16"/>
      <c r="X375" s="103"/>
    </row>
    <row r="376" spans="2:24" x14ac:dyDescent="0.25">
      <c r="B376" s="103"/>
      <c r="C376" s="103"/>
      <c r="D376" s="103"/>
      <c r="E376" s="103"/>
      <c r="F376" s="103"/>
      <c r="H376" s="103"/>
      <c r="I376" s="103"/>
      <c r="J376" s="103"/>
      <c r="K376" s="103"/>
      <c r="L376" s="103"/>
      <c r="N376" s="103"/>
      <c r="O376" s="103"/>
      <c r="Q376" s="16"/>
      <c r="R376" s="16"/>
      <c r="S376" s="16"/>
      <c r="T376" s="103"/>
      <c r="U376" s="16"/>
      <c r="V376" s="16"/>
      <c r="W376" s="16"/>
      <c r="X376" s="103"/>
    </row>
    <row r="377" spans="2:24" x14ac:dyDescent="0.25">
      <c r="B377" s="103"/>
      <c r="C377" s="103"/>
      <c r="D377" s="103"/>
      <c r="E377" s="103"/>
      <c r="F377" s="103"/>
      <c r="H377" s="103"/>
      <c r="I377" s="103"/>
      <c r="J377" s="103"/>
      <c r="K377" s="103"/>
      <c r="L377" s="103"/>
      <c r="N377" s="103"/>
      <c r="O377" s="103"/>
      <c r="Q377" s="16"/>
      <c r="R377" s="16"/>
      <c r="S377" s="16"/>
      <c r="T377" s="103"/>
      <c r="U377" s="16"/>
      <c r="V377" s="16"/>
      <c r="W377" s="16"/>
      <c r="X377" s="103"/>
    </row>
    <row r="378" spans="2:24" x14ac:dyDescent="0.25">
      <c r="B378" s="103"/>
      <c r="C378" s="103"/>
      <c r="D378" s="103"/>
      <c r="E378" s="103"/>
      <c r="F378" s="103"/>
      <c r="H378" s="103"/>
      <c r="I378" s="103"/>
      <c r="J378" s="103"/>
      <c r="K378" s="103"/>
      <c r="L378" s="103"/>
      <c r="N378" s="103"/>
      <c r="O378" s="103"/>
      <c r="Q378" s="16"/>
      <c r="R378" s="16"/>
      <c r="S378" s="16"/>
      <c r="T378" s="103"/>
      <c r="U378" s="16"/>
      <c r="V378" s="16"/>
      <c r="W378" s="16"/>
      <c r="X378" s="103"/>
    </row>
    <row r="379" spans="2:24" x14ac:dyDescent="0.25">
      <c r="B379" s="103"/>
      <c r="C379" s="103"/>
      <c r="D379" s="103"/>
      <c r="E379" s="103"/>
      <c r="F379" s="103"/>
      <c r="H379" s="103"/>
      <c r="I379" s="103"/>
      <c r="J379" s="103"/>
      <c r="K379" s="103"/>
      <c r="L379" s="103"/>
      <c r="N379" s="103"/>
      <c r="O379" s="103"/>
      <c r="Q379" s="16"/>
      <c r="R379" s="16"/>
      <c r="S379" s="16"/>
      <c r="T379" s="103"/>
      <c r="U379" s="16"/>
      <c r="V379" s="16"/>
      <c r="W379" s="16"/>
      <c r="X379" s="103"/>
    </row>
    <row r="380" spans="2:24" x14ac:dyDescent="0.25">
      <c r="B380" s="103"/>
      <c r="C380" s="103"/>
      <c r="D380" s="103"/>
      <c r="E380" s="103"/>
      <c r="F380" s="103"/>
      <c r="H380" s="103"/>
      <c r="I380" s="103"/>
      <c r="J380" s="103"/>
      <c r="K380" s="103"/>
      <c r="L380" s="103"/>
      <c r="N380" s="103"/>
      <c r="O380" s="103"/>
      <c r="Q380" s="16"/>
      <c r="R380" s="16"/>
      <c r="S380" s="16"/>
      <c r="T380" s="103"/>
      <c r="U380" s="16"/>
      <c r="V380" s="16"/>
      <c r="W380" s="16"/>
      <c r="X380" s="103"/>
    </row>
    <row r="381" spans="2:24" x14ac:dyDescent="0.25">
      <c r="B381" s="103"/>
      <c r="C381" s="103"/>
      <c r="D381" s="103"/>
      <c r="E381" s="103"/>
      <c r="F381" s="103"/>
      <c r="H381" s="103"/>
      <c r="I381" s="103"/>
      <c r="J381" s="103"/>
      <c r="K381" s="103"/>
      <c r="L381" s="103"/>
      <c r="N381" s="103"/>
      <c r="O381" s="103"/>
      <c r="Q381" s="16"/>
      <c r="R381" s="16"/>
      <c r="S381" s="16"/>
      <c r="T381" s="103"/>
      <c r="U381" s="16"/>
      <c r="V381" s="16"/>
      <c r="W381" s="16"/>
      <c r="X381" s="103"/>
    </row>
    <row r="382" spans="2:24" x14ac:dyDescent="0.25">
      <c r="B382" s="103"/>
      <c r="C382" s="103"/>
      <c r="D382" s="103"/>
      <c r="E382" s="103"/>
      <c r="F382" s="103"/>
      <c r="H382" s="103"/>
      <c r="I382" s="103"/>
      <c r="J382" s="103"/>
      <c r="K382" s="103"/>
      <c r="L382" s="103"/>
      <c r="N382" s="103"/>
      <c r="O382" s="103"/>
      <c r="Q382" s="16"/>
      <c r="R382" s="16"/>
      <c r="S382" s="16"/>
      <c r="T382" s="103"/>
      <c r="U382" s="16"/>
      <c r="V382" s="16"/>
      <c r="W382" s="16"/>
      <c r="X382" s="103"/>
    </row>
    <row r="383" spans="2:24" x14ac:dyDescent="0.25">
      <c r="B383" s="103"/>
      <c r="C383" s="103"/>
      <c r="D383" s="103"/>
      <c r="E383" s="103"/>
      <c r="F383" s="103"/>
      <c r="H383" s="103"/>
      <c r="I383" s="103"/>
      <c r="J383" s="103"/>
      <c r="K383" s="103"/>
      <c r="L383" s="103"/>
      <c r="N383" s="103"/>
      <c r="O383" s="103"/>
      <c r="Q383" s="16"/>
      <c r="R383" s="16"/>
      <c r="S383" s="16"/>
      <c r="T383" s="103"/>
      <c r="U383" s="16"/>
      <c r="V383" s="16"/>
      <c r="W383" s="16"/>
      <c r="X383" s="103"/>
    </row>
    <row r="384" spans="2:24" x14ac:dyDescent="0.25">
      <c r="B384" s="103"/>
      <c r="C384" s="103"/>
      <c r="D384" s="103"/>
      <c r="E384" s="103"/>
      <c r="F384" s="103"/>
      <c r="H384" s="103"/>
      <c r="I384" s="103"/>
      <c r="J384" s="103"/>
      <c r="K384" s="103"/>
      <c r="L384" s="103"/>
      <c r="N384" s="103"/>
      <c r="O384" s="103"/>
      <c r="Q384" s="16"/>
      <c r="R384" s="16"/>
      <c r="S384" s="16"/>
      <c r="T384" s="103"/>
      <c r="U384" s="16"/>
      <c r="V384" s="16"/>
      <c r="W384" s="16"/>
      <c r="X384" s="103"/>
    </row>
    <row r="385" spans="2:24" x14ac:dyDescent="0.25">
      <c r="B385" s="103"/>
      <c r="C385" s="103"/>
      <c r="D385" s="103"/>
      <c r="E385" s="103"/>
      <c r="F385" s="103"/>
      <c r="H385" s="103"/>
      <c r="I385" s="103"/>
      <c r="J385" s="103"/>
      <c r="K385" s="103"/>
      <c r="L385" s="103"/>
      <c r="N385" s="103"/>
      <c r="O385" s="103"/>
      <c r="Q385" s="16"/>
      <c r="R385" s="16"/>
      <c r="S385" s="16"/>
      <c r="T385" s="103"/>
      <c r="U385" s="16"/>
      <c r="V385" s="16"/>
      <c r="W385" s="16"/>
      <c r="X385" s="103"/>
    </row>
    <row r="386" spans="2:24" x14ac:dyDescent="0.25">
      <c r="B386" s="103"/>
      <c r="C386" s="103"/>
      <c r="D386" s="103"/>
      <c r="E386" s="103"/>
      <c r="F386" s="103"/>
      <c r="H386" s="103"/>
      <c r="I386" s="103"/>
      <c r="J386" s="103"/>
      <c r="K386" s="103"/>
      <c r="L386" s="103"/>
      <c r="N386" s="103"/>
      <c r="O386" s="103"/>
      <c r="Q386" s="16"/>
      <c r="R386" s="16"/>
      <c r="S386" s="16"/>
      <c r="T386" s="103"/>
      <c r="U386" s="16"/>
      <c r="V386" s="16"/>
      <c r="W386" s="16"/>
      <c r="X386" s="103"/>
    </row>
    <row r="387" spans="2:24" x14ac:dyDescent="0.25">
      <c r="B387" s="103"/>
      <c r="C387" s="103"/>
      <c r="D387" s="103"/>
      <c r="E387" s="103"/>
      <c r="F387" s="103"/>
      <c r="H387" s="103"/>
      <c r="I387" s="103"/>
      <c r="J387" s="103"/>
      <c r="K387" s="103"/>
      <c r="L387" s="103"/>
      <c r="N387" s="103"/>
      <c r="O387" s="103"/>
      <c r="Q387" s="16"/>
      <c r="R387" s="16"/>
      <c r="S387" s="16"/>
      <c r="T387" s="103"/>
      <c r="U387" s="16"/>
      <c r="V387" s="16"/>
      <c r="W387" s="16"/>
      <c r="X387" s="103"/>
    </row>
    <row r="388" spans="2:24" x14ac:dyDescent="0.25">
      <c r="B388" s="103"/>
      <c r="C388" s="103"/>
      <c r="D388" s="103"/>
      <c r="E388" s="103"/>
      <c r="F388" s="103"/>
      <c r="H388" s="103"/>
      <c r="I388" s="103"/>
      <c r="J388" s="103"/>
      <c r="K388" s="103"/>
      <c r="L388" s="103"/>
      <c r="N388" s="103"/>
      <c r="O388" s="103"/>
      <c r="Q388" s="16"/>
      <c r="R388" s="16"/>
      <c r="S388" s="16"/>
      <c r="T388" s="103"/>
      <c r="U388" s="16"/>
      <c r="V388" s="16"/>
      <c r="W388" s="16"/>
      <c r="X388" s="103"/>
    </row>
    <row r="389" spans="2:24" x14ac:dyDescent="0.25">
      <c r="B389" s="103"/>
      <c r="C389" s="103"/>
      <c r="D389" s="103"/>
      <c r="E389" s="103"/>
      <c r="F389" s="103"/>
      <c r="H389" s="103"/>
      <c r="I389" s="103"/>
      <c r="J389" s="103"/>
      <c r="K389" s="103"/>
      <c r="L389" s="103"/>
      <c r="N389" s="103"/>
      <c r="O389" s="103"/>
      <c r="Q389" s="16"/>
      <c r="R389" s="16"/>
      <c r="S389" s="16"/>
      <c r="T389" s="103"/>
      <c r="U389" s="16"/>
      <c r="V389" s="16"/>
      <c r="W389" s="16"/>
      <c r="X389" s="103"/>
    </row>
    <row r="390" spans="2:24" x14ac:dyDescent="0.25">
      <c r="B390" s="103"/>
      <c r="C390" s="103"/>
      <c r="D390" s="103"/>
      <c r="E390" s="103"/>
      <c r="F390" s="103"/>
      <c r="H390" s="103"/>
      <c r="I390" s="103"/>
      <c r="J390" s="103"/>
      <c r="K390" s="103"/>
      <c r="L390" s="103"/>
      <c r="N390" s="103"/>
      <c r="O390" s="103"/>
      <c r="Q390" s="16"/>
      <c r="R390" s="16"/>
      <c r="S390" s="16"/>
      <c r="T390" s="103"/>
      <c r="U390" s="16"/>
      <c r="V390" s="16"/>
      <c r="W390" s="16"/>
      <c r="X390" s="103"/>
    </row>
    <row r="391" spans="2:24" x14ac:dyDescent="0.25">
      <c r="B391" s="103"/>
      <c r="C391" s="103"/>
      <c r="D391" s="103"/>
      <c r="E391" s="103"/>
      <c r="F391" s="103"/>
      <c r="H391" s="103"/>
      <c r="I391" s="103"/>
      <c r="J391" s="103"/>
      <c r="K391" s="103"/>
      <c r="L391" s="103"/>
      <c r="N391" s="103"/>
      <c r="O391" s="103"/>
      <c r="Q391" s="16"/>
      <c r="R391" s="16"/>
      <c r="S391" s="16"/>
      <c r="T391" s="103"/>
      <c r="U391" s="16"/>
      <c r="V391" s="16"/>
      <c r="W391" s="16"/>
      <c r="X391" s="103"/>
    </row>
    <row r="392" spans="2:24" x14ac:dyDescent="0.25">
      <c r="B392" s="103"/>
      <c r="C392" s="103"/>
      <c r="D392" s="103"/>
      <c r="E392" s="103"/>
      <c r="F392" s="103"/>
      <c r="H392" s="103"/>
      <c r="I392" s="103"/>
      <c r="J392" s="103"/>
      <c r="K392" s="103"/>
      <c r="L392" s="103"/>
      <c r="N392" s="103"/>
      <c r="O392" s="103"/>
      <c r="Q392" s="16"/>
      <c r="R392" s="16"/>
      <c r="S392" s="16"/>
      <c r="T392" s="103"/>
      <c r="U392" s="16"/>
      <c r="V392" s="16"/>
      <c r="W392" s="16"/>
      <c r="X392" s="103"/>
    </row>
    <row r="393" spans="2:24" x14ac:dyDescent="0.25">
      <c r="B393" s="103"/>
      <c r="C393" s="103"/>
      <c r="D393" s="103"/>
      <c r="E393" s="103"/>
      <c r="F393" s="103"/>
      <c r="H393" s="103"/>
      <c r="I393" s="103"/>
      <c r="J393" s="103"/>
      <c r="K393" s="103"/>
      <c r="L393" s="103"/>
      <c r="N393" s="103"/>
      <c r="O393" s="103"/>
      <c r="Q393" s="16"/>
      <c r="R393" s="16"/>
      <c r="S393" s="16"/>
      <c r="T393" s="103"/>
      <c r="U393" s="16"/>
      <c r="V393" s="16"/>
      <c r="W393" s="16"/>
      <c r="X393" s="103"/>
    </row>
    <row r="394" spans="2:24" x14ac:dyDescent="0.25">
      <c r="B394" s="103"/>
      <c r="C394" s="103"/>
      <c r="D394" s="103"/>
      <c r="E394" s="103"/>
      <c r="F394" s="103"/>
      <c r="H394" s="103"/>
      <c r="I394" s="103"/>
      <c r="J394" s="103"/>
      <c r="K394" s="103"/>
      <c r="L394" s="103"/>
      <c r="N394" s="103"/>
      <c r="O394" s="103"/>
      <c r="Q394" s="16"/>
      <c r="R394" s="16"/>
      <c r="S394" s="16"/>
      <c r="T394" s="103"/>
      <c r="U394" s="16"/>
      <c r="V394" s="16"/>
      <c r="W394" s="16"/>
      <c r="X394" s="103"/>
    </row>
    <row r="395" spans="2:24" x14ac:dyDescent="0.25">
      <c r="B395" s="103"/>
      <c r="C395" s="103"/>
      <c r="D395" s="103"/>
      <c r="E395" s="103"/>
      <c r="F395" s="103"/>
      <c r="H395" s="103"/>
      <c r="I395" s="103"/>
      <c r="J395" s="103"/>
      <c r="K395" s="103"/>
      <c r="L395" s="103"/>
      <c r="N395" s="103"/>
      <c r="O395" s="103"/>
      <c r="Q395" s="16"/>
      <c r="R395" s="16"/>
      <c r="S395" s="16"/>
      <c r="T395" s="103"/>
      <c r="U395" s="16"/>
      <c r="V395" s="16"/>
      <c r="W395" s="16"/>
      <c r="X395" s="103"/>
    </row>
    <row r="396" spans="2:24" x14ac:dyDescent="0.25">
      <c r="B396" s="103"/>
      <c r="C396" s="103"/>
      <c r="D396" s="103"/>
      <c r="E396" s="103"/>
      <c r="F396" s="103"/>
      <c r="H396" s="103"/>
      <c r="I396" s="103"/>
      <c r="J396" s="103"/>
      <c r="K396" s="103"/>
      <c r="L396" s="103"/>
      <c r="N396" s="103"/>
      <c r="O396" s="103"/>
      <c r="Q396" s="16"/>
      <c r="R396" s="16"/>
      <c r="S396" s="16"/>
      <c r="T396" s="103"/>
      <c r="U396" s="16"/>
      <c r="V396" s="16"/>
      <c r="W396" s="16"/>
      <c r="X396" s="103"/>
    </row>
    <row r="397" spans="2:24" x14ac:dyDescent="0.25">
      <c r="B397" s="103"/>
      <c r="C397" s="103"/>
      <c r="D397" s="103"/>
      <c r="E397" s="103"/>
      <c r="F397" s="103"/>
      <c r="H397" s="103"/>
      <c r="I397" s="103"/>
      <c r="J397" s="103"/>
      <c r="K397" s="103"/>
      <c r="L397" s="103"/>
      <c r="N397" s="103"/>
      <c r="O397" s="103"/>
      <c r="Q397" s="16"/>
      <c r="R397" s="16"/>
      <c r="S397" s="16"/>
      <c r="T397" s="103"/>
      <c r="U397" s="16"/>
      <c r="V397" s="16"/>
      <c r="W397" s="16"/>
      <c r="X397" s="103"/>
    </row>
    <row r="398" spans="2:24" x14ac:dyDescent="0.25">
      <c r="B398" s="103"/>
      <c r="C398" s="103"/>
      <c r="D398" s="103"/>
      <c r="E398" s="103"/>
      <c r="F398" s="103"/>
      <c r="H398" s="103"/>
      <c r="I398" s="103"/>
      <c r="J398" s="103"/>
      <c r="K398" s="103"/>
      <c r="L398" s="103"/>
      <c r="N398" s="103"/>
      <c r="O398" s="103"/>
      <c r="Q398" s="16"/>
      <c r="R398" s="16"/>
      <c r="S398" s="16"/>
      <c r="T398" s="103"/>
      <c r="U398" s="16"/>
      <c r="V398" s="16"/>
      <c r="W398" s="16"/>
      <c r="X398" s="103"/>
    </row>
    <row r="399" spans="2:24" x14ac:dyDescent="0.25">
      <c r="B399" s="103"/>
      <c r="C399" s="103"/>
      <c r="D399" s="103"/>
      <c r="E399" s="103"/>
      <c r="F399" s="103"/>
      <c r="H399" s="103"/>
      <c r="I399" s="103"/>
      <c r="J399" s="103"/>
      <c r="K399" s="103"/>
      <c r="L399" s="103"/>
      <c r="N399" s="103"/>
      <c r="O399" s="103"/>
      <c r="Q399" s="16"/>
      <c r="R399" s="16"/>
      <c r="S399" s="16"/>
      <c r="T399" s="103"/>
      <c r="U399" s="16"/>
      <c r="V399" s="16"/>
      <c r="W399" s="16"/>
      <c r="X399" s="103"/>
    </row>
    <row r="400" spans="2:24" x14ac:dyDescent="0.25">
      <c r="B400" s="103"/>
      <c r="C400" s="103"/>
      <c r="D400" s="103"/>
      <c r="E400" s="103"/>
      <c r="F400" s="103"/>
      <c r="H400" s="103"/>
      <c r="I400" s="103"/>
      <c r="J400" s="103"/>
      <c r="K400" s="103"/>
      <c r="L400" s="103"/>
      <c r="N400" s="103"/>
      <c r="O400" s="103"/>
      <c r="Q400" s="16"/>
      <c r="R400" s="16"/>
      <c r="S400" s="16"/>
      <c r="T400" s="103"/>
      <c r="U400" s="16"/>
      <c r="V400" s="16"/>
      <c r="W400" s="16"/>
      <c r="X400" s="103"/>
    </row>
    <row r="401" spans="2:24" x14ac:dyDescent="0.25">
      <c r="B401" s="103"/>
      <c r="C401" s="103"/>
      <c r="D401" s="103"/>
      <c r="E401" s="103"/>
      <c r="F401" s="103"/>
      <c r="H401" s="103"/>
      <c r="I401" s="103"/>
      <c r="J401" s="103"/>
      <c r="K401" s="103"/>
      <c r="L401" s="103"/>
      <c r="N401" s="103"/>
      <c r="O401" s="103"/>
      <c r="Q401" s="16"/>
      <c r="R401" s="16"/>
      <c r="S401" s="16"/>
      <c r="T401" s="103"/>
      <c r="U401" s="16"/>
      <c r="V401" s="16"/>
      <c r="W401" s="16"/>
      <c r="X401" s="103"/>
    </row>
    <row r="402" spans="2:24" x14ac:dyDescent="0.25">
      <c r="B402" s="103"/>
      <c r="C402" s="103"/>
      <c r="D402" s="103"/>
      <c r="E402" s="103"/>
      <c r="F402" s="103"/>
      <c r="H402" s="103"/>
      <c r="I402" s="103"/>
      <c r="J402" s="103"/>
      <c r="K402" s="103"/>
      <c r="L402" s="103"/>
      <c r="N402" s="103"/>
      <c r="O402" s="103"/>
      <c r="Q402" s="16"/>
      <c r="R402" s="16"/>
      <c r="S402" s="16"/>
      <c r="T402" s="103"/>
      <c r="U402" s="16"/>
      <c r="V402" s="16"/>
      <c r="W402" s="16"/>
      <c r="X402" s="103"/>
    </row>
    <row r="403" spans="2:24" x14ac:dyDescent="0.25">
      <c r="B403" s="103"/>
      <c r="C403" s="103"/>
      <c r="D403" s="103"/>
      <c r="E403" s="103"/>
      <c r="F403" s="103"/>
      <c r="H403" s="103"/>
      <c r="I403" s="103"/>
      <c r="J403" s="103"/>
      <c r="K403" s="103"/>
      <c r="L403" s="103"/>
      <c r="N403" s="103"/>
      <c r="O403" s="103"/>
      <c r="Q403" s="16"/>
      <c r="R403" s="16"/>
      <c r="S403" s="16"/>
      <c r="T403" s="103"/>
      <c r="U403" s="16"/>
      <c r="V403" s="16"/>
      <c r="W403" s="16"/>
      <c r="X403" s="103"/>
    </row>
    <row r="404" spans="2:24" x14ac:dyDescent="0.25">
      <c r="B404" s="103"/>
      <c r="C404" s="103"/>
      <c r="D404" s="103"/>
      <c r="E404" s="103"/>
      <c r="F404" s="103"/>
      <c r="H404" s="103"/>
      <c r="I404" s="103"/>
      <c r="J404" s="103"/>
      <c r="K404" s="103"/>
      <c r="L404" s="103"/>
      <c r="N404" s="103"/>
      <c r="O404" s="103"/>
      <c r="Q404" s="16"/>
      <c r="R404" s="16"/>
      <c r="S404" s="16"/>
      <c r="T404" s="103"/>
      <c r="U404" s="16"/>
      <c r="V404" s="16"/>
      <c r="W404" s="16"/>
      <c r="X404" s="103"/>
    </row>
    <row r="405" spans="2:24" x14ac:dyDescent="0.25">
      <c r="B405" s="103"/>
      <c r="C405" s="103"/>
      <c r="D405" s="103"/>
      <c r="E405" s="103"/>
      <c r="F405" s="103"/>
      <c r="H405" s="103"/>
      <c r="I405" s="103"/>
      <c r="J405" s="103"/>
      <c r="K405" s="103"/>
      <c r="L405" s="103"/>
      <c r="N405" s="103"/>
      <c r="O405" s="103"/>
      <c r="Q405" s="16"/>
      <c r="R405" s="16"/>
      <c r="S405" s="16"/>
      <c r="T405" s="103"/>
      <c r="U405" s="16"/>
      <c r="V405" s="16"/>
      <c r="W405" s="16"/>
      <c r="X405" s="103"/>
    </row>
    <row r="406" spans="2:24" x14ac:dyDescent="0.25">
      <c r="B406" s="103"/>
      <c r="C406" s="103"/>
      <c r="D406" s="103"/>
      <c r="E406" s="103"/>
      <c r="F406" s="103"/>
      <c r="H406" s="103"/>
      <c r="I406" s="103"/>
      <c r="J406" s="103"/>
      <c r="K406" s="103"/>
      <c r="L406" s="103"/>
      <c r="N406" s="103"/>
      <c r="O406" s="103"/>
      <c r="Q406" s="16"/>
      <c r="R406" s="16"/>
      <c r="S406" s="16"/>
      <c r="T406" s="103"/>
      <c r="U406" s="16"/>
      <c r="V406" s="16"/>
      <c r="W406" s="16"/>
      <c r="X406" s="103"/>
    </row>
    <row r="407" spans="2:24" x14ac:dyDescent="0.25">
      <c r="B407" s="103"/>
      <c r="C407" s="103"/>
      <c r="D407" s="103"/>
      <c r="E407" s="103"/>
      <c r="F407" s="103"/>
      <c r="H407" s="103"/>
      <c r="I407" s="103"/>
      <c r="J407" s="103"/>
      <c r="K407" s="103"/>
      <c r="L407" s="103"/>
      <c r="N407" s="103"/>
      <c r="O407" s="103"/>
      <c r="Q407" s="16"/>
      <c r="R407" s="16"/>
      <c r="S407" s="16"/>
      <c r="T407" s="103"/>
      <c r="U407" s="16"/>
      <c r="V407" s="16"/>
      <c r="W407" s="16"/>
      <c r="X407" s="103"/>
    </row>
    <row r="408" spans="2:24" x14ac:dyDescent="0.25">
      <c r="B408" s="103"/>
      <c r="C408" s="103"/>
      <c r="D408" s="103"/>
      <c r="E408" s="103"/>
      <c r="F408" s="103"/>
      <c r="H408" s="103"/>
      <c r="I408" s="103"/>
      <c r="J408" s="103"/>
      <c r="K408" s="103"/>
      <c r="L408" s="103"/>
      <c r="N408" s="103"/>
      <c r="O408" s="103"/>
      <c r="Q408" s="16"/>
      <c r="R408" s="16"/>
      <c r="S408" s="16"/>
      <c r="T408" s="103"/>
      <c r="U408" s="16"/>
      <c r="V408" s="16"/>
      <c r="W408" s="16"/>
      <c r="X408" s="103"/>
    </row>
    <row r="409" spans="2:24" x14ac:dyDescent="0.25">
      <c r="B409" s="103"/>
      <c r="C409" s="103"/>
      <c r="D409" s="103"/>
      <c r="E409" s="103"/>
      <c r="F409" s="103"/>
      <c r="H409" s="103"/>
      <c r="I409" s="103"/>
      <c r="J409" s="103"/>
      <c r="K409" s="103"/>
      <c r="L409" s="103"/>
      <c r="N409" s="103"/>
      <c r="O409" s="103"/>
      <c r="Q409" s="16"/>
      <c r="R409" s="16"/>
      <c r="S409" s="16"/>
      <c r="T409" s="103"/>
      <c r="U409" s="16"/>
      <c r="V409" s="16"/>
      <c r="W409" s="16"/>
      <c r="X409" s="103"/>
    </row>
    <row r="410" spans="2:24" x14ac:dyDescent="0.25">
      <c r="B410" s="103"/>
      <c r="C410" s="103"/>
      <c r="D410" s="103"/>
      <c r="E410" s="103"/>
      <c r="F410" s="103"/>
      <c r="H410" s="103"/>
      <c r="I410" s="103"/>
      <c r="J410" s="103"/>
      <c r="K410" s="103"/>
      <c r="L410" s="103"/>
      <c r="N410" s="103"/>
      <c r="O410" s="103"/>
      <c r="Q410" s="16"/>
      <c r="R410" s="16"/>
      <c r="S410" s="16"/>
      <c r="T410" s="103"/>
      <c r="U410" s="16"/>
      <c r="V410" s="16"/>
      <c r="W410" s="16"/>
      <c r="X410" s="103"/>
    </row>
    <row r="411" spans="2:24" x14ac:dyDescent="0.25">
      <c r="B411" s="103"/>
      <c r="C411" s="103"/>
      <c r="D411" s="103"/>
      <c r="E411" s="103"/>
      <c r="F411" s="103"/>
      <c r="H411" s="103"/>
      <c r="I411" s="103"/>
      <c r="J411" s="103"/>
      <c r="K411" s="103"/>
      <c r="L411" s="103"/>
      <c r="N411" s="103"/>
      <c r="O411" s="103"/>
      <c r="Q411" s="16"/>
      <c r="R411" s="16"/>
      <c r="S411" s="16"/>
      <c r="T411" s="103"/>
      <c r="U411" s="16"/>
      <c r="V411" s="16"/>
      <c r="W411" s="16"/>
      <c r="X411" s="103"/>
    </row>
    <row r="412" spans="2:24" x14ac:dyDescent="0.25">
      <c r="B412" s="103"/>
      <c r="C412" s="103"/>
      <c r="D412" s="103"/>
      <c r="E412" s="103"/>
      <c r="F412" s="103"/>
      <c r="H412" s="103"/>
      <c r="I412" s="103"/>
      <c r="J412" s="103"/>
      <c r="K412" s="103"/>
      <c r="L412" s="103"/>
      <c r="N412" s="103"/>
      <c r="O412" s="103"/>
      <c r="Q412" s="16"/>
      <c r="R412" s="16"/>
      <c r="S412" s="16"/>
      <c r="T412" s="103"/>
      <c r="U412" s="16"/>
      <c r="V412" s="16"/>
      <c r="W412" s="16"/>
      <c r="X412" s="103"/>
    </row>
    <row r="413" spans="2:24" x14ac:dyDescent="0.25">
      <c r="B413" s="103"/>
      <c r="C413" s="103"/>
      <c r="D413" s="103"/>
      <c r="E413" s="103"/>
      <c r="F413" s="103"/>
      <c r="H413" s="103"/>
      <c r="I413" s="103"/>
      <c r="J413" s="103"/>
      <c r="K413" s="103"/>
      <c r="L413" s="103"/>
      <c r="N413" s="103"/>
      <c r="O413" s="103"/>
      <c r="Q413" s="16"/>
      <c r="R413" s="16"/>
      <c r="S413" s="16"/>
      <c r="T413" s="103"/>
      <c r="U413" s="16"/>
      <c r="V413" s="16"/>
      <c r="W413" s="16"/>
      <c r="X413" s="103"/>
    </row>
    <row r="414" spans="2:24" x14ac:dyDescent="0.25">
      <c r="B414" s="103"/>
      <c r="C414" s="103"/>
      <c r="D414" s="103"/>
      <c r="E414" s="103"/>
      <c r="F414" s="103"/>
      <c r="H414" s="103"/>
      <c r="I414" s="103"/>
      <c r="J414" s="103"/>
      <c r="K414" s="103"/>
      <c r="L414" s="103"/>
      <c r="N414" s="103"/>
      <c r="O414" s="103"/>
      <c r="Q414" s="16"/>
      <c r="R414" s="16"/>
      <c r="S414" s="16"/>
      <c r="T414" s="103"/>
      <c r="U414" s="16"/>
      <c r="V414" s="16"/>
      <c r="W414" s="16"/>
      <c r="X414" s="103"/>
    </row>
    <row r="415" spans="2:24" x14ac:dyDescent="0.25">
      <c r="B415" s="103"/>
      <c r="C415" s="103"/>
      <c r="D415" s="103"/>
      <c r="E415" s="103"/>
      <c r="F415" s="103"/>
      <c r="H415" s="103"/>
      <c r="I415" s="103"/>
      <c r="J415" s="103"/>
      <c r="K415" s="103"/>
      <c r="L415" s="103"/>
      <c r="N415" s="103"/>
      <c r="O415" s="103"/>
      <c r="Q415" s="16"/>
      <c r="R415" s="16"/>
      <c r="S415" s="16"/>
      <c r="T415" s="103"/>
      <c r="U415" s="16"/>
      <c r="V415" s="16"/>
      <c r="W415" s="16"/>
      <c r="X415" s="103"/>
    </row>
    <row r="416" spans="2:24" x14ac:dyDescent="0.25">
      <c r="B416" s="103"/>
      <c r="C416" s="103"/>
      <c r="D416" s="103"/>
      <c r="E416" s="103"/>
      <c r="F416" s="103"/>
      <c r="H416" s="103"/>
      <c r="I416" s="103"/>
      <c r="J416" s="103"/>
      <c r="K416" s="103"/>
      <c r="L416" s="103"/>
      <c r="N416" s="103"/>
      <c r="O416" s="103"/>
      <c r="Q416" s="16"/>
      <c r="R416" s="16"/>
      <c r="S416" s="16"/>
      <c r="T416" s="103"/>
      <c r="U416" s="16"/>
      <c r="V416" s="16"/>
      <c r="W416" s="16"/>
      <c r="X416" s="103"/>
    </row>
    <row r="417" spans="2:24" x14ac:dyDescent="0.25">
      <c r="B417" s="103"/>
      <c r="C417" s="103"/>
      <c r="D417" s="103"/>
      <c r="E417" s="103"/>
      <c r="F417" s="103"/>
      <c r="H417" s="103"/>
      <c r="I417" s="103"/>
      <c r="J417" s="103"/>
      <c r="K417" s="103"/>
      <c r="L417" s="103"/>
      <c r="N417" s="103"/>
      <c r="O417" s="103"/>
      <c r="Q417" s="16"/>
      <c r="R417" s="16"/>
      <c r="S417" s="16"/>
      <c r="T417" s="103"/>
      <c r="U417" s="16"/>
      <c r="V417" s="16"/>
      <c r="W417" s="16"/>
      <c r="X417" s="103"/>
    </row>
    <row r="418" spans="2:24" x14ac:dyDescent="0.25">
      <c r="B418" s="103"/>
      <c r="C418" s="103"/>
      <c r="D418" s="103"/>
      <c r="E418" s="103"/>
      <c r="F418" s="103"/>
      <c r="H418" s="103"/>
      <c r="I418" s="103"/>
      <c r="J418" s="103"/>
      <c r="K418" s="103"/>
      <c r="L418" s="103"/>
      <c r="N418" s="103"/>
      <c r="O418" s="103"/>
      <c r="Q418" s="16"/>
      <c r="R418" s="16"/>
      <c r="S418" s="16"/>
      <c r="T418" s="103"/>
      <c r="U418" s="16"/>
      <c r="V418" s="16"/>
      <c r="W418" s="16"/>
      <c r="X418" s="103"/>
    </row>
    <row r="419" spans="2:24" x14ac:dyDescent="0.25">
      <c r="B419" s="103"/>
      <c r="C419" s="103"/>
      <c r="D419" s="103"/>
      <c r="E419" s="103"/>
      <c r="F419" s="103"/>
      <c r="H419" s="103"/>
      <c r="I419" s="103"/>
      <c r="J419" s="103"/>
      <c r="K419" s="103"/>
      <c r="L419" s="103"/>
      <c r="N419" s="103"/>
      <c r="O419" s="103"/>
      <c r="Q419" s="16"/>
      <c r="R419" s="16"/>
      <c r="S419" s="16"/>
      <c r="T419" s="103"/>
      <c r="U419" s="16"/>
      <c r="V419" s="16"/>
      <c r="W419" s="16"/>
      <c r="X419" s="103"/>
    </row>
    <row r="420" spans="2:24" x14ac:dyDescent="0.25">
      <c r="B420" s="103"/>
      <c r="C420" s="103"/>
      <c r="D420" s="103"/>
      <c r="E420" s="103"/>
      <c r="F420" s="103"/>
      <c r="H420" s="103"/>
      <c r="I420" s="103"/>
      <c r="J420" s="103"/>
      <c r="K420" s="103"/>
      <c r="L420" s="103"/>
      <c r="N420" s="103"/>
      <c r="O420" s="103"/>
      <c r="Q420" s="16"/>
      <c r="R420" s="16"/>
      <c r="S420" s="16"/>
      <c r="T420" s="103"/>
      <c r="U420" s="16"/>
      <c r="V420" s="16"/>
      <c r="W420" s="16"/>
      <c r="X420" s="103"/>
    </row>
    <row r="421" spans="2:24" x14ac:dyDescent="0.25">
      <c r="B421" s="103"/>
      <c r="C421" s="103"/>
      <c r="D421" s="103"/>
      <c r="E421" s="103"/>
      <c r="F421" s="103"/>
      <c r="H421" s="103"/>
      <c r="I421" s="103"/>
      <c r="J421" s="103"/>
      <c r="K421" s="103"/>
      <c r="L421" s="103"/>
      <c r="N421" s="103"/>
      <c r="O421" s="103"/>
      <c r="Q421" s="16"/>
      <c r="R421" s="16"/>
      <c r="S421" s="16"/>
      <c r="T421" s="103"/>
      <c r="U421" s="16"/>
      <c r="V421" s="16"/>
      <c r="W421" s="16"/>
      <c r="X421" s="103"/>
    </row>
    <row r="422" spans="2:24" x14ac:dyDescent="0.25">
      <c r="B422" s="103"/>
      <c r="C422" s="103"/>
      <c r="D422" s="103"/>
      <c r="E422" s="103"/>
      <c r="F422" s="103"/>
      <c r="H422" s="103"/>
      <c r="I422" s="103"/>
      <c r="J422" s="103"/>
      <c r="K422" s="103"/>
      <c r="L422" s="103"/>
      <c r="N422" s="103"/>
      <c r="O422" s="103"/>
      <c r="Q422" s="16"/>
      <c r="R422" s="16"/>
      <c r="S422" s="16"/>
      <c r="T422" s="103"/>
      <c r="U422" s="16"/>
      <c r="V422" s="16"/>
      <c r="W422" s="16"/>
      <c r="X422" s="103"/>
    </row>
    <row r="423" spans="2:24" x14ac:dyDescent="0.25">
      <c r="B423" s="103"/>
      <c r="C423" s="103"/>
      <c r="D423" s="103"/>
      <c r="E423" s="103"/>
      <c r="F423" s="103"/>
      <c r="H423" s="103"/>
      <c r="I423" s="103"/>
      <c r="J423" s="103"/>
      <c r="K423" s="103"/>
      <c r="L423" s="103"/>
      <c r="N423" s="103"/>
      <c r="O423" s="103"/>
      <c r="Q423" s="16"/>
      <c r="R423" s="16"/>
      <c r="S423" s="16"/>
      <c r="T423" s="103"/>
      <c r="U423" s="16"/>
      <c r="V423" s="16"/>
      <c r="W423" s="16"/>
      <c r="X423" s="103"/>
    </row>
    <row r="424" spans="2:24" x14ac:dyDescent="0.25">
      <c r="B424" s="103"/>
      <c r="C424" s="103"/>
      <c r="D424" s="103"/>
      <c r="E424" s="103"/>
      <c r="F424" s="103"/>
      <c r="H424" s="103"/>
      <c r="I424" s="103"/>
      <c r="J424" s="103"/>
      <c r="K424" s="103"/>
      <c r="L424" s="103"/>
      <c r="N424" s="103"/>
      <c r="O424" s="103"/>
      <c r="Q424" s="16"/>
      <c r="R424" s="16"/>
      <c r="S424" s="16"/>
      <c r="T424" s="103"/>
      <c r="U424" s="16"/>
      <c r="V424" s="16"/>
      <c r="W424" s="16"/>
      <c r="X424" s="103"/>
    </row>
    <row r="425" spans="2:24" x14ac:dyDescent="0.25">
      <c r="B425" s="103"/>
      <c r="C425" s="103"/>
      <c r="D425" s="103"/>
      <c r="E425" s="103"/>
      <c r="F425" s="103"/>
      <c r="H425" s="103"/>
      <c r="I425" s="103"/>
      <c r="J425" s="103"/>
      <c r="K425" s="103"/>
      <c r="L425" s="103"/>
      <c r="N425" s="103"/>
      <c r="O425" s="103"/>
      <c r="Q425" s="16"/>
      <c r="R425" s="16"/>
      <c r="S425" s="16"/>
      <c r="T425" s="103"/>
      <c r="U425" s="16"/>
      <c r="V425" s="16"/>
      <c r="W425" s="16"/>
      <c r="X425" s="103"/>
    </row>
    <row r="426" spans="2:24" x14ac:dyDescent="0.25">
      <c r="B426" s="103"/>
      <c r="C426" s="103"/>
      <c r="D426" s="103"/>
      <c r="E426" s="103"/>
      <c r="F426" s="103"/>
      <c r="H426" s="103"/>
      <c r="I426" s="103"/>
      <c r="J426" s="103"/>
      <c r="K426" s="103"/>
      <c r="L426" s="103"/>
      <c r="N426" s="103"/>
      <c r="O426" s="103"/>
      <c r="Q426" s="16"/>
      <c r="R426" s="16"/>
      <c r="S426" s="16"/>
      <c r="T426" s="103"/>
      <c r="U426" s="16"/>
      <c r="V426" s="16"/>
      <c r="W426" s="16"/>
      <c r="X426" s="103"/>
    </row>
    <row r="427" spans="2:24" x14ac:dyDescent="0.25">
      <c r="B427" s="103"/>
      <c r="C427" s="103"/>
      <c r="D427" s="103"/>
      <c r="E427" s="103"/>
      <c r="F427" s="103"/>
      <c r="H427" s="103"/>
      <c r="I427" s="103"/>
      <c r="J427" s="103"/>
      <c r="K427" s="103"/>
      <c r="L427" s="103"/>
      <c r="N427" s="103"/>
      <c r="O427" s="103"/>
      <c r="Q427" s="16"/>
      <c r="R427" s="16"/>
      <c r="S427" s="16"/>
      <c r="T427" s="103"/>
      <c r="U427" s="16"/>
      <c r="V427" s="16"/>
      <c r="W427" s="16"/>
      <c r="X427" s="103"/>
    </row>
    <row r="428" spans="2:24" x14ac:dyDescent="0.25">
      <c r="B428" s="103"/>
      <c r="C428" s="103"/>
      <c r="D428" s="103"/>
      <c r="E428" s="103"/>
      <c r="F428" s="103"/>
      <c r="H428" s="103"/>
      <c r="I428" s="103"/>
      <c r="J428" s="103"/>
      <c r="K428" s="103"/>
      <c r="L428" s="103"/>
      <c r="N428" s="103"/>
      <c r="O428" s="103"/>
      <c r="Q428" s="16"/>
      <c r="R428" s="16"/>
      <c r="S428" s="16"/>
      <c r="T428" s="103"/>
      <c r="U428" s="16"/>
      <c r="V428" s="16"/>
      <c r="W428" s="16"/>
      <c r="X428" s="103"/>
    </row>
    <row r="429" spans="2:24" x14ac:dyDescent="0.25">
      <c r="B429" s="103"/>
      <c r="C429" s="103"/>
      <c r="D429" s="103"/>
      <c r="E429" s="103"/>
      <c r="F429" s="103"/>
      <c r="H429" s="103"/>
      <c r="I429" s="103"/>
      <c r="J429" s="103"/>
      <c r="K429" s="103"/>
      <c r="L429" s="103"/>
      <c r="N429" s="103"/>
      <c r="O429" s="103"/>
      <c r="Q429" s="16"/>
      <c r="R429" s="16"/>
      <c r="S429" s="16"/>
      <c r="T429" s="103"/>
      <c r="U429" s="16"/>
      <c r="V429" s="16"/>
      <c r="W429" s="16"/>
      <c r="X429" s="103"/>
    </row>
    <row r="430" spans="2:24" x14ac:dyDescent="0.25">
      <c r="B430" s="103"/>
      <c r="C430" s="103"/>
      <c r="D430" s="103"/>
      <c r="E430" s="103"/>
      <c r="F430" s="103"/>
      <c r="H430" s="103"/>
      <c r="I430" s="103"/>
      <c r="J430" s="103"/>
      <c r="K430" s="103"/>
      <c r="L430" s="103"/>
      <c r="N430" s="103"/>
      <c r="O430" s="103"/>
      <c r="Q430" s="16"/>
      <c r="R430" s="16"/>
      <c r="S430" s="16"/>
      <c r="T430" s="103"/>
      <c r="U430" s="16"/>
      <c r="V430" s="16"/>
      <c r="W430" s="16"/>
      <c r="X430" s="103"/>
    </row>
    <row r="431" spans="2:24" x14ac:dyDescent="0.25">
      <c r="B431" s="103"/>
      <c r="C431" s="103"/>
      <c r="D431" s="103"/>
      <c r="E431" s="103"/>
      <c r="F431" s="103"/>
      <c r="H431" s="103"/>
      <c r="I431" s="103"/>
      <c r="J431" s="103"/>
      <c r="K431" s="103"/>
      <c r="L431" s="103"/>
      <c r="N431" s="103"/>
      <c r="O431" s="103"/>
      <c r="Q431" s="16"/>
      <c r="R431" s="16"/>
      <c r="S431" s="16"/>
      <c r="T431" s="103"/>
      <c r="U431" s="16"/>
      <c r="V431" s="16"/>
      <c r="W431" s="16"/>
      <c r="X431" s="103"/>
    </row>
    <row r="432" spans="2:24" x14ac:dyDescent="0.25">
      <c r="B432" s="103"/>
      <c r="C432" s="103"/>
      <c r="D432" s="103"/>
      <c r="E432" s="103"/>
      <c r="F432" s="103"/>
      <c r="H432" s="103"/>
      <c r="I432" s="103"/>
      <c r="J432" s="103"/>
      <c r="K432" s="103"/>
      <c r="L432" s="103"/>
      <c r="N432" s="103"/>
      <c r="O432" s="103"/>
      <c r="Q432" s="16"/>
      <c r="R432" s="16"/>
      <c r="S432" s="16"/>
      <c r="T432" s="103"/>
      <c r="U432" s="16"/>
      <c r="V432" s="16"/>
      <c r="W432" s="16"/>
      <c r="X432" s="103"/>
    </row>
    <row r="433" spans="2:24" x14ac:dyDescent="0.25">
      <c r="B433" s="103"/>
      <c r="C433" s="103"/>
      <c r="D433" s="103"/>
      <c r="E433" s="103"/>
      <c r="F433" s="103"/>
      <c r="H433" s="103"/>
      <c r="I433" s="103"/>
      <c r="J433" s="103"/>
      <c r="K433" s="103"/>
      <c r="L433" s="103"/>
      <c r="N433" s="103"/>
      <c r="O433" s="103"/>
      <c r="Q433" s="16"/>
      <c r="R433" s="16"/>
      <c r="S433" s="16"/>
      <c r="T433" s="103"/>
      <c r="U433" s="16"/>
      <c r="V433" s="16"/>
      <c r="W433" s="16"/>
      <c r="X433" s="103"/>
    </row>
    <row r="434" spans="2:24" x14ac:dyDescent="0.25">
      <c r="B434" s="103"/>
      <c r="C434" s="103"/>
      <c r="D434" s="103"/>
      <c r="E434" s="103"/>
      <c r="F434" s="103"/>
      <c r="H434" s="103"/>
      <c r="I434" s="103"/>
      <c r="J434" s="103"/>
      <c r="K434" s="103"/>
      <c r="L434" s="103"/>
      <c r="N434" s="103"/>
      <c r="O434" s="103"/>
      <c r="Q434" s="16"/>
      <c r="R434" s="16"/>
      <c r="S434" s="16"/>
      <c r="T434" s="103"/>
      <c r="U434" s="16"/>
      <c r="V434" s="16"/>
      <c r="W434" s="16"/>
      <c r="X434" s="103"/>
    </row>
    <row r="435" spans="2:24" x14ac:dyDescent="0.25">
      <c r="B435" s="103"/>
      <c r="C435" s="103"/>
      <c r="D435" s="103"/>
      <c r="E435" s="103"/>
      <c r="F435" s="103"/>
      <c r="H435" s="103"/>
      <c r="I435" s="103"/>
      <c r="J435" s="103"/>
      <c r="K435" s="103"/>
      <c r="L435" s="103"/>
      <c r="N435" s="103"/>
      <c r="O435" s="103"/>
      <c r="Q435" s="16"/>
      <c r="R435" s="16"/>
      <c r="S435" s="16"/>
      <c r="T435" s="103"/>
      <c r="U435" s="16"/>
      <c r="V435" s="16"/>
      <c r="W435" s="16"/>
      <c r="X435" s="103"/>
    </row>
    <row r="436" spans="2:24" x14ac:dyDescent="0.25">
      <c r="B436" s="103"/>
      <c r="C436" s="103"/>
      <c r="D436" s="103"/>
      <c r="E436" s="103"/>
      <c r="F436" s="103"/>
      <c r="H436" s="103"/>
      <c r="I436" s="103"/>
      <c r="J436" s="103"/>
      <c r="K436" s="103"/>
      <c r="L436" s="103"/>
      <c r="N436" s="103"/>
      <c r="O436" s="103"/>
      <c r="Q436" s="16"/>
      <c r="R436" s="16"/>
      <c r="S436" s="16"/>
      <c r="T436" s="103"/>
      <c r="U436" s="16"/>
      <c r="V436" s="16"/>
      <c r="W436" s="16"/>
      <c r="X436" s="103"/>
    </row>
    <row r="437" spans="2:24" x14ac:dyDescent="0.25">
      <c r="B437" s="103"/>
      <c r="C437" s="103"/>
      <c r="D437" s="103"/>
      <c r="E437" s="103"/>
      <c r="F437" s="103"/>
      <c r="H437" s="103"/>
      <c r="I437" s="103"/>
      <c r="J437" s="103"/>
      <c r="K437" s="103"/>
      <c r="L437" s="103"/>
      <c r="N437" s="103"/>
      <c r="O437" s="103"/>
      <c r="Q437" s="16"/>
      <c r="R437" s="16"/>
      <c r="S437" s="16"/>
      <c r="T437" s="103"/>
      <c r="U437" s="16"/>
      <c r="V437" s="16"/>
      <c r="W437" s="16"/>
      <c r="X437" s="103"/>
    </row>
    <row r="438" spans="2:24" x14ac:dyDescent="0.25">
      <c r="B438" s="103"/>
      <c r="C438" s="103"/>
      <c r="D438" s="103"/>
      <c r="E438" s="103"/>
      <c r="F438" s="103"/>
      <c r="H438" s="103"/>
      <c r="I438" s="103"/>
      <c r="J438" s="103"/>
      <c r="K438" s="103"/>
      <c r="L438" s="103"/>
      <c r="N438" s="103"/>
      <c r="O438" s="103"/>
      <c r="Q438" s="16"/>
      <c r="R438" s="16"/>
      <c r="S438" s="16"/>
      <c r="T438" s="103"/>
      <c r="U438" s="16"/>
      <c r="V438" s="16"/>
      <c r="W438" s="16"/>
      <c r="X438" s="103"/>
    </row>
    <row r="439" spans="2:24" x14ac:dyDescent="0.25">
      <c r="B439" s="103"/>
      <c r="C439" s="103"/>
      <c r="D439" s="103"/>
      <c r="E439" s="103"/>
      <c r="F439" s="103"/>
      <c r="H439" s="103"/>
      <c r="I439" s="103"/>
      <c r="J439" s="103"/>
      <c r="K439" s="103"/>
      <c r="L439" s="103"/>
      <c r="N439" s="103"/>
      <c r="O439" s="103"/>
      <c r="Q439" s="16"/>
      <c r="R439" s="16"/>
      <c r="S439" s="16"/>
      <c r="T439" s="103"/>
      <c r="U439" s="16"/>
      <c r="V439" s="16"/>
      <c r="W439" s="16"/>
      <c r="X439" s="103"/>
    </row>
    <row r="440" spans="2:24" x14ac:dyDescent="0.25">
      <c r="B440" s="103"/>
      <c r="C440" s="103"/>
      <c r="D440" s="103"/>
      <c r="E440" s="103"/>
      <c r="F440" s="103"/>
      <c r="H440" s="103"/>
      <c r="I440" s="103"/>
      <c r="J440" s="103"/>
      <c r="K440" s="103"/>
      <c r="L440" s="103"/>
      <c r="N440" s="103"/>
      <c r="O440" s="103"/>
      <c r="Q440" s="16"/>
      <c r="R440" s="16"/>
      <c r="S440" s="16"/>
      <c r="T440" s="103"/>
      <c r="U440" s="16"/>
      <c r="V440" s="16"/>
      <c r="W440" s="16"/>
      <c r="X440" s="103"/>
    </row>
    <row r="441" spans="2:24" x14ac:dyDescent="0.25">
      <c r="B441" s="103"/>
      <c r="C441" s="103"/>
      <c r="D441" s="103"/>
      <c r="E441" s="103"/>
      <c r="F441" s="103"/>
      <c r="H441" s="103"/>
      <c r="I441" s="103"/>
      <c r="J441" s="103"/>
      <c r="K441" s="103"/>
      <c r="L441" s="103"/>
      <c r="N441" s="103"/>
      <c r="O441" s="103"/>
      <c r="Q441" s="16"/>
      <c r="R441" s="16"/>
      <c r="S441" s="16"/>
      <c r="T441" s="103"/>
      <c r="U441" s="16"/>
      <c r="V441" s="16"/>
      <c r="W441" s="16"/>
      <c r="X441" s="103"/>
    </row>
    <row r="442" spans="2:24" x14ac:dyDescent="0.25">
      <c r="B442" s="103"/>
      <c r="C442" s="103"/>
      <c r="D442" s="103"/>
      <c r="E442" s="103"/>
      <c r="F442" s="103"/>
      <c r="H442" s="103"/>
      <c r="I442" s="103"/>
      <c r="J442" s="103"/>
      <c r="K442" s="103"/>
      <c r="L442" s="103"/>
      <c r="N442" s="103"/>
      <c r="O442" s="103"/>
      <c r="Q442" s="16"/>
      <c r="R442" s="16"/>
      <c r="S442" s="16"/>
      <c r="T442" s="103"/>
      <c r="U442" s="16"/>
      <c r="V442" s="16"/>
      <c r="W442" s="16"/>
      <c r="X442" s="103"/>
    </row>
    <row r="443" spans="2:24" x14ac:dyDescent="0.25">
      <c r="B443" s="103"/>
      <c r="C443" s="103"/>
      <c r="D443" s="103"/>
      <c r="E443" s="103"/>
      <c r="F443" s="103"/>
      <c r="H443" s="103"/>
      <c r="I443" s="103"/>
      <c r="J443" s="103"/>
      <c r="K443" s="103"/>
      <c r="L443" s="103"/>
      <c r="N443" s="103"/>
      <c r="O443" s="103"/>
      <c r="Q443" s="16"/>
      <c r="R443" s="16"/>
      <c r="S443" s="16"/>
      <c r="T443" s="103"/>
      <c r="U443" s="16"/>
      <c r="V443" s="16"/>
      <c r="W443" s="16"/>
      <c r="X443" s="103"/>
    </row>
    <row r="444" spans="2:24" x14ac:dyDescent="0.25">
      <c r="B444" s="103"/>
      <c r="C444" s="103"/>
      <c r="D444" s="103"/>
      <c r="E444" s="103"/>
      <c r="F444" s="103"/>
      <c r="H444" s="103"/>
      <c r="I444" s="103"/>
      <c r="J444" s="103"/>
      <c r="K444" s="103"/>
      <c r="L444" s="103"/>
      <c r="N444" s="103"/>
      <c r="O444" s="103"/>
      <c r="Q444" s="16"/>
      <c r="R444" s="16"/>
      <c r="S444" s="16"/>
      <c r="T444" s="103"/>
      <c r="U444" s="16"/>
      <c r="V444" s="16"/>
      <c r="W444" s="16"/>
      <c r="X444" s="103"/>
    </row>
    <row r="445" spans="2:24" x14ac:dyDescent="0.25">
      <c r="B445" s="103"/>
      <c r="C445" s="103"/>
      <c r="D445" s="103"/>
      <c r="E445" s="103"/>
      <c r="F445" s="103"/>
      <c r="H445" s="103"/>
      <c r="I445" s="103"/>
      <c r="J445" s="103"/>
      <c r="K445" s="103"/>
      <c r="L445" s="103"/>
      <c r="N445" s="103"/>
      <c r="O445" s="103"/>
      <c r="Q445" s="16"/>
      <c r="R445" s="16"/>
      <c r="S445" s="16"/>
      <c r="T445" s="103"/>
      <c r="U445" s="16"/>
      <c r="V445" s="16"/>
      <c r="W445" s="16"/>
      <c r="X445" s="103"/>
    </row>
    <row r="446" spans="2:24" x14ac:dyDescent="0.25">
      <c r="B446" s="103"/>
      <c r="C446" s="103"/>
      <c r="D446" s="103"/>
      <c r="E446" s="103"/>
      <c r="F446" s="103"/>
      <c r="H446" s="103"/>
      <c r="I446" s="103"/>
      <c r="J446" s="103"/>
      <c r="K446" s="103"/>
      <c r="L446" s="103"/>
      <c r="N446" s="103"/>
      <c r="O446" s="103"/>
      <c r="Q446" s="16"/>
      <c r="R446" s="16"/>
      <c r="S446" s="16"/>
      <c r="T446" s="103"/>
      <c r="U446" s="16"/>
      <c r="V446" s="16"/>
      <c r="W446" s="16"/>
      <c r="X446" s="103"/>
    </row>
    <row r="447" spans="2:24" x14ac:dyDescent="0.25">
      <c r="B447" s="103"/>
      <c r="C447" s="103"/>
      <c r="D447" s="103"/>
      <c r="E447" s="103"/>
      <c r="F447" s="103"/>
      <c r="H447" s="103"/>
      <c r="I447" s="103"/>
      <c r="J447" s="103"/>
      <c r="K447" s="103"/>
      <c r="L447" s="103"/>
      <c r="N447" s="103"/>
      <c r="O447" s="103"/>
      <c r="Q447" s="16"/>
      <c r="R447" s="16"/>
      <c r="S447" s="16"/>
      <c r="T447" s="103"/>
      <c r="U447" s="16"/>
      <c r="V447" s="16"/>
      <c r="W447" s="16"/>
      <c r="X447" s="103"/>
    </row>
    <row r="448" spans="2:24" x14ac:dyDescent="0.25">
      <c r="B448" s="103"/>
      <c r="C448" s="103"/>
      <c r="D448" s="103"/>
      <c r="E448" s="103"/>
      <c r="F448" s="103"/>
      <c r="H448" s="103"/>
      <c r="I448" s="103"/>
      <c r="J448" s="103"/>
      <c r="K448" s="103"/>
      <c r="L448" s="103"/>
      <c r="N448" s="103"/>
      <c r="O448" s="103"/>
      <c r="Q448" s="16"/>
      <c r="R448" s="16"/>
      <c r="S448" s="16"/>
      <c r="T448" s="103"/>
      <c r="U448" s="16"/>
      <c r="V448" s="16"/>
      <c r="W448" s="16"/>
      <c r="X448" s="103"/>
    </row>
    <row r="449" spans="2:24" x14ac:dyDescent="0.25">
      <c r="B449" s="103"/>
      <c r="C449" s="103"/>
      <c r="D449" s="103"/>
      <c r="E449" s="103"/>
      <c r="F449" s="103"/>
      <c r="H449" s="103"/>
      <c r="I449" s="103"/>
      <c r="J449" s="103"/>
      <c r="K449" s="103"/>
      <c r="L449" s="103"/>
      <c r="N449" s="103"/>
      <c r="O449" s="103"/>
      <c r="Q449" s="16"/>
      <c r="R449" s="16"/>
      <c r="S449" s="16"/>
      <c r="T449" s="103"/>
      <c r="U449" s="16"/>
      <c r="V449" s="16"/>
      <c r="W449" s="16"/>
      <c r="X449" s="103"/>
    </row>
    <row r="450" spans="2:24" x14ac:dyDescent="0.25">
      <c r="B450" s="103"/>
      <c r="C450" s="103"/>
      <c r="D450" s="103"/>
      <c r="E450" s="103"/>
      <c r="F450" s="103"/>
      <c r="H450" s="103"/>
      <c r="I450" s="103"/>
      <c r="J450" s="103"/>
      <c r="K450" s="103"/>
      <c r="L450" s="103"/>
      <c r="N450" s="103"/>
      <c r="O450" s="103"/>
      <c r="Q450" s="16"/>
      <c r="R450" s="16"/>
      <c r="S450" s="16"/>
      <c r="T450" s="103"/>
      <c r="U450" s="16"/>
      <c r="V450" s="16"/>
      <c r="W450" s="16"/>
      <c r="X450" s="103"/>
    </row>
    <row r="451" spans="2:24" x14ac:dyDescent="0.25">
      <c r="B451" s="103"/>
      <c r="C451" s="103"/>
      <c r="D451" s="103"/>
      <c r="E451" s="103"/>
      <c r="F451" s="103"/>
      <c r="H451" s="103"/>
      <c r="I451" s="103"/>
      <c r="J451" s="103"/>
      <c r="K451" s="103"/>
      <c r="L451" s="103"/>
      <c r="N451" s="103"/>
      <c r="O451" s="103"/>
      <c r="Q451" s="16"/>
      <c r="R451" s="16"/>
      <c r="S451" s="16"/>
      <c r="T451" s="103"/>
      <c r="U451" s="16"/>
      <c r="V451" s="16"/>
      <c r="W451" s="16"/>
      <c r="X451" s="103"/>
    </row>
    <row r="452" spans="2:24" x14ac:dyDescent="0.25">
      <c r="B452" s="103"/>
      <c r="C452" s="103"/>
      <c r="D452" s="103"/>
      <c r="E452" s="103"/>
      <c r="F452" s="103"/>
      <c r="H452" s="103"/>
      <c r="I452" s="103"/>
      <c r="J452" s="103"/>
      <c r="K452" s="103"/>
      <c r="L452" s="103"/>
      <c r="N452" s="103"/>
      <c r="O452" s="103"/>
      <c r="Q452" s="16"/>
      <c r="R452" s="16"/>
      <c r="S452" s="16"/>
      <c r="T452" s="103"/>
      <c r="U452" s="16"/>
      <c r="V452" s="16"/>
      <c r="W452" s="16"/>
      <c r="X452" s="103"/>
    </row>
    <row r="453" spans="2:24" x14ac:dyDescent="0.25">
      <c r="B453" s="103"/>
      <c r="C453" s="103"/>
      <c r="D453" s="103"/>
      <c r="E453" s="103"/>
      <c r="F453" s="103"/>
      <c r="H453" s="103"/>
      <c r="I453" s="103"/>
      <c r="J453" s="103"/>
      <c r="K453" s="103"/>
      <c r="L453" s="103"/>
      <c r="N453" s="103"/>
      <c r="O453" s="103"/>
      <c r="Q453" s="16"/>
      <c r="R453" s="16"/>
      <c r="S453" s="16"/>
      <c r="T453" s="103"/>
      <c r="U453" s="16"/>
      <c r="V453" s="16"/>
      <c r="W453" s="16"/>
      <c r="X453" s="103"/>
    </row>
    <row r="454" spans="2:24" x14ac:dyDescent="0.25">
      <c r="B454" s="103"/>
      <c r="C454" s="103"/>
      <c r="D454" s="103"/>
      <c r="E454" s="103"/>
      <c r="F454" s="103"/>
      <c r="H454" s="103"/>
      <c r="I454" s="103"/>
      <c r="J454" s="103"/>
      <c r="K454" s="103"/>
      <c r="L454" s="103"/>
      <c r="N454" s="103"/>
      <c r="O454" s="103"/>
      <c r="Q454" s="16"/>
      <c r="R454" s="16"/>
      <c r="S454" s="16"/>
      <c r="T454" s="103"/>
      <c r="U454" s="16"/>
      <c r="V454" s="16"/>
      <c r="W454" s="16"/>
      <c r="X454" s="103"/>
    </row>
    <row r="455" spans="2:24" x14ac:dyDescent="0.25">
      <c r="B455" s="103"/>
      <c r="C455" s="103"/>
      <c r="D455" s="103"/>
      <c r="E455" s="103"/>
      <c r="F455" s="103"/>
      <c r="H455" s="103"/>
      <c r="I455" s="103"/>
      <c r="J455" s="103"/>
      <c r="K455" s="103"/>
      <c r="L455" s="103"/>
      <c r="N455" s="103"/>
      <c r="O455" s="103"/>
      <c r="Q455" s="16"/>
      <c r="R455" s="16"/>
      <c r="S455" s="16"/>
      <c r="T455" s="103"/>
      <c r="U455" s="16"/>
      <c r="V455" s="16"/>
      <c r="W455" s="16"/>
      <c r="X455" s="103"/>
    </row>
    <row r="456" spans="2:24" x14ac:dyDescent="0.25">
      <c r="B456" s="103"/>
      <c r="C456" s="103"/>
      <c r="D456" s="103"/>
      <c r="E456" s="103"/>
      <c r="F456" s="103"/>
      <c r="H456" s="103"/>
      <c r="I456" s="103"/>
      <c r="J456" s="103"/>
      <c r="K456" s="103"/>
      <c r="L456" s="103"/>
      <c r="N456" s="103"/>
      <c r="O456" s="103"/>
      <c r="Q456" s="16"/>
      <c r="R456" s="16"/>
      <c r="S456" s="16"/>
      <c r="T456" s="103"/>
      <c r="U456" s="16"/>
      <c r="V456" s="16"/>
      <c r="W456" s="16"/>
      <c r="X456" s="103"/>
    </row>
    <row r="457" spans="2:24" x14ac:dyDescent="0.25">
      <c r="B457" s="103"/>
      <c r="C457" s="103"/>
      <c r="D457" s="103"/>
      <c r="E457" s="103"/>
      <c r="F457" s="103"/>
      <c r="H457" s="103"/>
      <c r="I457" s="103"/>
      <c r="J457" s="103"/>
      <c r="K457" s="103"/>
      <c r="L457" s="103"/>
      <c r="N457" s="103"/>
      <c r="O457" s="103"/>
      <c r="Q457" s="16"/>
      <c r="R457" s="16"/>
      <c r="S457" s="16"/>
      <c r="T457" s="103"/>
      <c r="U457" s="16"/>
      <c r="V457" s="16"/>
      <c r="W457" s="16"/>
      <c r="X457" s="103"/>
    </row>
    <row r="458" spans="2:24" x14ac:dyDescent="0.25">
      <c r="B458" s="103"/>
      <c r="C458" s="103"/>
      <c r="D458" s="103"/>
      <c r="E458" s="103"/>
      <c r="F458" s="103"/>
      <c r="H458" s="103"/>
      <c r="I458" s="103"/>
      <c r="J458" s="103"/>
      <c r="K458" s="103"/>
      <c r="L458" s="103"/>
      <c r="N458" s="103"/>
      <c r="O458" s="103"/>
      <c r="Q458" s="16"/>
      <c r="R458" s="16"/>
      <c r="S458" s="16"/>
      <c r="T458" s="103"/>
      <c r="U458" s="16"/>
      <c r="V458" s="16"/>
      <c r="W458" s="16"/>
      <c r="X458" s="103"/>
    </row>
    <row r="459" spans="2:24" x14ac:dyDescent="0.25">
      <c r="B459" s="103"/>
      <c r="C459" s="103"/>
      <c r="D459" s="103"/>
      <c r="E459" s="103"/>
      <c r="F459" s="103"/>
      <c r="H459" s="103"/>
      <c r="I459" s="103"/>
      <c r="J459" s="103"/>
      <c r="K459" s="103"/>
      <c r="L459" s="103"/>
      <c r="N459" s="103"/>
      <c r="O459" s="103"/>
      <c r="Q459" s="16"/>
      <c r="R459" s="16"/>
      <c r="S459" s="16"/>
      <c r="T459" s="103"/>
      <c r="U459" s="16"/>
      <c r="V459" s="16"/>
      <c r="W459" s="16"/>
      <c r="X459" s="103"/>
    </row>
    <row r="460" spans="2:24" x14ac:dyDescent="0.25">
      <c r="B460" s="103"/>
      <c r="C460" s="103"/>
      <c r="D460" s="103"/>
      <c r="E460" s="103"/>
      <c r="F460" s="103"/>
      <c r="H460" s="103"/>
      <c r="I460" s="103"/>
      <c r="J460" s="103"/>
      <c r="K460" s="103"/>
      <c r="L460" s="103"/>
      <c r="N460" s="103"/>
      <c r="O460" s="103"/>
      <c r="Q460" s="16"/>
      <c r="R460" s="16"/>
      <c r="S460" s="16"/>
      <c r="T460" s="103"/>
      <c r="U460" s="16"/>
      <c r="V460" s="16"/>
      <c r="W460" s="16"/>
      <c r="X460" s="103"/>
    </row>
    <row r="461" spans="2:24" x14ac:dyDescent="0.25">
      <c r="B461" s="103"/>
      <c r="C461" s="103"/>
      <c r="D461" s="103"/>
      <c r="E461" s="103"/>
      <c r="F461" s="103"/>
      <c r="H461" s="103"/>
      <c r="I461" s="103"/>
      <c r="J461" s="103"/>
      <c r="K461" s="103"/>
      <c r="L461" s="103"/>
      <c r="N461" s="103"/>
      <c r="O461" s="103"/>
      <c r="Q461" s="16"/>
      <c r="R461" s="16"/>
      <c r="S461" s="16"/>
      <c r="T461" s="103"/>
      <c r="U461" s="16"/>
      <c r="V461" s="16"/>
      <c r="W461" s="16"/>
      <c r="X461" s="103"/>
    </row>
    <row r="462" spans="2:24" x14ac:dyDescent="0.25">
      <c r="B462" s="103"/>
      <c r="C462" s="103"/>
      <c r="D462" s="103"/>
      <c r="E462" s="103"/>
      <c r="F462" s="103"/>
      <c r="H462" s="103"/>
      <c r="I462" s="103"/>
      <c r="J462" s="103"/>
      <c r="K462" s="103"/>
      <c r="L462" s="103"/>
      <c r="N462" s="103"/>
      <c r="O462" s="103"/>
      <c r="Q462" s="16"/>
      <c r="R462" s="16"/>
      <c r="S462" s="16"/>
      <c r="T462" s="103"/>
      <c r="U462" s="16"/>
      <c r="V462" s="16"/>
      <c r="W462" s="16"/>
      <c r="X462" s="103"/>
    </row>
    <row r="463" spans="2:24" x14ac:dyDescent="0.25">
      <c r="B463" s="103"/>
      <c r="C463" s="103"/>
      <c r="D463" s="103"/>
      <c r="E463" s="103"/>
      <c r="F463" s="103"/>
      <c r="H463" s="103"/>
      <c r="I463" s="103"/>
      <c r="J463" s="103"/>
      <c r="K463" s="103"/>
      <c r="L463" s="103"/>
      <c r="N463" s="103"/>
      <c r="O463" s="103"/>
      <c r="Q463" s="16"/>
      <c r="R463" s="16"/>
      <c r="S463" s="16"/>
      <c r="T463" s="103"/>
      <c r="U463" s="16"/>
      <c r="V463" s="16"/>
      <c r="W463" s="16"/>
      <c r="X463" s="103"/>
    </row>
    <row r="464" spans="2:24" x14ac:dyDescent="0.25">
      <c r="B464" s="103"/>
      <c r="C464" s="103"/>
      <c r="D464" s="103"/>
      <c r="E464" s="103"/>
      <c r="F464" s="103"/>
      <c r="H464" s="103"/>
      <c r="I464" s="103"/>
      <c r="J464" s="103"/>
      <c r="K464" s="103"/>
      <c r="L464" s="103"/>
      <c r="N464" s="103"/>
      <c r="O464" s="103"/>
      <c r="Q464" s="16"/>
      <c r="R464" s="16"/>
      <c r="S464" s="16"/>
      <c r="T464" s="103"/>
      <c r="U464" s="16"/>
      <c r="V464" s="16"/>
      <c r="W464" s="16"/>
      <c r="X464" s="103"/>
    </row>
    <row r="465" spans="2:24" x14ac:dyDescent="0.25">
      <c r="B465" s="103"/>
      <c r="C465" s="103"/>
      <c r="D465" s="103"/>
      <c r="E465" s="103"/>
      <c r="F465" s="103"/>
      <c r="H465" s="103"/>
      <c r="I465" s="103"/>
      <c r="J465" s="103"/>
      <c r="K465" s="103"/>
      <c r="L465" s="103"/>
      <c r="N465" s="103"/>
      <c r="O465" s="103"/>
      <c r="Q465" s="16"/>
      <c r="R465" s="16"/>
      <c r="S465" s="16"/>
      <c r="T465" s="103"/>
      <c r="U465" s="16"/>
      <c r="V465" s="16"/>
      <c r="W465" s="16"/>
      <c r="X465" s="103"/>
    </row>
    <row r="466" spans="2:24" x14ac:dyDescent="0.25">
      <c r="B466" s="103"/>
      <c r="C466" s="103"/>
      <c r="D466" s="103"/>
      <c r="E466" s="103"/>
      <c r="F466" s="103"/>
      <c r="H466" s="103"/>
      <c r="I466" s="103"/>
      <c r="J466" s="103"/>
      <c r="K466" s="103"/>
      <c r="L466" s="103"/>
      <c r="N466" s="103"/>
      <c r="O466" s="103"/>
      <c r="Q466" s="16"/>
      <c r="R466" s="16"/>
      <c r="S466" s="16"/>
      <c r="T466" s="103"/>
      <c r="U466" s="16"/>
      <c r="V466" s="16"/>
      <c r="W466" s="16"/>
      <c r="X466" s="103"/>
    </row>
    <row r="467" spans="2:24" x14ac:dyDescent="0.25">
      <c r="B467" s="103"/>
      <c r="C467" s="103"/>
      <c r="D467" s="103"/>
      <c r="E467" s="103"/>
      <c r="F467" s="103"/>
      <c r="H467" s="103"/>
      <c r="I467" s="103"/>
      <c r="J467" s="103"/>
      <c r="K467" s="103"/>
      <c r="L467" s="103"/>
      <c r="N467" s="103"/>
      <c r="O467" s="103"/>
      <c r="Q467" s="16"/>
      <c r="R467" s="16"/>
      <c r="S467" s="16"/>
      <c r="T467" s="103"/>
      <c r="U467" s="16"/>
      <c r="V467" s="16"/>
      <c r="W467" s="16"/>
      <c r="X467" s="103"/>
    </row>
    <row r="468" spans="2:24" x14ac:dyDescent="0.25">
      <c r="B468" s="103"/>
      <c r="C468" s="103"/>
      <c r="D468" s="103"/>
      <c r="E468" s="103"/>
      <c r="F468" s="103"/>
      <c r="H468" s="103"/>
      <c r="I468" s="103"/>
      <c r="J468" s="103"/>
      <c r="K468" s="103"/>
      <c r="L468" s="103"/>
      <c r="N468" s="103"/>
      <c r="O468" s="103"/>
      <c r="Q468" s="16"/>
      <c r="R468" s="16"/>
      <c r="S468" s="16"/>
      <c r="T468" s="103"/>
      <c r="U468" s="16"/>
      <c r="V468" s="16"/>
      <c r="W468" s="16"/>
      <c r="X468" s="103"/>
    </row>
    <row r="469" spans="2:24" x14ac:dyDescent="0.25">
      <c r="B469" s="103"/>
      <c r="C469" s="103"/>
      <c r="D469" s="103"/>
      <c r="E469" s="103"/>
      <c r="F469" s="103"/>
      <c r="H469" s="103"/>
      <c r="I469" s="103"/>
      <c r="J469" s="103"/>
      <c r="K469" s="103"/>
      <c r="L469" s="103"/>
      <c r="N469" s="103"/>
      <c r="O469" s="103"/>
      <c r="Q469" s="16"/>
      <c r="R469" s="16"/>
      <c r="S469" s="16"/>
      <c r="T469" s="103"/>
      <c r="U469" s="16"/>
      <c r="V469" s="16"/>
      <c r="W469" s="16"/>
      <c r="X469" s="103"/>
    </row>
    <row r="470" spans="2:24" x14ac:dyDescent="0.25">
      <c r="B470" s="103"/>
      <c r="C470" s="103"/>
      <c r="D470" s="103"/>
      <c r="E470" s="103"/>
      <c r="F470" s="103"/>
      <c r="H470" s="103"/>
      <c r="I470" s="103"/>
      <c r="J470" s="103"/>
      <c r="K470" s="103"/>
      <c r="L470" s="103"/>
      <c r="N470" s="103"/>
      <c r="O470" s="103"/>
      <c r="Q470" s="16"/>
      <c r="R470" s="16"/>
      <c r="S470" s="16"/>
      <c r="T470" s="103"/>
      <c r="U470" s="16"/>
      <c r="V470" s="16"/>
      <c r="W470" s="16"/>
      <c r="X470" s="103"/>
    </row>
    <row r="471" spans="2:24" x14ac:dyDescent="0.25">
      <c r="B471" s="103"/>
      <c r="C471" s="103"/>
      <c r="D471" s="103"/>
      <c r="E471" s="103"/>
      <c r="F471" s="103"/>
      <c r="H471" s="103"/>
      <c r="I471" s="103"/>
      <c r="J471" s="103"/>
      <c r="K471" s="103"/>
      <c r="L471" s="103"/>
      <c r="N471" s="103"/>
      <c r="O471" s="103"/>
      <c r="Q471" s="16"/>
      <c r="R471" s="16"/>
      <c r="S471" s="16"/>
      <c r="T471" s="103"/>
      <c r="U471" s="16"/>
      <c r="V471" s="16"/>
      <c r="W471" s="16"/>
      <c r="X471" s="103"/>
    </row>
    <row r="472" spans="2:24" x14ac:dyDescent="0.25">
      <c r="B472" s="103"/>
      <c r="C472" s="103"/>
      <c r="D472" s="103"/>
      <c r="E472" s="103"/>
      <c r="F472" s="103"/>
      <c r="H472" s="103"/>
      <c r="I472" s="103"/>
      <c r="J472" s="103"/>
      <c r="K472" s="103"/>
      <c r="L472" s="103"/>
      <c r="N472" s="103"/>
      <c r="O472" s="103"/>
      <c r="Q472" s="16"/>
      <c r="R472" s="16"/>
      <c r="S472" s="16"/>
      <c r="T472" s="103"/>
      <c r="U472" s="16"/>
      <c r="V472" s="16"/>
      <c r="W472" s="16"/>
      <c r="X472" s="103"/>
    </row>
    <row r="473" spans="2:24" x14ac:dyDescent="0.25">
      <c r="B473" s="103"/>
      <c r="C473" s="103"/>
      <c r="D473" s="103"/>
      <c r="E473" s="103"/>
      <c r="F473" s="103"/>
      <c r="H473" s="103"/>
      <c r="I473" s="103"/>
      <c r="J473" s="103"/>
      <c r="K473" s="103"/>
      <c r="L473" s="103"/>
      <c r="N473" s="103"/>
      <c r="O473" s="103"/>
      <c r="Q473" s="16"/>
      <c r="R473" s="16"/>
      <c r="S473" s="16"/>
      <c r="T473" s="103"/>
      <c r="U473" s="16"/>
      <c r="V473" s="16"/>
      <c r="W473" s="16"/>
      <c r="X473" s="103"/>
    </row>
    <row r="474" spans="2:24" x14ac:dyDescent="0.25">
      <c r="B474" s="103"/>
      <c r="C474" s="103"/>
      <c r="D474" s="103"/>
      <c r="E474" s="103"/>
      <c r="F474" s="103"/>
      <c r="H474" s="103"/>
      <c r="I474" s="103"/>
      <c r="J474" s="103"/>
      <c r="K474" s="103"/>
      <c r="L474" s="103"/>
      <c r="N474" s="103"/>
      <c r="O474" s="103"/>
      <c r="Q474" s="16"/>
      <c r="R474" s="16"/>
      <c r="S474" s="16"/>
      <c r="T474" s="103"/>
      <c r="U474" s="16"/>
      <c r="V474" s="16"/>
      <c r="W474" s="16"/>
      <c r="X474" s="103"/>
    </row>
    <row r="475" spans="2:24" x14ac:dyDescent="0.25">
      <c r="B475" s="103"/>
      <c r="C475" s="103"/>
      <c r="D475" s="103"/>
      <c r="E475" s="103"/>
      <c r="F475" s="103"/>
      <c r="H475" s="103"/>
      <c r="I475" s="103"/>
      <c r="J475" s="103"/>
      <c r="K475" s="103"/>
      <c r="L475" s="103"/>
      <c r="N475" s="103"/>
      <c r="O475" s="103"/>
      <c r="Q475" s="16"/>
      <c r="R475" s="16"/>
      <c r="S475" s="16"/>
      <c r="T475" s="103"/>
      <c r="U475" s="16"/>
      <c r="V475" s="16"/>
      <c r="W475" s="16"/>
      <c r="X475" s="103"/>
    </row>
    <row r="476" spans="2:24" x14ac:dyDescent="0.25">
      <c r="B476" s="103"/>
      <c r="C476" s="103"/>
      <c r="D476" s="103"/>
      <c r="E476" s="103"/>
      <c r="F476" s="103"/>
      <c r="H476" s="103"/>
      <c r="I476" s="103"/>
      <c r="J476" s="103"/>
      <c r="K476" s="103"/>
      <c r="L476" s="103"/>
      <c r="N476" s="103"/>
      <c r="O476" s="103"/>
      <c r="Q476" s="16"/>
      <c r="R476" s="16"/>
      <c r="S476" s="16"/>
      <c r="T476" s="103"/>
      <c r="U476" s="16"/>
      <c r="V476" s="16"/>
      <c r="W476" s="16"/>
      <c r="X476" s="103"/>
    </row>
    <row r="477" spans="2:24" x14ac:dyDescent="0.25">
      <c r="B477" s="103"/>
      <c r="C477" s="103"/>
      <c r="D477" s="103"/>
      <c r="E477" s="103"/>
      <c r="F477" s="103"/>
      <c r="H477" s="103"/>
      <c r="I477" s="103"/>
      <c r="J477" s="103"/>
      <c r="K477" s="103"/>
      <c r="L477" s="103"/>
      <c r="N477" s="103"/>
      <c r="O477" s="103"/>
      <c r="Q477" s="16"/>
      <c r="R477" s="16"/>
      <c r="S477" s="16"/>
      <c r="T477" s="103"/>
      <c r="U477" s="16"/>
      <c r="V477" s="16"/>
      <c r="W477" s="16"/>
      <c r="X477" s="103"/>
    </row>
    <row r="478" spans="2:24" x14ac:dyDescent="0.25">
      <c r="B478" s="103"/>
      <c r="C478" s="103"/>
      <c r="D478" s="103"/>
      <c r="E478" s="103"/>
      <c r="F478" s="103"/>
      <c r="H478" s="103"/>
      <c r="I478" s="103"/>
      <c r="J478" s="103"/>
      <c r="K478" s="103"/>
      <c r="L478" s="103"/>
      <c r="N478" s="103"/>
      <c r="O478" s="103"/>
      <c r="Q478" s="16"/>
      <c r="R478" s="16"/>
      <c r="S478" s="16"/>
      <c r="T478" s="103"/>
      <c r="U478" s="16"/>
      <c r="V478" s="16"/>
      <c r="W478" s="16"/>
      <c r="X478" s="103"/>
    </row>
    <row r="479" spans="2:24" x14ac:dyDescent="0.25">
      <c r="B479" s="103"/>
      <c r="C479" s="103"/>
      <c r="D479" s="103"/>
      <c r="E479" s="103"/>
      <c r="F479" s="103"/>
      <c r="H479" s="103"/>
      <c r="I479" s="103"/>
      <c r="J479" s="103"/>
      <c r="K479" s="103"/>
      <c r="L479" s="103"/>
      <c r="N479" s="103"/>
      <c r="O479" s="103"/>
      <c r="Q479" s="16"/>
      <c r="R479" s="16"/>
      <c r="S479" s="16"/>
      <c r="T479" s="103"/>
      <c r="U479" s="16"/>
      <c r="V479" s="16"/>
      <c r="W479" s="16"/>
      <c r="X479" s="103"/>
    </row>
    <row r="480" spans="2:24" x14ac:dyDescent="0.25">
      <c r="B480" s="103"/>
      <c r="C480" s="103"/>
      <c r="D480" s="103"/>
      <c r="E480" s="103"/>
      <c r="F480" s="103"/>
      <c r="H480" s="103"/>
      <c r="I480" s="103"/>
      <c r="J480" s="103"/>
      <c r="K480" s="103"/>
      <c r="L480" s="103"/>
      <c r="N480" s="103"/>
      <c r="O480" s="103"/>
      <c r="Q480" s="16"/>
      <c r="R480" s="16"/>
      <c r="S480" s="16"/>
      <c r="T480" s="103"/>
      <c r="U480" s="16"/>
      <c r="V480" s="16"/>
      <c r="W480" s="16"/>
      <c r="X480" s="103"/>
    </row>
    <row r="481" spans="2:24" x14ac:dyDescent="0.25">
      <c r="B481" s="103"/>
      <c r="C481" s="103"/>
      <c r="D481" s="103"/>
      <c r="E481" s="103"/>
      <c r="F481" s="103"/>
      <c r="H481" s="103"/>
      <c r="I481" s="103"/>
      <c r="J481" s="103"/>
      <c r="K481" s="103"/>
      <c r="L481" s="103"/>
      <c r="N481" s="103"/>
      <c r="O481" s="103"/>
      <c r="Q481" s="16"/>
      <c r="R481" s="16"/>
      <c r="S481" s="16"/>
      <c r="T481" s="103"/>
      <c r="U481" s="16"/>
      <c r="V481" s="16"/>
      <c r="W481" s="16"/>
      <c r="X481" s="103"/>
    </row>
    <row r="482" spans="2:24" x14ac:dyDescent="0.25">
      <c r="B482" s="103"/>
      <c r="C482" s="103"/>
      <c r="D482" s="103"/>
      <c r="E482" s="103"/>
      <c r="F482" s="103"/>
      <c r="H482" s="103"/>
      <c r="I482" s="103"/>
      <c r="J482" s="103"/>
      <c r="K482" s="103"/>
      <c r="L482" s="103"/>
      <c r="N482" s="103"/>
      <c r="O482" s="103"/>
      <c r="Q482" s="16"/>
      <c r="R482" s="16"/>
      <c r="S482" s="16"/>
      <c r="T482" s="103"/>
      <c r="U482" s="16"/>
      <c r="V482" s="16"/>
      <c r="W482" s="16"/>
      <c r="X482" s="103"/>
    </row>
    <row r="483" spans="2:24" x14ac:dyDescent="0.25">
      <c r="B483" s="103"/>
      <c r="C483" s="103"/>
      <c r="D483" s="103"/>
      <c r="E483" s="103"/>
      <c r="F483" s="103"/>
      <c r="H483" s="103"/>
      <c r="I483" s="103"/>
      <c r="J483" s="103"/>
      <c r="K483" s="103"/>
      <c r="L483" s="103"/>
      <c r="N483" s="103"/>
      <c r="O483" s="103"/>
      <c r="Q483" s="16"/>
      <c r="R483" s="16"/>
      <c r="S483" s="16"/>
      <c r="T483" s="103"/>
      <c r="U483" s="16"/>
      <c r="V483" s="16"/>
      <c r="W483" s="16"/>
      <c r="X483" s="103"/>
    </row>
    <row r="484" spans="2:24" x14ac:dyDescent="0.25">
      <c r="B484" s="103"/>
      <c r="C484" s="103"/>
      <c r="D484" s="103"/>
      <c r="E484" s="103"/>
      <c r="F484" s="103"/>
      <c r="H484" s="103"/>
      <c r="I484" s="103"/>
      <c r="J484" s="103"/>
      <c r="K484" s="103"/>
      <c r="L484" s="103"/>
      <c r="N484" s="103"/>
      <c r="O484" s="103"/>
      <c r="Q484" s="16"/>
      <c r="R484" s="16"/>
      <c r="S484" s="16"/>
      <c r="T484" s="103"/>
      <c r="U484" s="16"/>
      <c r="V484" s="16"/>
      <c r="W484" s="16"/>
      <c r="X484" s="103"/>
    </row>
    <row r="485" spans="2:24" x14ac:dyDescent="0.25">
      <c r="B485" s="103"/>
      <c r="C485" s="103"/>
      <c r="D485" s="103"/>
      <c r="E485" s="103"/>
      <c r="F485" s="103"/>
      <c r="H485" s="103"/>
      <c r="I485" s="103"/>
      <c r="J485" s="103"/>
      <c r="K485" s="103"/>
      <c r="L485" s="103"/>
      <c r="N485" s="103"/>
      <c r="O485" s="103"/>
      <c r="Q485" s="16"/>
      <c r="R485" s="16"/>
      <c r="S485" s="16"/>
      <c r="T485" s="103"/>
      <c r="U485" s="16"/>
      <c r="V485" s="16"/>
      <c r="W485" s="16"/>
      <c r="X485" s="103"/>
    </row>
    <row r="486" spans="2:24" x14ac:dyDescent="0.25">
      <c r="B486" s="103"/>
      <c r="C486" s="103"/>
      <c r="D486" s="103"/>
      <c r="E486" s="103"/>
      <c r="F486" s="103"/>
      <c r="H486" s="103"/>
      <c r="I486" s="103"/>
      <c r="J486" s="103"/>
      <c r="K486" s="103"/>
      <c r="L486" s="103"/>
      <c r="N486" s="103"/>
      <c r="O486" s="103"/>
      <c r="Q486" s="16"/>
      <c r="R486" s="16"/>
      <c r="S486" s="16"/>
      <c r="T486" s="103"/>
      <c r="U486" s="16"/>
      <c r="V486" s="16"/>
      <c r="W486" s="16"/>
      <c r="X486" s="103"/>
    </row>
    <row r="487" spans="2:24" x14ac:dyDescent="0.25">
      <c r="B487" s="103"/>
      <c r="C487" s="103"/>
      <c r="D487" s="103"/>
      <c r="E487" s="103"/>
      <c r="F487" s="103"/>
      <c r="H487" s="103"/>
      <c r="I487" s="103"/>
      <c r="J487" s="103"/>
      <c r="K487" s="103"/>
      <c r="L487" s="103"/>
      <c r="N487" s="103"/>
      <c r="O487" s="103"/>
      <c r="Q487" s="16"/>
      <c r="R487" s="16"/>
      <c r="S487" s="16"/>
      <c r="T487" s="103"/>
      <c r="U487" s="16"/>
      <c r="V487" s="16"/>
      <c r="W487" s="16"/>
      <c r="X487" s="103"/>
    </row>
    <row r="488" spans="2:24" x14ac:dyDescent="0.25">
      <c r="B488" s="103"/>
      <c r="C488" s="103"/>
      <c r="D488" s="103"/>
      <c r="E488" s="103"/>
      <c r="F488" s="103"/>
      <c r="H488" s="103"/>
      <c r="I488" s="103"/>
      <c r="J488" s="103"/>
      <c r="K488" s="103"/>
      <c r="L488" s="103"/>
      <c r="N488" s="103"/>
      <c r="O488" s="103"/>
      <c r="Q488" s="16"/>
      <c r="R488" s="16"/>
      <c r="S488" s="16"/>
      <c r="T488" s="103"/>
      <c r="U488" s="16"/>
      <c r="V488" s="16"/>
      <c r="W488" s="16"/>
      <c r="X488" s="103"/>
    </row>
    <row r="489" spans="2:24" x14ac:dyDescent="0.25">
      <c r="B489" s="103"/>
      <c r="C489" s="103"/>
      <c r="D489" s="103"/>
      <c r="E489" s="103"/>
      <c r="F489" s="103"/>
      <c r="H489" s="103"/>
      <c r="I489" s="103"/>
      <c r="J489" s="103"/>
      <c r="K489" s="103"/>
      <c r="L489" s="103"/>
      <c r="N489" s="103"/>
      <c r="O489" s="103"/>
      <c r="Q489" s="16"/>
      <c r="R489" s="16"/>
      <c r="S489" s="16"/>
      <c r="T489" s="103"/>
      <c r="U489" s="16"/>
      <c r="V489" s="16"/>
      <c r="W489" s="16"/>
      <c r="X489" s="103"/>
    </row>
    <row r="490" spans="2:24" x14ac:dyDescent="0.25">
      <c r="B490" s="103"/>
      <c r="C490" s="103"/>
      <c r="D490" s="103"/>
      <c r="E490" s="103"/>
      <c r="F490" s="103"/>
      <c r="H490" s="103"/>
      <c r="I490" s="103"/>
      <c r="J490" s="103"/>
      <c r="K490" s="103"/>
      <c r="L490" s="103"/>
      <c r="N490" s="103"/>
      <c r="O490" s="103"/>
      <c r="Q490" s="16"/>
      <c r="R490" s="16"/>
      <c r="S490" s="16"/>
      <c r="T490" s="103"/>
      <c r="U490" s="16"/>
      <c r="V490" s="16"/>
      <c r="W490" s="16"/>
      <c r="X490" s="103"/>
    </row>
    <row r="491" spans="2:24" x14ac:dyDescent="0.25">
      <c r="B491" s="103"/>
      <c r="C491" s="103"/>
      <c r="D491" s="103"/>
      <c r="E491" s="103"/>
      <c r="F491" s="103"/>
      <c r="H491" s="103"/>
      <c r="I491" s="103"/>
      <c r="J491" s="103"/>
      <c r="K491" s="103"/>
      <c r="L491" s="103"/>
      <c r="N491" s="103"/>
      <c r="O491" s="103"/>
      <c r="Q491" s="16"/>
      <c r="R491" s="16"/>
      <c r="S491" s="16"/>
      <c r="T491" s="103"/>
      <c r="U491" s="16"/>
      <c r="V491" s="16"/>
      <c r="W491" s="16"/>
      <c r="X491" s="103"/>
    </row>
    <row r="492" spans="2:24" x14ac:dyDescent="0.25">
      <c r="B492" s="103"/>
      <c r="C492" s="103"/>
      <c r="D492" s="103"/>
      <c r="E492" s="103"/>
      <c r="F492" s="103"/>
      <c r="H492" s="103"/>
      <c r="I492" s="103"/>
      <c r="J492" s="103"/>
      <c r="K492" s="103"/>
      <c r="L492" s="103"/>
      <c r="N492" s="103"/>
      <c r="O492" s="103"/>
      <c r="Q492" s="16"/>
      <c r="R492" s="16"/>
      <c r="S492" s="16"/>
      <c r="T492" s="103"/>
      <c r="U492" s="16"/>
      <c r="V492" s="16"/>
      <c r="W492" s="16"/>
      <c r="X492" s="103"/>
    </row>
    <row r="493" spans="2:24" x14ac:dyDescent="0.25">
      <c r="B493" s="103"/>
      <c r="C493" s="103"/>
      <c r="D493" s="103"/>
      <c r="E493" s="103"/>
      <c r="F493" s="103"/>
      <c r="H493" s="103"/>
      <c r="I493" s="103"/>
      <c r="J493" s="103"/>
      <c r="K493" s="103"/>
      <c r="L493" s="103"/>
      <c r="N493" s="103"/>
      <c r="O493" s="103"/>
      <c r="Q493" s="16"/>
      <c r="R493" s="16"/>
      <c r="S493" s="16"/>
      <c r="T493" s="103"/>
      <c r="U493" s="16"/>
      <c r="V493" s="16"/>
      <c r="W493" s="16"/>
      <c r="X493" s="103"/>
    </row>
    <row r="494" spans="2:24" x14ac:dyDescent="0.25">
      <c r="B494" s="103"/>
      <c r="C494" s="103"/>
      <c r="D494" s="103"/>
      <c r="E494" s="103"/>
      <c r="F494" s="103"/>
      <c r="H494" s="103"/>
      <c r="I494" s="103"/>
      <c r="J494" s="103"/>
      <c r="K494" s="103"/>
      <c r="L494" s="103"/>
      <c r="N494" s="103"/>
      <c r="O494" s="103"/>
      <c r="Q494" s="16"/>
      <c r="R494" s="16"/>
      <c r="S494" s="16"/>
      <c r="T494" s="103"/>
      <c r="U494" s="16"/>
      <c r="V494" s="16"/>
      <c r="W494" s="16"/>
      <c r="X494" s="103"/>
    </row>
    <row r="495" spans="2:24" x14ac:dyDescent="0.25">
      <c r="B495" s="103"/>
      <c r="C495" s="103"/>
      <c r="D495" s="103"/>
      <c r="E495" s="103"/>
      <c r="F495" s="103"/>
      <c r="H495" s="103"/>
      <c r="I495" s="103"/>
      <c r="J495" s="103"/>
      <c r="K495" s="103"/>
      <c r="L495" s="103"/>
      <c r="N495" s="103"/>
      <c r="O495" s="103"/>
      <c r="Q495" s="16"/>
      <c r="R495" s="16"/>
      <c r="S495" s="16"/>
      <c r="T495" s="103"/>
      <c r="U495" s="16"/>
      <c r="V495" s="16"/>
      <c r="W495" s="16"/>
      <c r="X495" s="103"/>
    </row>
    <row r="496" spans="2:24" x14ac:dyDescent="0.25">
      <c r="B496" s="103"/>
      <c r="C496" s="103"/>
      <c r="D496" s="103"/>
      <c r="E496" s="103"/>
      <c r="F496" s="103"/>
      <c r="H496" s="103"/>
      <c r="I496" s="103"/>
      <c r="J496" s="103"/>
      <c r="K496" s="103"/>
      <c r="L496" s="103"/>
      <c r="N496" s="103"/>
      <c r="O496" s="103"/>
      <c r="Q496" s="16"/>
      <c r="R496" s="16"/>
      <c r="S496" s="16"/>
      <c r="T496" s="103"/>
      <c r="U496" s="16"/>
      <c r="V496" s="16"/>
      <c r="W496" s="16"/>
      <c r="X496" s="103"/>
    </row>
    <row r="497" spans="2:24" x14ac:dyDescent="0.25">
      <c r="B497" s="103"/>
      <c r="C497" s="103"/>
      <c r="D497" s="103"/>
      <c r="E497" s="103"/>
      <c r="F497" s="103"/>
      <c r="H497" s="103"/>
      <c r="I497" s="103"/>
      <c r="J497" s="103"/>
      <c r="K497" s="103"/>
      <c r="L497" s="103"/>
      <c r="N497" s="103"/>
      <c r="O497" s="103"/>
      <c r="Q497" s="16"/>
      <c r="R497" s="16"/>
      <c r="S497" s="16"/>
      <c r="T497" s="103"/>
      <c r="U497" s="16"/>
      <c r="V497" s="16"/>
      <c r="W497" s="16"/>
      <c r="X497" s="103"/>
    </row>
    <row r="498" spans="2:24" x14ac:dyDescent="0.25">
      <c r="B498" s="103"/>
      <c r="C498" s="103"/>
      <c r="D498" s="103"/>
      <c r="E498" s="103"/>
      <c r="F498" s="103"/>
      <c r="H498" s="103"/>
      <c r="I498" s="103"/>
      <c r="J498" s="103"/>
      <c r="K498" s="103"/>
      <c r="L498" s="103"/>
      <c r="N498" s="103"/>
      <c r="O498" s="103"/>
      <c r="Q498" s="16"/>
      <c r="R498" s="16"/>
      <c r="S498" s="16"/>
      <c r="T498" s="103"/>
      <c r="U498" s="16"/>
      <c r="V498" s="16"/>
      <c r="W498" s="16"/>
      <c r="X498" s="103"/>
    </row>
    <row r="499" spans="2:24" x14ac:dyDescent="0.25">
      <c r="B499" s="103"/>
      <c r="C499" s="103"/>
      <c r="D499" s="103"/>
      <c r="E499" s="103"/>
      <c r="F499" s="103"/>
      <c r="H499" s="103"/>
      <c r="I499" s="103"/>
      <c r="J499" s="103"/>
      <c r="K499" s="103"/>
      <c r="L499" s="103"/>
      <c r="N499" s="103"/>
      <c r="O499" s="103"/>
      <c r="Q499" s="16"/>
      <c r="R499" s="16"/>
      <c r="S499" s="16"/>
      <c r="T499" s="103"/>
      <c r="U499" s="16"/>
      <c r="V499" s="16"/>
      <c r="W499" s="16"/>
      <c r="X499" s="103"/>
    </row>
    <row r="500" spans="2:24" x14ac:dyDescent="0.25">
      <c r="B500" s="103"/>
      <c r="C500" s="103"/>
      <c r="D500" s="103"/>
      <c r="E500" s="103"/>
      <c r="F500" s="103"/>
      <c r="H500" s="103"/>
      <c r="I500" s="103"/>
      <c r="J500" s="103"/>
      <c r="K500" s="103"/>
      <c r="L500" s="103"/>
      <c r="N500" s="103"/>
      <c r="O500" s="103"/>
      <c r="Q500" s="16"/>
      <c r="R500" s="16"/>
      <c r="S500" s="16"/>
      <c r="T500" s="103"/>
      <c r="U500" s="16"/>
      <c r="V500" s="16"/>
      <c r="W500" s="16"/>
      <c r="X500" s="103"/>
    </row>
    <row r="501" spans="2:24" x14ac:dyDescent="0.25">
      <c r="B501" s="103"/>
      <c r="C501" s="103"/>
      <c r="D501" s="103"/>
      <c r="E501" s="103"/>
      <c r="F501" s="103"/>
      <c r="H501" s="103"/>
      <c r="I501" s="103"/>
      <c r="J501" s="103"/>
      <c r="K501" s="103"/>
      <c r="L501" s="103"/>
      <c r="N501" s="103"/>
      <c r="O501" s="103"/>
      <c r="Q501" s="16"/>
      <c r="R501" s="16"/>
      <c r="S501" s="16"/>
      <c r="T501" s="103"/>
      <c r="U501" s="16"/>
      <c r="V501" s="16"/>
      <c r="W501" s="16"/>
      <c r="X501" s="103"/>
    </row>
    <row r="502" spans="2:24" x14ac:dyDescent="0.25">
      <c r="B502" s="103"/>
      <c r="C502" s="103"/>
      <c r="D502" s="103"/>
      <c r="E502" s="103"/>
      <c r="F502" s="103"/>
      <c r="H502" s="103"/>
      <c r="I502" s="103"/>
      <c r="J502" s="103"/>
      <c r="K502" s="103"/>
      <c r="L502" s="103"/>
      <c r="N502" s="103"/>
      <c r="O502" s="103"/>
      <c r="Q502" s="16"/>
      <c r="R502" s="16"/>
      <c r="S502" s="16"/>
      <c r="T502" s="103"/>
      <c r="U502" s="16"/>
      <c r="V502" s="16"/>
      <c r="W502" s="16"/>
      <c r="X502" s="103"/>
    </row>
    <row r="503" spans="2:24" x14ac:dyDescent="0.25">
      <c r="B503" s="103"/>
      <c r="C503" s="103"/>
      <c r="D503" s="103"/>
      <c r="E503" s="103"/>
      <c r="F503" s="103"/>
      <c r="H503" s="103"/>
      <c r="I503" s="103"/>
      <c r="J503" s="103"/>
      <c r="K503" s="103"/>
      <c r="L503" s="103"/>
      <c r="N503" s="103"/>
      <c r="O503" s="103"/>
      <c r="Q503" s="16"/>
      <c r="R503" s="16"/>
      <c r="S503" s="16"/>
      <c r="T503" s="103"/>
      <c r="U503" s="16"/>
      <c r="V503" s="16"/>
      <c r="W503" s="16"/>
      <c r="X503" s="103"/>
    </row>
    <row r="504" spans="2:24" x14ac:dyDescent="0.25">
      <c r="B504" s="103"/>
      <c r="C504" s="103"/>
      <c r="D504" s="103"/>
      <c r="E504" s="103"/>
      <c r="F504" s="103"/>
      <c r="H504" s="103"/>
      <c r="I504" s="103"/>
      <c r="J504" s="103"/>
      <c r="K504" s="103"/>
      <c r="L504" s="103"/>
      <c r="N504" s="103"/>
      <c r="O504" s="103"/>
      <c r="Q504" s="16"/>
      <c r="R504" s="16"/>
      <c r="S504" s="16"/>
      <c r="T504" s="103"/>
      <c r="U504" s="16"/>
      <c r="V504" s="16"/>
      <c r="W504" s="16"/>
      <c r="X504" s="103"/>
    </row>
    <row r="505" spans="2:24" x14ac:dyDescent="0.25">
      <c r="B505" s="103"/>
      <c r="C505" s="103"/>
      <c r="D505" s="103"/>
      <c r="E505" s="103"/>
      <c r="F505" s="103"/>
      <c r="H505" s="103"/>
      <c r="I505" s="103"/>
      <c r="J505" s="103"/>
      <c r="K505" s="103"/>
      <c r="L505" s="103"/>
      <c r="N505" s="103"/>
      <c r="O505" s="103"/>
      <c r="Q505" s="16"/>
      <c r="R505" s="16"/>
      <c r="S505" s="16"/>
      <c r="T505" s="103"/>
      <c r="U505" s="16"/>
      <c r="V505" s="16"/>
      <c r="W505" s="16"/>
      <c r="X505" s="103"/>
    </row>
    <row r="506" spans="2:24" x14ac:dyDescent="0.25">
      <c r="B506" s="103"/>
      <c r="C506" s="103"/>
      <c r="D506" s="103"/>
      <c r="E506" s="103"/>
      <c r="F506" s="103"/>
      <c r="H506" s="103"/>
      <c r="I506" s="103"/>
      <c r="J506" s="103"/>
      <c r="K506" s="103"/>
      <c r="L506" s="103"/>
      <c r="N506" s="103"/>
      <c r="O506" s="103"/>
      <c r="Q506" s="16"/>
      <c r="R506" s="16"/>
      <c r="S506" s="16"/>
      <c r="T506" s="103"/>
      <c r="U506" s="16"/>
      <c r="V506" s="16"/>
      <c r="W506" s="16"/>
      <c r="X506" s="103"/>
    </row>
    <row r="507" spans="2:24" x14ac:dyDescent="0.25">
      <c r="B507" s="103"/>
      <c r="C507" s="103"/>
      <c r="D507" s="103"/>
      <c r="E507" s="103"/>
      <c r="F507" s="103"/>
      <c r="H507" s="103"/>
      <c r="I507" s="103"/>
      <c r="J507" s="103"/>
      <c r="K507" s="103"/>
      <c r="L507" s="103"/>
      <c r="N507" s="103"/>
      <c r="O507" s="103"/>
      <c r="Q507" s="16"/>
      <c r="R507" s="16"/>
      <c r="S507" s="16"/>
      <c r="T507" s="103"/>
      <c r="U507" s="16"/>
      <c r="V507" s="16"/>
      <c r="W507" s="16"/>
      <c r="X507" s="103"/>
    </row>
    <row r="508" spans="2:24" x14ac:dyDescent="0.25">
      <c r="B508" s="103"/>
      <c r="C508" s="103"/>
      <c r="D508" s="103"/>
      <c r="E508" s="103"/>
      <c r="F508" s="103"/>
      <c r="H508" s="103"/>
      <c r="I508" s="103"/>
      <c r="J508" s="103"/>
      <c r="K508" s="103"/>
      <c r="L508" s="103"/>
      <c r="N508" s="103"/>
      <c r="O508" s="103"/>
      <c r="Q508" s="16"/>
      <c r="R508" s="16"/>
      <c r="S508" s="16"/>
      <c r="T508" s="103"/>
      <c r="U508" s="16"/>
      <c r="V508" s="16"/>
      <c r="W508" s="16"/>
      <c r="X508" s="103"/>
    </row>
    <row r="509" spans="2:24" x14ac:dyDescent="0.25">
      <c r="B509" s="103"/>
      <c r="C509" s="103"/>
      <c r="D509" s="103"/>
      <c r="E509" s="103"/>
      <c r="F509" s="103"/>
      <c r="H509" s="103"/>
      <c r="I509" s="103"/>
      <c r="J509" s="103"/>
      <c r="K509" s="103"/>
      <c r="L509" s="103"/>
      <c r="N509" s="103"/>
      <c r="O509" s="103"/>
      <c r="Q509" s="16"/>
      <c r="R509" s="16"/>
      <c r="S509" s="16"/>
      <c r="T509" s="103"/>
      <c r="U509" s="16"/>
      <c r="V509" s="16"/>
      <c r="W509" s="16"/>
      <c r="X509" s="103"/>
    </row>
    <row r="510" spans="2:24" x14ac:dyDescent="0.25">
      <c r="B510" s="103"/>
      <c r="C510" s="103"/>
      <c r="D510" s="103"/>
      <c r="E510" s="103"/>
      <c r="F510" s="103"/>
      <c r="H510" s="103"/>
      <c r="I510" s="103"/>
      <c r="J510" s="103"/>
      <c r="K510" s="103"/>
      <c r="L510" s="103"/>
      <c r="N510" s="103"/>
      <c r="O510" s="103"/>
      <c r="Q510" s="16"/>
      <c r="R510" s="16"/>
      <c r="S510" s="16"/>
      <c r="T510" s="103"/>
      <c r="U510" s="16"/>
      <c r="V510" s="16"/>
      <c r="W510" s="16"/>
      <c r="X510" s="103"/>
    </row>
    <row r="511" spans="2:24" x14ac:dyDescent="0.25">
      <c r="B511" s="103"/>
      <c r="C511" s="103"/>
      <c r="D511" s="103"/>
      <c r="E511" s="103"/>
      <c r="F511" s="103"/>
      <c r="H511" s="103"/>
      <c r="I511" s="103"/>
      <c r="J511" s="103"/>
      <c r="K511" s="103"/>
      <c r="L511" s="103"/>
      <c r="N511" s="103"/>
      <c r="O511" s="103"/>
      <c r="Q511" s="16"/>
      <c r="R511" s="16"/>
      <c r="S511" s="16"/>
      <c r="T511" s="103"/>
      <c r="U511" s="16"/>
      <c r="V511" s="16"/>
      <c r="W511" s="16"/>
      <c r="X511" s="103"/>
    </row>
    <row r="512" spans="2:24" x14ac:dyDescent="0.25">
      <c r="B512" s="103"/>
      <c r="C512" s="103"/>
      <c r="D512" s="103"/>
      <c r="E512" s="103"/>
      <c r="F512" s="103"/>
      <c r="H512" s="103"/>
      <c r="I512" s="103"/>
      <c r="J512" s="103"/>
      <c r="K512" s="103"/>
      <c r="L512" s="103"/>
      <c r="N512" s="103"/>
      <c r="O512" s="103"/>
      <c r="Q512" s="16"/>
      <c r="R512" s="16"/>
      <c r="S512" s="16"/>
      <c r="T512" s="103"/>
      <c r="U512" s="16"/>
      <c r="V512" s="16"/>
      <c r="W512" s="16"/>
      <c r="X512" s="103"/>
    </row>
    <row r="513" spans="2:24" x14ac:dyDescent="0.25">
      <c r="B513" s="103"/>
      <c r="C513" s="103"/>
      <c r="D513" s="103"/>
      <c r="E513" s="103"/>
      <c r="F513" s="103"/>
      <c r="H513" s="103"/>
      <c r="I513" s="103"/>
      <c r="J513" s="103"/>
      <c r="K513" s="103"/>
      <c r="L513" s="103"/>
      <c r="N513" s="103"/>
      <c r="O513" s="103"/>
      <c r="Q513" s="16"/>
      <c r="R513" s="16"/>
      <c r="S513" s="16"/>
      <c r="T513" s="103"/>
      <c r="U513" s="16"/>
      <c r="V513" s="16"/>
      <c r="W513" s="16"/>
      <c r="X513" s="103"/>
    </row>
    <row r="514" spans="2:24" x14ac:dyDescent="0.25">
      <c r="B514" s="103"/>
      <c r="C514" s="103"/>
      <c r="D514" s="103"/>
      <c r="E514" s="103"/>
      <c r="F514" s="103"/>
      <c r="H514" s="103"/>
      <c r="I514" s="103"/>
      <c r="J514" s="103"/>
      <c r="K514" s="103"/>
      <c r="L514" s="103"/>
      <c r="N514" s="103"/>
      <c r="O514" s="103"/>
      <c r="Q514" s="16"/>
      <c r="R514" s="16"/>
      <c r="S514" s="16"/>
      <c r="T514" s="103"/>
      <c r="U514" s="16"/>
      <c r="V514" s="16"/>
      <c r="W514" s="16"/>
      <c r="X514" s="103"/>
    </row>
    <row r="515" spans="2:24" x14ac:dyDescent="0.25">
      <c r="B515" s="103"/>
      <c r="C515" s="103"/>
      <c r="D515" s="103"/>
      <c r="E515" s="103"/>
      <c r="F515" s="103"/>
      <c r="H515" s="103"/>
      <c r="I515" s="103"/>
      <c r="J515" s="103"/>
      <c r="K515" s="103"/>
      <c r="L515" s="103"/>
      <c r="N515" s="103"/>
      <c r="O515" s="103"/>
      <c r="Q515" s="16"/>
      <c r="R515" s="16"/>
      <c r="S515" s="16"/>
      <c r="T515" s="103"/>
      <c r="U515" s="16"/>
      <c r="V515" s="16"/>
      <c r="W515" s="16"/>
      <c r="X515" s="103"/>
    </row>
    <row r="516" spans="2:24" x14ac:dyDescent="0.25">
      <c r="B516" s="103"/>
      <c r="C516" s="103"/>
      <c r="D516" s="103"/>
      <c r="E516" s="103"/>
      <c r="F516" s="103"/>
      <c r="H516" s="103"/>
      <c r="I516" s="103"/>
      <c r="J516" s="103"/>
      <c r="K516" s="103"/>
      <c r="L516" s="103"/>
      <c r="N516" s="103"/>
      <c r="O516" s="103"/>
      <c r="Q516" s="16"/>
      <c r="R516" s="16"/>
      <c r="S516" s="16"/>
      <c r="T516" s="103"/>
      <c r="U516" s="16"/>
      <c r="V516" s="16"/>
      <c r="W516" s="16"/>
      <c r="X516" s="103"/>
    </row>
    <row r="517" spans="2:24" x14ac:dyDescent="0.25">
      <c r="B517" s="103"/>
      <c r="C517" s="103"/>
      <c r="D517" s="103"/>
      <c r="E517" s="103"/>
      <c r="F517" s="103"/>
      <c r="H517" s="103"/>
      <c r="I517" s="103"/>
      <c r="J517" s="103"/>
      <c r="K517" s="103"/>
      <c r="L517" s="103"/>
      <c r="N517" s="103"/>
      <c r="O517" s="103"/>
      <c r="Q517" s="16"/>
      <c r="R517" s="16"/>
      <c r="S517" s="16"/>
      <c r="T517" s="103"/>
      <c r="U517" s="16"/>
      <c r="V517" s="16"/>
      <c r="W517" s="16"/>
      <c r="X517" s="103"/>
    </row>
    <row r="518" spans="2:24" x14ac:dyDescent="0.25">
      <c r="B518" s="103"/>
      <c r="C518" s="103"/>
      <c r="D518" s="103"/>
      <c r="E518" s="103"/>
      <c r="F518" s="103"/>
      <c r="H518" s="103"/>
      <c r="I518" s="103"/>
      <c r="J518" s="103"/>
      <c r="K518" s="103"/>
      <c r="L518" s="103"/>
      <c r="N518" s="103"/>
      <c r="O518" s="103"/>
      <c r="Q518" s="16"/>
      <c r="R518" s="16"/>
      <c r="S518" s="16"/>
      <c r="T518" s="103"/>
      <c r="U518" s="16"/>
      <c r="V518" s="16"/>
      <c r="W518" s="16"/>
      <c r="X518" s="103"/>
    </row>
    <row r="519" spans="2:24" x14ac:dyDescent="0.25">
      <c r="B519" s="103"/>
      <c r="C519" s="103"/>
      <c r="D519" s="103"/>
      <c r="E519" s="103"/>
      <c r="F519" s="103"/>
      <c r="H519" s="103"/>
      <c r="I519" s="103"/>
      <c r="J519" s="103"/>
      <c r="K519" s="103"/>
      <c r="L519" s="103"/>
      <c r="N519" s="103"/>
      <c r="O519" s="103"/>
      <c r="Q519" s="16"/>
      <c r="R519" s="16"/>
      <c r="S519" s="16"/>
      <c r="T519" s="103"/>
      <c r="U519" s="16"/>
      <c r="V519" s="16"/>
      <c r="W519" s="16"/>
      <c r="X519" s="103"/>
    </row>
    <row r="520" spans="2:24" x14ac:dyDescent="0.25">
      <c r="B520" s="103"/>
      <c r="C520" s="103"/>
      <c r="D520" s="103"/>
      <c r="E520" s="103"/>
      <c r="F520" s="103"/>
      <c r="H520" s="103"/>
      <c r="I520" s="103"/>
      <c r="J520" s="103"/>
      <c r="K520" s="103"/>
      <c r="L520" s="103"/>
      <c r="N520" s="103"/>
      <c r="O520" s="103"/>
      <c r="Q520" s="16"/>
      <c r="R520" s="16"/>
      <c r="S520" s="16"/>
      <c r="T520" s="103"/>
      <c r="U520" s="16"/>
      <c r="V520" s="16"/>
      <c r="W520" s="16"/>
      <c r="X520" s="103"/>
    </row>
    <row r="521" spans="2:24" x14ac:dyDescent="0.25">
      <c r="B521" s="103"/>
      <c r="C521" s="103"/>
      <c r="D521" s="103"/>
      <c r="E521" s="103"/>
      <c r="F521" s="103"/>
      <c r="H521" s="103"/>
      <c r="I521" s="103"/>
      <c r="J521" s="103"/>
      <c r="K521" s="103"/>
      <c r="L521" s="103"/>
      <c r="N521" s="103"/>
      <c r="O521" s="103"/>
      <c r="Q521" s="16"/>
      <c r="R521" s="16"/>
      <c r="S521" s="16"/>
      <c r="T521" s="103"/>
      <c r="U521" s="16"/>
      <c r="V521" s="16"/>
      <c r="W521" s="16"/>
      <c r="X521" s="103"/>
    </row>
    <row r="522" spans="2:24" x14ac:dyDescent="0.25">
      <c r="B522" s="103"/>
      <c r="C522" s="103"/>
      <c r="D522" s="103"/>
      <c r="E522" s="103"/>
      <c r="F522" s="103"/>
      <c r="H522" s="103"/>
      <c r="I522" s="103"/>
      <c r="J522" s="103"/>
      <c r="K522" s="103"/>
      <c r="L522" s="103"/>
      <c r="N522" s="103"/>
      <c r="O522" s="103"/>
      <c r="Q522" s="16"/>
      <c r="R522" s="16"/>
      <c r="S522" s="16"/>
      <c r="T522" s="103"/>
      <c r="U522" s="16"/>
      <c r="V522" s="16"/>
      <c r="W522" s="16"/>
      <c r="X522" s="103"/>
    </row>
    <row r="523" spans="2:24" x14ac:dyDescent="0.25">
      <c r="B523" s="103"/>
      <c r="C523" s="103"/>
      <c r="D523" s="103"/>
      <c r="E523" s="103"/>
      <c r="F523" s="103"/>
      <c r="H523" s="103"/>
      <c r="I523" s="103"/>
      <c r="J523" s="103"/>
      <c r="K523" s="103"/>
      <c r="L523" s="103"/>
      <c r="N523" s="103"/>
      <c r="O523" s="103"/>
      <c r="Q523" s="16"/>
      <c r="R523" s="16"/>
      <c r="S523" s="16"/>
      <c r="T523" s="103"/>
      <c r="U523" s="16"/>
      <c r="V523" s="16"/>
      <c r="W523" s="16"/>
      <c r="X523" s="103"/>
    </row>
    <row r="524" spans="2:24" x14ac:dyDescent="0.25">
      <c r="B524" s="103"/>
      <c r="C524" s="103"/>
      <c r="D524" s="103"/>
      <c r="E524" s="103"/>
      <c r="F524" s="103"/>
      <c r="H524" s="103"/>
      <c r="I524" s="103"/>
      <c r="J524" s="103"/>
      <c r="K524" s="103"/>
      <c r="L524" s="103"/>
      <c r="N524" s="103"/>
      <c r="O524" s="103"/>
      <c r="Q524" s="16"/>
      <c r="R524" s="16"/>
      <c r="S524" s="16"/>
      <c r="T524" s="103"/>
      <c r="U524" s="16"/>
      <c r="V524" s="16"/>
      <c r="W524" s="16"/>
      <c r="X524" s="103"/>
    </row>
    <row r="525" spans="2:24" x14ac:dyDescent="0.25">
      <c r="B525" s="103"/>
      <c r="C525" s="103"/>
      <c r="D525" s="103"/>
      <c r="E525" s="103"/>
      <c r="F525" s="103"/>
      <c r="H525" s="103"/>
      <c r="I525" s="103"/>
      <c r="J525" s="103"/>
      <c r="K525" s="103"/>
      <c r="L525" s="103"/>
      <c r="N525" s="103"/>
      <c r="O525" s="103"/>
      <c r="Q525" s="16"/>
      <c r="R525" s="16"/>
      <c r="S525" s="16"/>
      <c r="T525" s="103"/>
      <c r="U525" s="16"/>
      <c r="V525" s="16"/>
      <c r="W525" s="16"/>
      <c r="X525" s="103"/>
    </row>
    <row r="526" spans="2:24" x14ac:dyDescent="0.25">
      <c r="B526" s="103"/>
      <c r="C526" s="103"/>
      <c r="D526" s="103"/>
      <c r="E526" s="103"/>
      <c r="F526" s="103"/>
      <c r="H526" s="103"/>
      <c r="I526" s="103"/>
      <c r="J526" s="103"/>
      <c r="K526" s="103"/>
      <c r="L526" s="103"/>
      <c r="N526" s="103"/>
      <c r="O526" s="103"/>
      <c r="Q526" s="16"/>
      <c r="R526" s="16"/>
      <c r="S526" s="16"/>
      <c r="T526" s="103"/>
      <c r="U526" s="16"/>
      <c r="V526" s="16"/>
      <c r="W526" s="16"/>
      <c r="X526" s="103"/>
    </row>
    <row r="527" spans="2:24" x14ac:dyDescent="0.25">
      <c r="B527" s="103"/>
      <c r="C527" s="103"/>
      <c r="D527" s="103"/>
      <c r="E527" s="103"/>
      <c r="F527" s="103"/>
      <c r="H527" s="103"/>
      <c r="I527" s="103"/>
      <c r="J527" s="103"/>
      <c r="K527" s="103"/>
      <c r="L527" s="103"/>
      <c r="N527" s="103"/>
      <c r="O527" s="103"/>
      <c r="Q527" s="16"/>
      <c r="R527" s="16"/>
      <c r="S527" s="16"/>
      <c r="T527" s="103"/>
      <c r="U527" s="16"/>
      <c r="V527" s="16"/>
      <c r="W527" s="16"/>
      <c r="X527" s="103"/>
    </row>
    <row r="528" spans="2:24" x14ac:dyDescent="0.25">
      <c r="B528" s="103"/>
      <c r="C528" s="103"/>
      <c r="D528" s="103"/>
      <c r="E528" s="103"/>
      <c r="F528" s="103"/>
      <c r="H528" s="103"/>
      <c r="I528" s="103"/>
      <c r="J528" s="103"/>
      <c r="K528" s="103"/>
      <c r="L528" s="103"/>
      <c r="N528" s="103"/>
      <c r="O528" s="103"/>
      <c r="Q528" s="16"/>
      <c r="R528" s="16"/>
      <c r="S528" s="16"/>
      <c r="T528" s="103"/>
      <c r="U528" s="16"/>
      <c r="V528" s="16"/>
      <c r="W528" s="16"/>
      <c r="X528" s="103"/>
    </row>
    <row r="529" spans="2:24" x14ac:dyDescent="0.25">
      <c r="B529" s="103"/>
      <c r="C529" s="103"/>
      <c r="D529" s="103"/>
      <c r="E529" s="103"/>
      <c r="F529" s="103"/>
      <c r="H529" s="103"/>
      <c r="I529" s="103"/>
      <c r="J529" s="103"/>
      <c r="K529" s="103"/>
      <c r="L529" s="103"/>
      <c r="N529" s="103"/>
      <c r="O529" s="103"/>
      <c r="Q529" s="16"/>
      <c r="R529" s="16"/>
      <c r="S529" s="16"/>
      <c r="T529" s="103"/>
      <c r="U529" s="16"/>
      <c r="V529" s="16"/>
      <c r="W529" s="16"/>
      <c r="X529" s="103"/>
    </row>
    <row r="530" spans="2:24" x14ac:dyDescent="0.25">
      <c r="B530" s="103"/>
      <c r="C530" s="103"/>
      <c r="D530" s="103"/>
      <c r="E530" s="103"/>
      <c r="F530" s="103"/>
      <c r="H530" s="103"/>
      <c r="I530" s="103"/>
      <c r="J530" s="103"/>
      <c r="K530" s="103"/>
      <c r="L530" s="103"/>
      <c r="N530" s="103"/>
      <c r="O530" s="103"/>
      <c r="Q530" s="16"/>
      <c r="R530" s="16"/>
      <c r="S530" s="16"/>
      <c r="T530" s="103"/>
      <c r="U530" s="16"/>
      <c r="V530" s="16"/>
      <c r="W530" s="16"/>
      <c r="X530" s="103"/>
    </row>
    <row r="531" spans="2:24" x14ac:dyDescent="0.25">
      <c r="B531" s="103"/>
      <c r="C531" s="103"/>
      <c r="D531" s="103"/>
      <c r="E531" s="103"/>
      <c r="F531" s="103"/>
      <c r="H531" s="103"/>
      <c r="I531" s="103"/>
      <c r="J531" s="103"/>
      <c r="K531" s="103"/>
      <c r="L531" s="103"/>
      <c r="N531" s="103"/>
      <c r="O531" s="103"/>
      <c r="Q531" s="16"/>
      <c r="R531" s="16"/>
      <c r="S531" s="16"/>
      <c r="T531" s="103"/>
      <c r="U531" s="16"/>
      <c r="V531" s="16"/>
      <c r="W531" s="16"/>
      <c r="X531" s="103"/>
    </row>
    <row r="532" spans="2:24" x14ac:dyDescent="0.25">
      <c r="B532" s="103"/>
      <c r="C532" s="103"/>
      <c r="D532" s="103"/>
      <c r="E532" s="103"/>
      <c r="F532" s="103"/>
      <c r="H532" s="103"/>
      <c r="I532" s="103"/>
      <c r="J532" s="103"/>
      <c r="K532" s="103"/>
      <c r="L532" s="103"/>
      <c r="N532" s="103"/>
      <c r="O532" s="103"/>
      <c r="Q532" s="16"/>
      <c r="R532" s="16"/>
      <c r="S532" s="16"/>
      <c r="T532" s="103"/>
      <c r="U532" s="16"/>
      <c r="V532" s="16"/>
      <c r="W532" s="16"/>
      <c r="X532" s="103"/>
    </row>
    <row r="533" spans="2:24" x14ac:dyDescent="0.25">
      <c r="B533" s="103"/>
      <c r="C533" s="103"/>
      <c r="D533" s="103"/>
      <c r="E533" s="103"/>
      <c r="F533" s="103"/>
      <c r="H533" s="103"/>
      <c r="I533" s="103"/>
      <c r="J533" s="103"/>
      <c r="K533" s="103"/>
      <c r="L533" s="103"/>
      <c r="N533" s="103"/>
      <c r="O533" s="103"/>
      <c r="Q533" s="16"/>
      <c r="R533" s="16"/>
      <c r="S533" s="16"/>
      <c r="T533" s="103"/>
      <c r="U533" s="16"/>
      <c r="V533" s="16"/>
      <c r="W533" s="16"/>
      <c r="X533" s="103"/>
    </row>
    <row r="534" spans="2:24" x14ac:dyDescent="0.25">
      <c r="B534" s="103"/>
      <c r="C534" s="103"/>
      <c r="D534" s="103"/>
      <c r="E534" s="103"/>
      <c r="F534" s="103"/>
      <c r="H534" s="103"/>
      <c r="I534" s="103"/>
      <c r="J534" s="103"/>
      <c r="K534" s="103"/>
      <c r="L534" s="103"/>
      <c r="N534" s="103"/>
      <c r="O534" s="103"/>
      <c r="Q534" s="16"/>
      <c r="R534" s="16"/>
      <c r="S534" s="16"/>
      <c r="T534" s="103"/>
      <c r="U534" s="16"/>
      <c r="V534" s="16"/>
      <c r="W534" s="16"/>
      <c r="X534" s="103"/>
    </row>
    <row r="535" spans="2:24" x14ac:dyDescent="0.25">
      <c r="B535" s="103"/>
      <c r="C535" s="103"/>
      <c r="D535" s="103"/>
      <c r="E535" s="103"/>
      <c r="F535" s="103"/>
      <c r="H535" s="103"/>
      <c r="I535" s="103"/>
      <c r="J535" s="103"/>
      <c r="K535" s="103"/>
      <c r="L535" s="103"/>
      <c r="N535" s="103"/>
      <c r="O535" s="103"/>
      <c r="Q535" s="16"/>
      <c r="R535" s="16"/>
      <c r="S535" s="16"/>
      <c r="T535" s="103"/>
      <c r="U535" s="16"/>
      <c r="V535" s="16"/>
      <c r="W535" s="16"/>
      <c r="X535" s="103"/>
    </row>
    <row r="536" spans="2:24" x14ac:dyDescent="0.25">
      <c r="B536" s="103"/>
      <c r="C536" s="103"/>
      <c r="D536" s="103"/>
      <c r="E536" s="103"/>
      <c r="F536" s="103"/>
      <c r="H536" s="103"/>
      <c r="I536" s="103"/>
      <c r="J536" s="103"/>
      <c r="K536" s="103"/>
      <c r="L536" s="103"/>
      <c r="N536" s="103"/>
      <c r="O536" s="103"/>
      <c r="Q536" s="16"/>
      <c r="R536" s="16"/>
      <c r="S536" s="16"/>
      <c r="T536" s="103"/>
      <c r="U536" s="16"/>
      <c r="V536" s="16"/>
      <c r="W536" s="16"/>
      <c r="X536" s="103"/>
    </row>
    <row r="537" spans="2:24" x14ac:dyDescent="0.25">
      <c r="B537" s="103"/>
      <c r="C537" s="103"/>
      <c r="D537" s="103"/>
      <c r="E537" s="103"/>
      <c r="F537" s="103"/>
      <c r="H537" s="103"/>
      <c r="I537" s="103"/>
      <c r="J537" s="103"/>
      <c r="K537" s="103"/>
      <c r="L537" s="103"/>
      <c r="N537" s="103"/>
      <c r="O537" s="103"/>
      <c r="Q537" s="16"/>
      <c r="R537" s="16"/>
      <c r="S537" s="16"/>
      <c r="T537" s="103"/>
      <c r="U537" s="16"/>
      <c r="V537" s="16"/>
      <c r="W537" s="16"/>
      <c r="X537" s="103"/>
    </row>
    <row r="538" spans="2:24" x14ac:dyDescent="0.25">
      <c r="B538" s="103"/>
      <c r="C538" s="103"/>
      <c r="D538" s="103"/>
      <c r="E538" s="103"/>
      <c r="F538" s="103"/>
      <c r="H538" s="103"/>
      <c r="I538" s="103"/>
      <c r="J538" s="103"/>
      <c r="K538" s="103"/>
      <c r="L538" s="103"/>
      <c r="N538" s="103"/>
      <c r="O538" s="103"/>
      <c r="Q538" s="16"/>
      <c r="R538" s="16"/>
      <c r="S538" s="16"/>
      <c r="T538" s="103"/>
      <c r="U538" s="16"/>
      <c r="V538" s="16"/>
      <c r="W538" s="16"/>
      <c r="X538" s="103"/>
    </row>
    <row r="539" spans="2:24" x14ac:dyDescent="0.25">
      <c r="B539" s="103"/>
      <c r="C539" s="103"/>
      <c r="D539" s="103"/>
      <c r="E539" s="103"/>
      <c r="F539" s="103"/>
      <c r="H539" s="103"/>
      <c r="I539" s="103"/>
      <c r="J539" s="103"/>
      <c r="K539" s="103"/>
      <c r="L539" s="103"/>
      <c r="N539" s="103"/>
      <c r="O539" s="103"/>
      <c r="Q539" s="16"/>
      <c r="R539" s="16"/>
      <c r="S539" s="16"/>
      <c r="T539" s="103"/>
      <c r="U539" s="16"/>
      <c r="V539" s="16"/>
      <c r="W539" s="16"/>
      <c r="X539" s="103"/>
    </row>
    <row r="540" spans="2:24" x14ac:dyDescent="0.25">
      <c r="B540" s="103"/>
      <c r="C540" s="103"/>
      <c r="D540" s="103"/>
      <c r="E540" s="103"/>
      <c r="F540" s="103"/>
      <c r="H540" s="103"/>
      <c r="I540" s="103"/>
      <c r="J540" s="103"/>
      <c r="K540" s="103"/>
      <c r="L540" s="103"/>
      <c r="N540" s="103"/>
      <c r="O540" s="103"/>
      <c r="Q540" s="16"/>
      <c r="R540" s="16"/>
      <c r="S540" s="16"/>
      <c r="T540" s="103"/>
      <c r="U540" s="16"/>
      <c r="V540" s="16"/>
      <c r="W540" s="16"/>
      <c r="X540" s="103"/>
    </row>
    <row r="541" spans="2:24" x14ac:dyDescent="0.25">
      <c r="B541" s="103"/>
      <c r="C541" s="103"/>
      <c r="D541" s="103"/>
      <c r="E541" s="103"/>
      <c r="F541" s="103"/>
      <c r="H541" s="103"/>
      <c r="I541" s="103"/>
      <c r="J541" s="103"/>
      <c r="K541" s="103"/>
      <c r="L541" s="103"/>
      <c r="N541" s="103"/>
      <c r="O541" s="103"/>
      <c r="Q541" s="16"/>
      <c r="R541" s="16"/>
      <c r="S541" s="16"/>
      <c r="T541" s="103"/>
      <c r="U541" s="16"/>
      <c r="V541" s="16"/>
      <c r="W541" s="16"/>
      <c r="X541" s="103"/>
    </row>
    <row r="542" spans="2:24" x14ac:dyDescent="0.25">
      <c r="B542" s="103"/>
      <c r="C542" s="103"/>
      <c r="D542" s="103"/>
      <c r="E542" s="103"/>
      <c r="F542" s="103"/>
      <c r="H542" s="103"/>
      <c r="I542" s="103"/>
      <c r="J542" s="103"/>
      <c r="K542" s="103"/>
      <c r="L542" s="103"/>
      <c r="N542" s="103"/>
      <c r="O542" s="103"/>
      <c r="Q542" s="16"/>
      <c r="R542" s="16"/>
      <c r="S542" s="16"/>
      <c r="T542" s="103"/>
      <c r="U542" s="16"/>
      <c r="V542" s="16"/>
      <c r="W542" s="16"/>
      <c r="X542" s="103"/>
    </row>
    <row r="543" spans="2:24" x14ac:dyDescent="0.25">
      <c r="B543" s="103"/>
      <c r="C543" s="103"/>
      <c r="D543" s="103"/>
      <c r="E543" s="103"/>
      <c r="F543" s="103"/>
      <c r="H543" s="103"/>
      <c r="I543" s="103"/>
      <c r="J543" s="103"/>
      <c r="K543" s="103"/>
      <c r="L543" s="103"/>
      <c r="N543" s="103"/>
      <c r="O543" s="103"/>
      <c r="Q543" s="16"/>
      <c r="R543" s="16"/>
      <c r="S543" s="16"/>
      <c r="T543" s="103"/>
      <c r="U543" s="16"/>
      <c r="V543" s="16"/>
      <c r="W543" s="16"/>
      <c r="X543" s="103"/>
    </row>
    <row r="544" spans="2:24" x14ac:dyDescent="0.25">
      <c r="B544" s="103"/>
      <c r="C544" s="103"/>
      <c r="D544" s="103"/>
      <c r="E544" s="103"/>
      <c r="F544" s="103"/>
      <c r="H544" s="103"/>
      <c r="I544" s="103"/>
      <c r="J544" s="103"/>
      <c r="K544" s="103"/>
      <c r="L544" s="103"/>
      <c r="N544" s="103"/>
      <c r="O544" s="103"/>
      <c r="Q544" s="16"/>
      <c r="R544" s="16"/>
      <c r="S544" s="16"/>
      <c r="T544" s="103"/>
      <c r="U544" s="16"/>
      <c r="V544" s="16"/>
      <c r="W544" s="16"/>
      <c r="X544" s="103"/>
    </row>
    <row r="545" spans="2:24" x14ac:dyDescent="0.25">
      <c r="B545" s="103"/>
      <c r="C545" s="103"/>
      <c r="D545" s="103"/>
      <c r="E545" s="103"/>
      <c r="F545" s="103"/>
      <c r="H545" s="103"/>
      <c r="I545" s="103"/>
      <c r="J545" s="103"/>
      <c r="K545" s="103"/>
      <c r="L545" s="103"/>
      <c r="N545" s="103"/>
      <c r="O545" s="103"/>
      <c r="Q545" s="16"/>
      <c r="R545" s="16"/>
      <c r="S545" s="16"/>
      <c r="T545" s="103"/>
      <c r="U545" s="16"/>
      <c r="V545" s="16"/>
      <c r="W545" s="16"/>
      <c r="X545" s="103"/>
    </row>
    <row r="546" spans="2:24" x14ac:dyDescent="0.25">
      <c r="B546" s="103"/>
      <c r="C546" s="103"/>
      <c r="D546" s="103"/>
      <c r="E546" s="103"/>
      <c r="F546" s="103"/>
      <c r="H546" s="103"/>
      <c r="I546" s="103"/>
      <c r="J546" s="103"/>
      <c r="K546" s="103"/>
      <c r="L546" s="103"/>
      <c r="N546" s="103"/>
      <c r="O546" s="103"/>
      <c r="Q546" s="16"/>
      <c r="R546" s="16"/>
      <c r="S546" s="16"/>
      <c r="T546" s="103"/>
      <c r="U546" s="16"/>
      <c r="V546" s="16"/>
      <c r="W546" s="16"/>
      <c r="X546" s="103"/>
    </row>
    <row r="547" spans="2:24" x14ac:dyDescent="0.25">
      <c r="B547" s="103"/>
      <c r="C547" s="103"/>
      <c r="D547" s="103"/>
      <c r="E547" s="103"/>
      <c r="F547" s="103"/>
      <c r="H547" s="103"/>
      <c r="I547" s="103"/>
      <c r="J547" s="103"/>
      <c r="K547" s="103"/>
      <c r="L547" s="103"/>
      <c r="N547" s="103"/>
      <c r="O547" s="103"/>
      <c r="Q547" s="16"/>
      <c r="R547" s="16"/>
      <c r="S547" s="16"/>
      <c r="T547" s="103"/>
      <c r="U547" s="16"/>
      <c r="V547" s="16"/>
      <c r="W547" s="16"/>
      <c r="X547" s="103"/>
    </row>
    <row r="548" spans="2:24" x14ac:dyDescent="0.25">
      <c r="B548" s="103"/>
      <c r="C548" s="103"/>
      <c r="D548" s="103"/>
      <c r="E548" s="103"/>
      <c r="F548" s="103"/>
      <c r="H548" s="103"/>
      <c r="I548" s="103"/>
      <c r="J548" s="103"/>
      <c r="K548" s="103"/>
      <c r="L548" s="103"/>
      <c r="N548" s="103"/>
      <c r="O548" s="103"/>
      <c r="Q548" s="16"/>
      <c r="R548" s="16"/>
      <c r="S548" s="16"/>
      <c r="T548" s="103"/>
      <c r="U548" s="16"/>
      <c r="V548" s="16"/>
      <c r="W548" s="16"/>
      <c r="X548" s="103"/>
    </row>
    <row r="549" spans="2:24" x14ac:dyDescent="0.25">
      <c r="B549" s="103"/>
      <c r="C549" s="103"/>
      <c r="D549" s="103"/>
      <c r="E549" s="103"/>
      <c r="F549" s="103"/>
      <c r="H549" s="103"/>
      <c r="I549" s="103"/>
      <c r="J549" s="103"/>
      <c r="K549" s="103"/>
      <c r="L549" s="103"/>
      <c r="N549" s="103"/>
      <c r="O549" s="103"/>
      <c r="Q549" s="16"/>
      <c r="R549" s="16"/>
      <c r="S549" s="16"/>
      <c r="T549" s="103"/>
      <c r="U549" s="16"/>
      <c r="V549" s="16"/>
      <c r="W549" s="16"/>
      <c r="X549" s="103"/>
    </row>
    <row r="550" spans="2:24" x14ac:dyDescent="0.25">
      <c r="B550" s="103"/>
      <c r="C550" s="103"/>
      <c r="D550" s="103"/>
      <c r="E550" s="103"/>
      <c r="F550" s="103"/>
      <c r="H550" s="103"/>
      <c r="I550" s="103"/>
      <c r="J550" s="103"/>
      <c r="K550" s="103"/>
      <c r="L550" s="103"/>
      <c r="N550" s="103"/>
      <c r="O550" s="103"/>
      <c r="Q550" s="16"/>
      <c r="R550" s="16"/>
      <c r="S550" s="16"/>
      <c r="T550" s="103"/>
      <c r="U550" s="16"/>
      <c r="V550" s="16"/>
      <c r="W550" s="16"/>
      <c r="X550" s="103"/>
    </row>
    <row r="551" spans="2:24" x14ac:dyDescent="0.25">
      <c r="B551" s="103"/>
      <c r="C551" s="103"/>
      <c r="D551" s="103"/>
      <c r="E551" s="103"/>
      <c r="F551" s="103"/>
      <c r="H551" s="103"/>
      <c r="I551" s="103"/>
      <c r="J551" s="103"/>
      <c r="K551" s="103"/>
      <c r="L551" s="103"/>
      <c r="N551" s="103"/>
      <c r="O551" s="103"/>
      <c r="Q551" s="16"/>
      <c r="R551" s="16"/>
      <c r="S551" s="16"/>
      <c r="T551" s="103"/>
      <c r="U551" s="16"/>
      <c r="V551" s="16"/>
      <c r="W551" s="16"/>
      <c r="X551" s="103"/>
    </row>
    <row r="552" spans="2:24" x14ac:dyDescent="0.25">
      <c r="B552" s="103"/>
      <c r="C552" s="103"/>
      <c r="D552" s="103"/>
      <c r="E552" s="103"/>
      <c r="F552" s="103"/>
      <c r="H552" s="103"/>
      <c r="I552" s="103"/>
      <c r="J552" s="103"/>
      <c r="K552" s="103"/>
      <c r="L552" s="103"/>
      <c r="N552" s="103"/>
      <c r="O552" s="103"/>
      <c r="Q552" s="16"/>
      <c r="R552" s="16"/>
      <c r="S552" s="16"/>
      <c r="T552" s="103"/>
      <c r="U552" s="16"/>
      <c r="V552" s="16"/>
      <c r="W552" s="16"/>
      <c r="X552" s="103"/>
    </row>
    <row r="553" spans="2:24" x14ac:dyDescent="0.25">
      <c r="B553" s="103"/>
      <c r="C553" s="103"/>
      <c r="D553" s="103"/>
      <c r="E553" s="103"/>
      <c r="F553" s="103"/>
      <c r="H553" s="103"/>
      <c r="I553" s="103"/>
      <c r="J553" s="103"/>
      <c r="K553" s="103"/>
      <c r="L553" s="103"/>
      <c r="N553" s="103"/>
      <c r="O553" s="103"/>
      <c r="Q553" s="16"/>
      <c r="R553" s="16"/>
      <c r="S553" s="16"/>
      <c r="T553" s="103"/>
      <c r="U553" s="16"/>
      <c r="V553" s="16"/>
      <c r="W553" s="16"/>
      <c r="X553" s="103"/>
    </row>
    <row r="554" spans="2:24" x14ac:dyDescent="0.25">
      <c r="B554" s="103"/>
      <c r="C554" s="103"/>
      <c r="D554" s="103"/>
      <c r="E554" s="103"/>
      <c r="F554" s="103"/>
      <c r="H554" s="103"/>
      <c r="I554" s="103"/>
      <c r="J554" s="103"/>
      <c r="K554" s="103"/>
      <c r="L554" s="103"/>
      <c r="N554" s="103"/>
      <c r="O554" s="103"/>
      <c r="Q554" s="16"/>
      <c r="R554" s="16"/>
      <c r="S554" s="16"/>
      <c r="T554" s="103"/>
      <c r="U554" s="16"/>
      <c r="V554" s="16"/>
      <c r="W554" s="16"/>
      <c r="X554" s="103"/>
    </row>
    <row r="555" spans="2:24" x14ac:dyDescent="0.25">
      <c r="B555" s="103"/>
      <c r="C555" s="103"/>
      <c r="D555" s="103"/>
      <c r="E555" s="103"/>
      <c r="F555" s="103"/>
      <c r="H555" s="103"/>
      <c r="I555" s="103"/>
      <c r="J555" s="103"/>
      <c r="K555" s="103"/>
      <c r="L555" s="103"/>
      <c r="N555" s="103"/>
      <c r="O555" s="103"/>
      <c r="Q555" s="16"/>
      <c r="R555" s="16"/>
      <c r="S555" s="16"/>
      <c r="T555" s="103"/>
      <c r="U555" s="16"/>
      <c r="V555" s="16"/>
      <c r="W555" s="16"/>
      <c r="X555" s="103"/>
    </row>
    <row r="556" spans="2:24" x14ac:dyDescent="0.25">
      <c r="B556" s="103"/>
      <c r="C556" s="103"/>
      <c r="D556" s="103"/>
      <c r="E556" s="103"/>
      <c r="F556" s="103"/>
      <c r="H556" s="103"/>
      <c r="I556" s="103"/>
      <c r="J556" s="103"/>
      <c r="K556" s="103"/>
      <c r="L556" s="103"/>
      <c r="N556" s="103"/>
      <c r="O556" s="103"/>
      <c r="Q556" s="16"/>
      <c r="R556" s="16"/>
      <c r="S556" s="16"/>
      <c r="T556" s="103"/>
      <c r="U556" s="16"/>
      <c r="V556" s="16"/>
      <c r="W556" s="16"/>
      <c r="X556" s="103"/>
    </row>
    <row r="557" spans="2:24" x14ac:dyDescent="0.25">
      <c r="B557" s="103"/>
      <c r="C557" s="103"/>
      <c r="D557" s="103"/>
      <c r="E557" s="103"/>
      <c r="F557" s="103"/>
      <c r="H557" s="103"/>
      <c r="I557" s="103"/>
      <c r="J557" s="103"/>
      <c r="K557" s="103"/>
      <c r="L557" s="103"/>
      <c r="N557" s="103"/>
      <c r="O557" s="103"/>
      <c r="Q557" s="16"/>
      <c r="R557" s="16"/>
      <c r="S557" s="16"/>
      <c r="T557" s="103"/>
      <c r="U557" s="16"/>
      <c r="V557" s="16"/>
      <c r="W557" s="16"/>
      <c r="X557" s="103"/>
    </row>
    <row r="558" spans="2:24" x14ac:dyDescent="0.25">
      <c r="B558" s="103"/>
      <c r="C558" s="103"/>
      <c r="D558" s="103"/>
      <c r="E558" s="103"/>
      <c r="F558" s="103"/>
      <c r="H558" s="103"/>
      <c r="I558" s="103"/>
      <c r="J558" s="103"/>
      <c r="K558" s="103"/>
      <c r="L558" s="103"/>
      <c r="N558" s="103"/>
      <c r="O558" s="103"/>
      <c r="Q558" s="16"/>
      <c r="R558" s="16"/>
      <c r="S558" s="16"/>
      <c r="T558" s="103"/>
      <c r="U558" s="16"/>
      <c r="V558" s="16"/>
      <c r="W558" s="16"/>
      <c r="X558" s="103"/>
    </row>
    <row r="559" spans="2:24" x14ac:dyDescent="0.25">
      <c r="B559" s="103"/>
      <c r="C559" s="103"/>
      <c r="D559" s="103"/>
      <c r="E559" s="103"/>
      <c r="F559" s="103"/>
      <c r="H559" s="103"/>
      <c r="I559" s="103"/>
      <c r="J559" s="103"/>
      <c r="K559" s="103"/>
      <c r="L559" s="103"/>
      <c r="N559" s="103"/>
      <c r="O559" s="103"/>
      <c r="Q559" s="16"/>
      <c r="R559" s="16"/>
      <c r="S559" s="16"/>
      <c r="T559" s="103"/>
      <c r="U559" s="16"/>
      <c r="V559" s="16"/>
      <c r="W559" s="16"/>
      <c r="X559" s="103"/>
    </row>
    <row r="560" spans="2:24" x14ac:dyDescent="0.25">
      <c r="B560" s="103"/>
      <c r="C560" s="103"/>
      <c r="D560" s="103"/>
      <c r="E560" s="103"/>
      <c r="F560" s="103"/>
      <c r="H560" s="103"/>
      <c r="I560" s="103"/>
      <c r="J560" s="103"/>
      <c r="K560" s="103"/>
      <c r="L560" s="103"/>
      <c r="N560" s="103"/>
      <c r="O560" s="103"/>
      <c r="Q560" s="16"/>
      <c r="R560" s="16"/>
      <c r="S560" s="16"/>
      <c r="T560" s="103"/>
      <c r="U560" s="16"/>
      <c r="V560" s="16"/>
      <c r="W560" s="16"/>
      <c r="X560" s="103"/>
    </row>
    <row r="561" spans="2:24" x14ac:dyDescent="0.25">
      <c r="B561" s="103"/>
      <c r="C561" s="103"/>
      <c r="D561" s="103"/>
      <c r="E561" s="103"/>
      <c r="F561" s="103"/>
      <c r="H561" s="103"/>
      <c r="I561" s="103"/>
      <c r="J561" s="103"/>
      <c r="K561" s="103"/>
      <c r="L561" s="103"/>
      <c r="N561" s="103"/>
      <c r="O561" s="103"/>
      <c r="Q561" s="16"/>
      <c r="R561" s="16"/>
      <c r="S561" s="16"/>
      <c r="T561" s="103"/>
      <c r="U561" s="16"/>
      <c r="V561" s="16"/>
      <c r="W561" s="16"/>
      <c r="X561" s="103"/>
    </row>
    <row r="562" spans="2:24" x14ac:dyDescent="0.25">
      <c r="B562" s="103"/>
      <c r="C562" s="103"/>
      <c r="D562" s="103"/>
      <c r="E562" s="103"/>
      <c r="F562" s="103"/>
      <c r="H562" s="103"/>
      <c r="I562" s="103"/>
      <c r="J562" s="103"/>
      <c r="K562" s="103"/>
      <c r="L562" s="103"/>
      <c r="N562" s="103"/>
      <c r="O562" s="103"/>
      <c r="Q562" s="16"/>
      <c r="R562" s="16"/>
      <c r="S562" s="16"/>
      <c r="T562" s="103"/>
      <c r="U562" s="16"/>
      <c r="V562" s="16"/>
      <c r="W562" s="16"/>
      <c r="X562" s="103"/>
    </row>
    <row r="563" spans="2:24" x14ac:dyDescent="0.25">
      <c r="B563" s="103"/>
      <c r="C563" s="103"/>
      <c r="D563" s="103"/>
      <c r="E563" s="103"/>
      <c r="F563" s="103"/>
      <c r="H563" s="103"/>
      <c r="I563" s="103"/>
      <c r="J563" s="103"/>
      <c r="K563" s="103"/>
      <c r="L563" s="103"/>
      <c r="N563" s="103"/>
      <c r="O563" s="103"/>
      <c r="Q563" s="16"/>
      <c r="R563" s="16"/>
      <c r="S563" s="16"/>
      <c r="T563" s="103"/>
      <c r="U563" s="16"/>
      <c r="V563" s="16"/>
      <c r="W563" s="16"/>
      <c r="X563" s="103"/>
    </row>
    <row r="564" spans="2:24" x14ac:dyDescent="0.25">
      <c r="B564" s="103"/>
      <c r="C564" s="103"/>
      <c r="D564" s="103"/>
      <c r="E564" s="103"/>
      <c r="F564" s="103"/>
      <c r="H564" s="103"/>
      <c r="I564" s="103"/>
      <c r="J564" s="103"/>
      <c r="K564" s="103"/>
      <c r="L564" s="103"/>
      <c r="N564" s="103"/>
      <c r="O564" s="103"/>
      <c r="Q564" s="16"/>
      <c r="R564" s="16"/>
      <c r="S564" s="16"/>
      <c r="T564" s="103"/>
      <c r="U564" s="16"/>
      <c r="V564" s="16"/>
      <c r="W564" s="16"/>
      <c r="X564" s="103"/>
    </row>
    <row r="565" spans="2:24" x14ac:dyDescent="0.25">
      <c r="B565" s="103"/>
      <c r="C565" s="103"/>
      <c r="D565" s="103"/>
      <c r="E565" s="103"/>
      <c r="F565" s="103"/>
      <c r="H565" s="103"/>
      <c r="I565" s="103"/>
      <c r="J565" s="103"/>
      <c r="K565" s="103"/>
      <c r="L565" s="103"/>
      <c r="N565" s="103"/>
      <c r="O565" s="103"/>
      <c r="Q565" s="16"/>
      <c r="R565" s="16"/>
      <c r="S565" s="16"/>
      <c r="T565" s="103"/>
      <c r="U565" s="16"/>
      <c r="V565" s="16"/>
      <c r="W565" s="16"/>
      <c r="X565" s="103"/>
    </row>
    <row r="566" spans="2:24" x14ac:dyDescent="0.25">
      <c r="B566" s="103"/>
      <c r="C566" s="103"/>
      <c r="D566" s="103"/>
      <c r="E566" s="103"/>
      <c r="F566" s="103"/>
      <c r="H566" s="103"/>
      <c r="I566" s="103"/>
      <c r="J566" s="103"/>
      <c r="K566" s="103"/>
      <c r="L566" s="103"/>
      <c r="N566" s="103"/>
      <c r="O566" s="103"/>
      <c r="Q566" s="16"/>
      <c r="R566" s="16"/>
      <c r="S566" s="16"/>
      <c r="T566" s="103"/>
      <c r="U566" s="16"/>
      <c r="V566" s="16"/>
      <c r="W566" s="16"/>
      <c r="X566" s="103"/>
    </row>
    <row r="567" spans="2:24" x14ac:dyDescent="0.25">
      <c r="B567" s="103"/>
      <c r="C567" s="103"/>
      <c r="D567" s="103"/>
      <c r="E567" s="103"/>
      <c r="F567" s="103"/>
      <c r="H567" s="103"/>
      <c r="I567" s="103"/>
      <c r="J567" s="103"/>
      <c r="K567" s="103"/>
      <c r="L567" s="103"/>
      <c r="N567" s="103"/>
      <c r="O567" s="103"/>
      <c r="Q567" s="16"/>
      <c r="R567" s="16"/>
      <c r="S567" s="16"/>
      <c r="T567" s="103"/>
      <c r="U567" s="16"/>
      <c r="V567" s="16"/>
      <c r="W567" s="16"/>
      <c r="X567" s="103"/>
    </row>
    <row r="568" spans="2:24" x14ac:dyDescent="0.25">
      <c r="B568" s="103"/>
      <c r="C568" s="103"/>
      <c r="D568" s="103"/>
      <c r="E568" s="103"/>
      <c r="F568" s="103"/>
      <c r="H568" s="103"/>
      <c r="I568" s="103"/>
      <c r="J568" s="103"/>
      <c r="K568" s="103"/>
      <c r="L568" s="103"/>
      <c r="N568" s="103"/>
      <c r="O568" s="103"/>
      <c r="Q568" s="16"/>
      <c r="R568" s="16"/>
      <c r="S568" s="16"/>
      <c r="T568" s="103"/>
      <c r="U568" s="16"/>
      <c r="V568" s="16"/>
      <c r="W568" s="16"/>
      <c r="X568" s="103"/>
    </row>
    <row r="569" spans="2:24" x14ac:dyDescent="0.25">
      <c r="B569" s="103"/>
      <c r="C569" s="103"/>
      <c r="D569" s="103"/>
      <c r="E569" s="103"/>
      <c r="F569" s="103"/>
      <c r="H569" s="103"/>
      <c r="I569" s="103"/>
      <c r="J569" s="103"/>
      <c r="K569" s="103"/>
      <c r="L569" s="103"/>
      <c r="N569" s="103"/>
      <c r="O569" s="103"/>
      <c r="Q569" s="16"/>
      <c r="R569" s="16"/>
      <c r="S569" s="16"/>
      <c r="T569" s="103"/>
      <c r="U569" s="16"/>
      <c r="V569" s="16"/>
      <c r="W569" s="16"/>
      <c r="X569" s="103"/>
    </row>
    <row r="570" spans="2:24" x14ac:dyDescent="0.25">
      <c r="B570" s="103"/>
      <c r="C570" s="103"/>
      <c r="D570" s="103"/>
      <c r="E570" s="103"/>
      <c r="F570" s="103"/>
      <c r="H570" s="103"/>
      <c r="I570" s="103"/>
      <c r="J570" s="103"/>
      <c r="K570" s="103"/>
      <c r="L570" s="103"/>
      <c r="N570" s="103"/>
      <c r="O570" s="103"/>
      <c r="Q570" s="16"/>
      <c r="R570" s="16"/>
      <c r="S570" s="16"/>
      <c r="T570" s="103"/>
      <c r="U570" s="16"/>
      <c r="V570" s="16"/>
      <c r="W570" s="16"/>
      <c r="X570" s="103"/>
    </row>
    <row r="571" spans="2:24" x14ac:dyDescent="0.25">
      <c r="B571" s="103"/>
      <c r="C571" s="103"/>
      <c r="D571" s="103"/>
      <c r="E571" s="103"/>
      <c r="F571" s="103"/>
      <c r="H571" s="103"/>
      <c r="I571" s="103"/>
      <c r="J571" s="103"/>
      <c r="K571" s="103"/>
      <c r="L571" s="103"/>
      <c r="N571" s="103"/>
      <c r="O571" s="103"/>
      <c r="Q571" s="16"/>
      <c r="R571" s="16"/>
      <c r="S571" s="16"/>
      <c r="T571" s="103"/>
      <c r="U571" s="16"/>
      <c r="V571" s="16"/>
      <c r="W571" s="16"/>
      <c r="X571" s="103"/>
    </row>
    <row r="572" spans="2:24" x14ac:dyDescent="0.25">
      <c r="B572" s="103"/>
      <c r="C572" s="103"/>
      <c r="D572" s="103"/>
      <c r="E572" s="103"/>
      <c r="F572" s="103"/>
      <c r="H572" s="103"/>
      <c r="I572" s="103"/>
      <c r="J572" s="103"/>
      <c r="K572" s="103"/>
      <c r="L572" s="103"/>
      <c r="N572" s="103"/>
      <c r="O572" s="103"/>
      <c r="Q572" s="16"/>
      <c r="R572" s="16"/>
      <c r="S572" s="16"/>
      <c r="T572" s="103"/>
      <c r="U572" s="16"/>
      <c r="V572" s="16"/>
      <c r="W572" s="16"/>
      <c r="X572" s="103"/>
    </row>
    <row r="573" spans="2:24" x14ac:dyDescent="0.25">
      <c r="B573" s="103"/>
      <c r="C573" s="103"/>
      <c r="D573" s="103"/>
      <c r="E573" s="103"/>
      <c r="F573" s="103"/>
      <c r="H573" s="103"/>
      <c r="I573" s="103"/>
      <c r="J573" s="103"/>
      <c r="K573" s="103"/>
      <c r="L573" s="103"/>
      <c r="N573" s="103"/>
      <c r="O573" s="103"/>
      <c r="Q573" s="16"/>
      <c r="R573" s="16"/>
      <c r="S573" s="16"/>
      <c r="T573" s="103"/>
      <c r="U573" s="16"/>
      <c r="V573" s="16"/>
      <c r="W573" s="16"/>
      <c r="X573" s="103"/>
    </row>
    <row r="574" spans="2:24" x14ac:dyDescent="0.25">
      <c r="B574" s="103"/>
      <c r="C574" s="103"/>
      <c r="D574" s="103"/>
      <c r="E574" s="103"/>
      <c r="F574" s="103"/>
      <c r="H574" s="103"/>
      <c r="I574" s="103"/>
      <c r="J574" s="103"/>
      <c r="K574" s="103"/>
      <c r="L574" s="103"/>
      <c r="N574" s="103"/>
      <c r="O574" s="103"/>
      <c r="Q574" s="16"/>
      <c r="R574" s="16"/>
      <c r="S574" s="16"/>
      <c r="T574" s="103"/>
      <c r="U574" s="16"/>
      <c r="V574" s="16"/>
      <c r="W574" s="16"/>
      <c r="X574" s="103"/>
    </row>
    <row r="575" spans="2:24" x14ac:dyDescent="0.25">
      <c r="B575" s="103"/>
      <c r="C575" s="103"/>
      <c r="D575" s="103"/>
      <c r="E575" s="103"/>
      <c r="F575" s="103"/>
      <c r="H575" s="103"/>
      <c r="I575" s="103"/>
      <c r="J575" s="103"/>
      <c r="K575" s="103"/>
      <c r="L575" s="103"/>
      <c r="N575" s="103"/>
      <c r="O575" s="103"/>
      <c r="Q575" s="16"/>
      <c r="R575" s="16"/>
      <c r="S575" s="16"/>
      <c r="T575" s="103"/>
      <c r="U575" s="16"/>
      <c r="V575" s="16"/>
      <c r="W575" s="16"/>
      <c r="X575" s="103"/>
    </row>
    <row r="576" spans="2:24" x14ac:dyDescent="0.25">
      <c r="B576" s="103"/>
      <c r="C576" s="103"/>
      <c r="D576" s="103"/>
      <c r="E576" s="103"/>
      <c r="F576" s="103"/>
      <c r="H576" s="103"/>
      <c r="I576" s="103"/>
      <c r="J576" s="103"/>
      <c r="K576" s="103"/>
      <c r="L576" s="103"/>
      <c r="N576" s="103"/>
      <c r="O576" s="103"/>
      <c r="Q576" s="16"/>
      <c r="R576" s="16"/>
      <c r="S576" s="16"/>
      <c r="T576" s="103"/>
      <c r="U576" s="16"/>
      <c r="V576" s="16"/>
      <c r="W576" s="16"/>
      <c r="X576" s="103"/>
    </row>
    <row r="577" spans="2:24" x14ac:dyDescent="0.25">
      <c r="B577" s="103"/>
      <c r="C577" s="103"/>
      <c r="D577" s="103"/>
      <c r="E577" s="103"/>
      <c r="F577" s="103"/>
      <c r="H577" s="103"/>
      <c r="I577" s="103"/>
      <c r="J577" s="103"/>
      <c r="K577" s="103"/>
      <c r="L577" s="103"/>
      <c r="N577" s="103"/>
      <c r="O577" s="103"/>
      <c r="Q577" s="16"/>
      <c r="R577" s="16"/>
      <c r="S577" s="16"/>
      <c r="T577" s="103"/>
      <c r="U577" s="16"/>
      <c r="V577" s="16"/>
      <c r="W577" s="16"/>
      <c r="X577" s="103"/>
    </row>
    <row r="578" spans="2:24" x14ac:dyDescent="0.25">
      <c r="B578" s="103"/>
      <c r="C578" s="103"/>
      <c r="D578" s="103"/>
      <c r="E578" s="103"/>
      <c r="F578" s="103"/>
      <c r="H578" s="103"/>
      <c r="I578" s="103"/>
      <c r="J578" s="103"/>
      <c r="K578" s="103"/>
      <c r="L578" s="103"/>
      <c r="N578" s="103"/>
      <c r="O578" s="103"/>
      <c r="Q578" s="16"/>
      <c r="R578" s="16"/>
      <c r="S578" s="16"/>
      <c r="T578" s="103"/>
      <c r="U578" s="16"/>
      <c r="V578" s="16"/>
      <c r="W578" s="16"/>
      <c r="X578" s="103"/>
    </row>
    <row r="579" spans="2:24" x14ac:dyDescent="0.25">
      <c r="B579" s="103"/>
      <c r="C579" s="103"/>
      <c r="D579" s="103"/>
      <c r="E579" s="103"/>
      <c r="F579" s="103"/>
      <c r="H579" s="103"/>
      <c r="I579" s="103"/>
      <c r="J579" s="103"/>
      <c r="K579" s="103"/>
      <c r="L579" s="103"/>
      <c r="N579" s="103"/>
      <c r="O579" s="103"/>
      <c r="Q579" s="16"/>
      <c r="R579" s="16"/>
      <c r="S579" s="16"/>
      <c r="T579" s="103"/>
      <c r="U579" s="16"/>
      <c r="V579" s="16"/>
      <c r="W579" s="16"/>
      <c r="X579" s="103"/>
    </row>
    <row r="580" spans="2:24" x14ac:dyDescent="0.25">
      <c r="B580" s="103"/>
      <c r="C580" s="103"/>
      <c r="D580" s="103"/>
      <c r="E580" s="103"/>
      <c r="F580" s="103"/>
      <c r="H580" s="103"/>
      <c r="I580" s="103"/>
      <c r="J580" s="103"/>
      <c r="K580" s="103"/>
      <c r="L580" s="103"/>
      <c r="N580" s="103"/>
      <c r="O580" s="103"/>
      <c r="Q580" s="16"/>
      <c r="R580" s="16"/>
      <c r="S580" s="16"/>
      <c r="T580" s="103"/>
      <c r="U580" s="16"/>
      <c r="V580" s="16"/>
      <c r="W580" s="16"/>
      <c r="X580" s="103"/>
    </row>
    <row r="581" spans="2:24" x14ac:dyDescent="0.25">
      <c r="B581" s="103"/>
      <c r="C581" s="103"/>
      <c r="D581" s="103"/>
      <c r="E581" s="103"/>
      <c r="F581" s="103"/>
      <c r="H581" s="103"/>
      <c r="I581" s="103"/>
      <c r="J581" s="103"/>
      <c r="K581" s="103"/>
      <c r="L581" s="103"/>
      <c r="N581" s="103"/>
      <c r="O581" s="103"/>
      <c r="Q581" s="16"/>
      <c r="R581" s="16"/>
      <c r="S581" s="16"/>
      <c r="T581" s="103"/>
      <c r="U581" s="16"/>
      <c r="V581" s="16"/>
      <c r="W581" s="16"/>
      <c r="X581" s="103"/>
    </row>
    <row r="582" spans="2:24" x14ac:dyDescent="0.25">
      <c r="B582" s="103"/>
      <c r="C582" s="103"/>
      <c r="D582" s="103"/>
      <c r="E582" s="103"/>
      <c r="F582" s="103"/>
      <c r="H582" s="103"/>
      <c r="I582" s="103"/>
      <c r="J582" s="103"/>
      <c r="K582" s="103"/>
      <c r="L582" s="103"/>
      <c r="N582" s="103"/>
      <c r="O582" s="103"/>
      <c r="Q582" s="16"/>
      <c r="R582" s="16"/>
      <c r="S582" s="16"/>
      <c r="T582" s="103"/>
      <c r="U582" s="16"/>
      <c r="V582" s="16"/>
      <c r="W582" s="16"/>
      <c r="X582" s="103"/>
    </row>
    <row r="583" spans="2:24" x14ac:dyDescent="0.25">
      <c r="B583" s="103"/>
      <c r="C583" s="103"/>
      <c r="D583" s="103"/>
      <c r="E583" s="103"/>
      <c r="F583" s="103"/>
      <c r="H583" s="103"/>
      <c r="I583" s="103"/>
      <c r="J583" s="103"/>
      <c r="K583" s="103"/>
      <c r="L583" s="103"/>
      <c r="N583" s="103"/>
      <c r="O583" s="103"/>
      <c r="Q583" s="16"/>
      <c r="R583" s="16"/>
      <c r="S583" s="16"/>
      <c r="T583" s="103"/>
      <c r="U583" s="16"/>
      <c r="V583" s="16"/>
      <c r="W583" s="16"/>
      <c r="X583" s="103"/>
    </row>
    <row r="584" spans="2:24" x14ac:dyDescent="0.25">
      <c r="B584" s="103"/>
      <c r="C584" s="103"/>
      <c r="D584" s="103"/>
      <c r="E584" s="103"/>
      <c r="F584" s="103"/>
      <c r="H584" s="103"/>
      <c r="I584" s="103"/>
      <c r="J584" s="103"/>
      <c r="K584" s="103"/>
      <c r="L584" s="103"/>
      <c r="N584" s="103"/>
      <c r="O584" s="103"/>
      <c r="Q584" s="16"/>
      <c r="R584" s="16"/>
      <c r="S584" s="16"/>
      <c r="T584" s="103"/>
      <c r="U584" s="16"/>
      <c r="V584" s="16"/>
      <c r="W584" s="16"/>
      <c r="X584" s="103"/>
    </row>
    <row r="585" spans="2:24" x14ac:dyDescent="0.25">
      <c r="B585" s="103"/>
      <c r="C585" s="103"/>
      <c r="D585" s="103"/>
      <c r="E585" s="103"/>
      <c r="F585" s="103"/>
      <c r="H585" s="103"/>
      <c r="I585" s="103"/>
      <c r="J585" s="103"/>
      <c r="K585" s="103"/>
      <c r="L585" s="103"/>
      <c r="N585" s="103"/>
      <c r="O585" s="103"/>
      <c r="Q585" s="16"/>
      <c r="R585" s="16"/>
      <c r="S585" s="16"/>
      <c r="T585" s="103"/>
      <c r="U585" s="16"/>
      <c r="V585" s="16"/>
      <c r="W585" s="16"/>
      <c r="X585" s="103"/>
    </row>
    <row r="586" spans="2:24" x14ac:dyDescent="0.25">
      <c r="B586" s="103"/>
      <c r="C586" s="103"/>
      <c r="D586" s="103"/>
      <c r="E586" s="103"/>
      <c r="F586" s="103"/>
      <c r="H586" s="103"/>
      <c r="I586" s="103"/>
      <c r="J586" s="103"/>
      <c r="K586" s="103"/>
      <c r="L586" s="103"/>
      <c r="N586" s="103"/>
      <c r="O586" s="103"/>
      <c r="Q586" s="16"/>
      <c r="R586" s="16"/>
      <c r="S586" s="16"/>
      <c r="T586" s="103"/>
      <c r="U586" s="16"/>
      <c r="V586" s="16"/>
      <c r="W586" s="16"/>
      <c r="X586" s="103"/>
    </row>
    <row r="587" spans="2:24" x14ac:dyDescent="0.25">
      <c r="B587" s="103"/>
      <c r="C587" s="103"/>
      <c r="D587" s="103"/>
      <c r="E587" s="103"/>
      <c r="F587" s="103"/>
      <c r="H587" s="103"/>
      <c r="I587" s="103"/>
      <c r="J587" s="103"/>
      <c r="K587" s="103"/>
      <c r="L587" s="103"/>
      <c r="N587" s="103"/>
      <c r="O587" s="103"/>
      <c r="Q587" s="16"/>
      <c r="R587" s="16"/>
      <c r="S587" s="16"/>
      <c r="T587" s="103"/>
      <c r="U587" s="16"/>
      <c r="V587" s="16"/>
      <c r="W587" s="16"/>
      <c r="X587" s="103"/>
    </row>
    <row r="588" spans="2:24" x14ac:dyDescent="0.25">
      <c r="B588" s="103"/>
      <c r="C588" s="103"/>
      <c r="D588" s="103"/>
      <c r="E588" s="103"/>
      <c r="F588" s="103"/>
      <c r="H588" s="103"/>
      <c r="I588" s="103"/>
      <c r="J588" s="103"/>
      <c r="K588" s="103"/>
      <c r="L588" s="103"/>
      <c r="N588" s="103"/>
      <c r="O588" s="103"/>
      <c r="Q588" s="16"/>
      <c r="R588" s="16"/>
      <c r="S588" s="16"/>
      <c r="T588" s="103"/>
      <c r="U588" s="16"/>
      <c r="V588" s="16"/>
      <c r="W588" s="16"/>
      <c r="X588" s="103"/>
    </row>
    <row r="589" spans="2:24" x14ac:dyDescent="0.25">
      <c r="B589" s="103"/>
      <c r="C589" s="103"/>
      <c r="D589" s="103"/>
      <c r="E589" s="103"/>
      <c r="F589" s="103"/>
      <c r="H589" s="103"/>
      <c r="I589" s="103"/>
      <c r="J589" s="103"/>
      <c r="K589" s="103"/>
      <c r="L589" s="103"/>
      <c r="N589" s="103"/>
      <c r="O589" s="103"/>
      <c r="Q589" s="16"/>
      <c r="R589" s="16"/>
      <c r="S589" s="16"/>
      <c r="T589" s="103"/>
      <c r="U589" s="16"/>
      <c r="V589" s="16"/>
      <c r="W589" s="16"/>
      <c r="X589" s="103"/>
    </row>
    <row r="590" spans="2:24" x14ac:dyDescent="0.25">
      <c r="B590" s="103"/>
      <c r="C590" s="103"/>
      <c r="D590" s="103"/>
      <c r="E590" s="103"/>
      <c r="F590" s="103"/>
      <c r="H590" s="103"/>
      <c r="I590" s="103"/>
      <c r="J590" s="103"/>
      <c r="K590" s="103"/>
      <c r="L590" s="103"/>
      <c r="N590" s="103"/>
      <c r="O590" s="103"/>
      <c r="Q590" s="16"/>
      <c r="R590" s="16"/>
      <c r="S590" s="16"/>
      <c r="T590" s="103"/>
      <c r="U590" s="16"/>
      <c r="V590" s="16"/>
      <c r="W590" s="16"/>
      <c r="X590" s="103"/>
    </row>
    <row r="591" spans="2:24" x14ac:dyDescent="0.25">
      <c r="B591" s="103"/>
      <c r="C591" s="103"/>
      <c r="D591" s="103"/>
      <c r="E591" s="103"/>
      <c r="F591" s="103"/>
      <c r="H591" s="103"/>
      <c r="I591" s="103"/>
      <c r="J591" s="103"/>
      <c r="K591" s="103"/>
      <c r="L591" s="103"/>
      <c r="N591" s="103"/>
      <c r="O591" s="103"/>
      <c r="Q591" s="16"/>
      <c r="R591" s="16"/>
      <c r="S591" s="16"/>
      <c r="T591" s="103"/>
      <c r="U591" s="16"/>
      <c r="V591" s="16"/>
      <c r="W591" s="16"/>
      <c r="X591" s="103"/>
    </row>
    <row r="592" spans="2:24" x14ac:dyDescent="0.25">
      <c r="B592" s="103"/>
      <c r="C592" s="103"/>
      <c r="D592" s="103"/>
      <c r="E592" s="103"/>
      <c r="F592" s="103"/>
      <c r="H592" s="103"/>
      <c r="I592" s="103"/>
      <c r="J592" s="103"/>
      <c r="K592" s="103"/>
      <c r="L592" s="103"/>
      <c r="N592" s="103"/>
      <c r="O592" s="103"/>
      <c r="Q592" s="16"/>
      <c r="R592" s="16"/>
      <c r="S592" s="16"/>
      <c r="T592" s="103"/>
      <c r="U592" s="16"/>
      <c r="V592" s="16"/>
      <c r="W592" s="16"/>
      <c r="X592" s="103"/>
    </row>
    <row r="593" spans="2:24" x14ac:dyDescent="0.25">
      <c r="B593" s="103"/>
      <c r="C593" s="103"/>
      <c r="D593" s="103"/>
      <c r="E593" s="103"/>
      <c r="F593" s="103"/>
      <c r="H593" s="103"/>
      <c r="I593" s="103"/>
      <c r="J593" s="103"/>
      <c r="K593" s="103"/>
      <c r="L593" s="103"/>
      <c r="N593" s="103"/>
      <c r="O593" s="103"/>
      <c r="Q593" s="16"/>
      <c r="R593" s="16"/>
      <c r="S593" s="16"/>
      <c r="T593" s="103"/>
      <c r="U593" s="16"/>
      <c r="V593" s="16"/>
      <c r="W593" s="16"/>
      <c r="X593" s="103"/>
    </row>
    <row r="594" spans="2:24" x14ac:dyDescent="0.25">
      <c r="B594" s="103"/>
      <c r="C594" s="103"/>
      <c r="D594" s="103"/>
      <c r="E594" s="103"/>
      <c r="F594" s="103"/>
      <c r="H594" s="103"/>
      <c r="I594" s="103"/>
      <c r="J594" s="103"/>
      <c r="K594" s="103"/>
      <c r="L594" s="103"/>
      <c r="N594" s="103"/>
      <c r="O594" s="103"/>
      <c r="Q594" s="16"/>
      <c r="R594" s="16"/>
      <c r="S594" s="16"/>
      <c r="T594" s="103"/>
      <c r="U594" s="16"/>
      <c r="V594" s="16"/>
      <c r="W594" s="16"/>
      <c r="X594" s="103"/>
    </row>
    <row r="595" spans="2:24" x14ac:dyDescent="0.25">
      <c r="B595" s="103"/>
      <c r="C595" s="103"/>
      <c r="D595" s="103"/>
      <c r="E595" s="103"/>
      <c r="F595" s="103"/>
      <c r="H595" s="103"/>
      <c r="I595" s="103"/>
      <c r="J595" s="103"/>
      <c r="K595" s="103"/>
      <c r="L595" s="103"/>
      <c r="N595" s="103"/>
      <c r="O595" s="103"/>
      <c r="Q595" s="16"/>
      <c r="R595" s="16"/>
      <c r="S595" s="16"/>
      <c r="T595" s="103"/>
      <c r="U595" s="16"/>
      <c r="V595" s="16"/>
      <c r="W595" s="16"/>
      <c r="X595" s="103"/>
    </row>
    <row r="596" spans="2:24" x14ac:dyDescent="0.25">
      <c r="B596" s="103"/>
      <c r="C596" s="103"/>
      <c r="D596" s="103"/>
      <c r="E596" s="103"/>
      <c r="F596" s="103"/>
      <c r="H596" s="103"/>
      <c r="I596" s="103"/>
      <c r="J596" s="103"/>
      <c r="K596" s="103"/>
      <c r="L596" s="103"/>
      <c r="N596" s="103"/>
      <c r="O596" s="103"/>
      <c r="Q596" s="16"/>
      <c r="R596" s="16"/>
      <c r="S596" s="16"/>
      <c r="T596" s="103"/>
      <c r="U596" s="16"/>
      <c r="V596" s="16"/>
      <c r="W596" s="16"/>
      <c r="X596" s="103"/>
    </row>
    <row r="597" spans="2:24" x14ac:dyDescent="0.25">
      <c r="B597" s="103"/>
      <c r="C597" s="103"/>
      <c r="D597" s="103"/>
      <c r="E597" s="103"/>
      <c r="F597" s="103"/>
      <c r="H597" s="103"/>
      <c r="I597" s="103"/>
      <c r="J597" s="103"/>
      <c r="K597" s="103"/>
      <c r="L597" s="103"/>
      <c r="N597" s="103"/>
      <c r="O597" s="103"/>
      <c r="Q597" s="16"/>
      <c r="R597" s="16"/>
      <c r="S597" s="16"/>
      <c r="T597" s="103"/>
      <c r="U597" s="16"/>
      <c r="V597" s="16"/>
      <c r="W597" s="16"/>
      <c r="X597" s="103"/>
    </row>
    <row r="598" spans="2:24" x14ac:dyDescent="0.25">
      <c r="B598" s="103"/>
      <c r="C598" s="103"/>
      <c r="D598" s="103"/>
      <c r="E598" s="103"/>
      <c r="F598" s="103"/>
      <c r="H598" s="103"/>
      <c r="I598" s="103"/>
      <c r="J598" s="103"/>
      <c r="K598" s="103"/>
      <c r="L598" s="103"/>
      <c r="N598" s="103"/>
      <c r="O598" s="103"/>
      <c r="Q598" s="16"/>
      <c r="R598" s="16"/>
      <c r="S598" s="16"/>
      <c r="T598" s="103"/>
      <c r="U598" s="16"/>
      <c r="V598" s="16"/>
      <c r="W598" s="16"/>
      <c r="X598" s="103"/>
    </row>
    <row r="599" spans="2:24" x14ac:dyDescent="0.25">
      <c r="B599" s="103"/>
      <c r="C599" s="103"/>
      <c r="D599" s="103"/>
      <c r="E599" s="103"/>
      <c r="F599" s="103"/>
      <c r="H599" s="103"/>
      <c r="I599" s="103"/>
      <c r="J599" s="103"/>
      <c r="K599" s="103"/>
      <c r="L599" s="103"/>
      <c r="N599" s="103"/>
      <c r="O599" s="103"/>
      <c r="Q599" s="16"/>
      <c r="R599" s="16"/>
      <c r="S599" s="16"/>
      <c r="T599" s="103"/>
      <c r="U599" s="16"/>
      <c r="V599" s="16"/>
      <c r="W599" s="16"/>
      <c r="X599" s="103"/>
    </row>
    <row r="600" spans="2:24" x14ac:dyDescent="0.25">
      <c r="B600" s="103"/>
      <c r="C600" s="103"/>
      <c r="D600" s="103"/>
      <c r="E600" s="103"/>
      <c r="F600" s="103"/>
      <c r="H600" s="103"/>
      <c r="I600" s="103"/>
      <c r="J600" s="103"/>
      <c r="K600" s="103"/>
      <c r="L600" s="103"/>
      <c r="N600" s="103"/>
      <c r="O600" s="103"/>
      <c r="Q600" s="16"/>
      <c r="R600" s="16"/>
      <c r="S600" s="16"/>
      <c r="T600" s="103"/>
      <c r="U600" s="16"/>
      <c r="V600" s="16"/>
      <c r="W600" s="16"/>
      <c r="X600" s="103"/>
    </row>
    <row r="601" spans="2:24" x14ac:dyDescent="0.25">
      <c r="B601" s="103"/>
      <c r="C601" s="103"/>
      <c r="D601" s="103"/>
      <c r="E601" s="103"/>
      <c r="F601" s="103"/>
      <c r="H601" s="103"/>
      <c r="I601" s="103"/>
      <c r="J601" s="103"/>
      <c r="K601" s="103"/>
      <c r="L601" s="103"/>
      <c r="N601" s="103"/>
      <c r="O601" s="103"/>
      <c r="Q601" s="16"/>
      <c r="R601" s="16"/>
      <c r="S601" s="16"/>
      <c r="T601" s="103"/>
      <c r="U601" s="16"/>
      <c r="V601" s="16"/>
      <c r="W601" s="16"/>
      <c r="X601" s="103"/>
    </row>
    <row r="602" spans="2:24" x14ac:dyDescent="0.25">
      <c r="B602" s="103"/>
      <c r="C602" s="103"/>
      <c r="D602" s="103"/>
      <c r="E602" s="103"/>
      <c r="F602" s="103"/>
      <c r="H602" s="103"/>
      <c r="I602" s="103"/>
      <c r="J602" s="103"/>
      <c r="K602" s="103"/>
      <c r="L602" s="103"/>
      <c r="N602" s="103"/>
      <c r="O602" s="103"/>
      <c r="Q602" s="16"/>
      <c r="R602" s="16"/>
      <c r="S602" s="16"/>
      <c r="T602" s="103"/>
      <c r="U602" s="16"/>
      <c r="V602" s="16"/>
      <c r="W602" s="16"/>
      <c r="X602" s="103"/>
    </row>
    <row r="603" spans="2:24" x14ac:dyDescent="0.25">
      <c r="B603" s="103"/>
      <c r="C603" s="103"/>
      <c r="D603" s="103"/>
      <c r="E603" s="103"/>
      <c r="F603" s="103"/>
      <c r="H603" s="103"/>
      <c r="I603" s="103"/>
      <c r="J603" s="103"/>
      <c r="K603" s="103"/>
      <c r="L603" s="103"/>
      <c r="N603" s="103"/>
      <c r="O603" s="103"/>
      <c r="Q603" s="16"/>
      <c r="R603" s="16"/>
      <c r="S603" s="16"/>
      <c r="T603" s="103"/>
      <c r="U603" s="16"/>
      <c r="V603" s="16"/>
      <c r="W603" s="16"/>
      <c r="X603" s="103"/>
    </row>
    <row r="604" spans="2:24" x14ac:dyDescent="0.25">
      <c r="B604" s="103"/>
      <c r="C604" s="103"/>
      <c r="D604" s="103"/>
      <c r="E604" s="103"/>
      <c r="F604" s="103"/>
      <c r="H604" s="103"/>
      <c r="I604" s="103"/>
      <c r="J604" s="103"/>
      <c r="K604" s="103"/>
      <c r="L604" s="103"/>
      <c r="N604" s="103"/>
      <c r="O604" s="103"/>
      <c r="Q604" s="16"/>
      <c r="R604" s="16"/>
      <c r="S604" s="16"/>
      <c r="T604" s="103"/>
      <c r="U604" s="16"/>
      <c r="V604" s="16"/>
      <c r="W604" s="16"/>
      <c r="X604" s="103"/>
    </row>
    <row r="605" spans="2:24" x14ac:dyDescent="0.25">
      <c r="B605" s="103"/>
      <c r="C605" s="103"/>
      <c r="D605" s="103"/>
      <c r="E605" s="103"/>
      <c r="F605" s="103"/>
      <c r="H605" s="103"/>
      <c r="I605" s="103"/>
      <c r="J605" s="103"/>
      <c r="K605" s="103"/>
      <c r="L605" s="103"/>
      <c r="N605" s="103"/>
      <c r="O605" s="103"/>
      <c r="Q605" s="16"/>
      <c r="R605" s="16"/>
      <c r="S605" s="16"/>
      <c r="T605" s="103"/>
      <c r="U605" s="16"/>
      <c r="V605" s="16"/>
      <c r="W605" s="16"/>
      <c r="X605" s="103"/>
    </row>
    <row r="606" spans="2:24" x14ac:dyDescent="0.25">
      <c r="B606" s="103"/>
      <c r="C606" s="103"/>
      <c r="D606" s="103"/>
      <c r="E606" s="103"/>
      <c r="F606" s="103"/>
      <c r="H606" s="103"/>
      <c r="I606" s="103"/>
      <c r="J606" s="103"/>
      <c r="K606" s="103"/>
      <c r="L606" s="103"/>
      <c r="N606" s="103"/>
      <c r="O606" s="103"/>
      <c r="Q606" s="16"/>
      <c r="R606" s="16"/>
      <c r="S606" s="16"/>
      <c r="T606" s="103"/>
      <c r="U606" s="16"/>
      <c r="V606" s="16"/>
      <c r="W606" s="16"/>
      <c r="X606" s="103"/>
    </row>
    <row r="607" spans="2:24" x14ac:dyDescent="0.25">
      <c r="B607" s="103"/>
      <c r="C607" s="103"/>
      <c r="D607" s="103"/>
      <c r="E607" s="103"/>
      <c r="F607" s="103"/>
      <c r="H607" s="103"/>
      <c r="I607" s="103"/>
      <c r="J607" s="103"/>
      <c r="K607" s="103"/>
      <c r="L607" s="103"/>
      <c r="N607" s="103"/>
      <c r="O607" s="103"/>
      <c r="Q607" s="16"/>
      <c r="R607" s="16"/>
      <c r="S607" s="16"/>
      <c r="T607" s="103"/>
      <c r="U607" s="16"/>
      <c r="V607" s="16"/>
      <c r="W607" s="16"/>
      <c r="X607" s="103"/>
    </row>
    <row r="608" spans="2:24" x14ac:dyDescent="0.25">
      <c r="B608" s="103"/>
      <c r="C608" s="103"/>
      <c r="D608" s="103"/>
      <c r="E608" s="103"/>
      <c r="F608" s="103"/>
      <c r="H608" s="103"/>
      <c r="I608" s="103"/>
      <c r="J608" s="103"/>
      <c r="K608" s="103"/>
      <c r="L608" s="103"/>
      <c r="N608" s="103"/>
      <c r="O608" s="103"/>
      <c r="Q608" s="16"/>
      <c r="R608" s="16"/>
      <c r="S608" s="16"/>
      <c r="T608" s="103"/>
      <c r="U608" s="16"/>
      <c r="V608" s="16"/>
      <c r="W608" s="16"/>
      <c r="X608" s="103"/>
    </row>
    <row r="609" spans="2:24" x14ac:dyDescent="0.25">
      <c r="B609" s="103"/>
      <c r="C609" s="103"/>
      <c r="D609" s="103"/>
      <c r="E609" s="103"/>
      <c r="F609" s="103"/>
      <c r="H609" s="103"/>
      <c r="I609" s="103"/>
      <c r="J609" s="103"/>
      <c r="K609" s="103"/>
      <c r="L609" s="103"/>
      <c r="N609" s="103"/>
      <c r="O609" s="103"/>
      <c r="Q609" s="16"/>
      <c r="R609" s="16"/>
      <c r="S609" s="16"/>
      <c r="T609" s="103"/>
      <c r="U609" s="16"/>
      <c r="V609" s="16"/>
      <c r="W609" s="16"/>
      <c r="X609" s="103"/>
    </row>
    <row r="610" spans="2:24" x14ac:dyDescent="0.25">
      <c r="B610" s="103"/>
      <c r="C610" s="103"/>
      <c r="D610" s="103"/>
      <c r="E610" s="103"/>
      <c r="F610" s="103"/>
      <c r="H610" s="103"/>
      <c r="I610" s="103"/>
      <c r="J610" s="103"/>
      <c r="K610" s="103"/>
      <c r="L610" s="103"/>
      <c r="N610" s="103"/>
      <c r="O610" s="103"/>
      <c r="Q610" s="16"/>
      <c r="R610" s="16"/>
      <c r="S610" s="16"/>
      <c r="T610" s="103"/>
      <c r="U610" s="16"/>
      <c r="V610" s="16"/>
      <c r="W610" s="16"/>
      <c r="X610" s="103"/>
    </row>
    <row r="611" spans="2:24" x14ac:dyDescent="0.25">
      <c r="B611" s="103"/>
      <c r="C611" s="103"/>
      <c r="D611" s="103"/>
      <c r="E611" s="103"/>
      <c r="F611" s="103"/>
      <c r="H611" s="103"/>
      <c r="I611" s="103"/>
      <c r="J611" s="103"/>
      <c r="K611" s="103"/>
      <c r="L611" s="103"/>
      <c r="N611" s="103"/>
      <c r="O611" s="103"/>
      <c r="Q611" s="16"/>
      <c r="R611" s="16"/>
      <c r="S611" s="16"/>
      <c r="T611" s="103"/>
      <c r="U611" s="16"/>
      <c r="V611" s="16"/>
      <c r="W611" s="16"/>
      <c r="X611" s="103"/>
    </row>
    <row r="612" spans="2:24" x14ac:dyDescent="0.25">
      <c r="B612" s="103"/>
      <c r="C612" s="103"/>
      <c r="D612" s="103"/>
      <c r="E612" s="103"/>
      <c r="F612" s="103"/>
      <c r="H612" s="103"/>
      <c r="I612" s="103"/>
      <c r="J612" s="103"/>
      <c r="K612" s="103"/>
      <c r="L612" s="103"/>
      <c r="N612" s="103"/>
      <c r="O612" s="103"/>
      <c r="Q612" s="16"/>
      <c r="R612" s="16"/>
      <c r="S612" s="16"/>
      <c r="T612" s="103"/>
      <c r="U612" s="16"/>
      <c r="V612" s="16"/>
      <c r="W612" s="16"/>
      <c r="X612" s="103"/>
    </row>
    <row r="613" spans="2:24" x14ac:dyDescent="0.25">
      <c r="B613" s="103"/>
      <c r="C613" s="103"/>
      <c r="D613" s="103"/>
      <c r="E613" s="103"/>
      <c r="F613" s="103"/>
      <c r="H613" s="103"/>
      <c r="I613" s="103"/>
      <c r="J613" s="103"/>
      <c r="K613" s="103"/>
      <c r="L613" s="103"/>
      <c r="N613" s="103"/>
      <c r="O613" s="103"/>
      <c r="Q613" s="16"/>
      <c r="R613" s="16"/>
      <c r="S613" s="16"/>
      <c r="T613" s="103"/>
      <c r="U613" s="16"/>
      <c r="V613" s="16"/>
      <c r="W613" s="16"/>
      <c r="X613" s="103"/>
    </row>
    <row r="614" spans="2:24" x14ac:dyDescent="0.25">
      <c r="B614" s="103"/>
      <c r="C614" s="103"/>
      <c r="D614" s="103"/>
      <c r="E614" s="103"/>
      <c r="F614" s="103"/>
      <c r="H614" s="103"/>
      <c r="I614" s="103"/>
      <c r="J614" s="103"/>
      <c r="K614" s="103"/>
      <c r="L614" s="103"/>
      <c r="N614" s="103"/>
      <c r="O614" s="103"/>
      <c r="Q614" s="16"/>
      <c r="R614" s="16"/>
      <c r="S614" s="16"/>
      <c r="T614" s="103"/>
      <c r="U614" s="16"/>
      <c r="V614" s="16"/>
      <c r="W614" s="16"/>
      <c r="X614" s="103"/>
    </row>
    <row r="615" spans="2:24" x14ac:dyDescent="0.25">
      <c r="B615" s="103"/>
      <c r="C615" s="103"/>
      <c r="D615" s="103"/>
      <c r="E615" s="103"/>
      <c r="F615" s="103"/>
      <c r="H615" s="103"/>
      <c r="I615" s="103"/>
      <c r="J615" s="103"/>
      <c r="K615" s="103"/>
      <c r="L615" s="103"/>
      <c r="N615" s="103"/>
      <c r="O615" s="103"/>
      <c r="Q615" s="16"/>
      <c r="R615" s="16"/>
      <c r="S615" s="16"/>
      <c r="T615" s="103"/>
      <c r="U615" s="16"/>
      <c r="V615" s="16"/>
      <c r="W615" s="16"/>
      <c r="X615" s="103"/>
    </row>
    <row r="616" spans="2:24" x14ac:dyDescent="0.25">
      <c r="B616" s="103"/>
      <c r="C616" s="103"/>
      <c r="D616" s="103"/>
      <c r="E616" s="103"/>
      <c r="F616" s="103"/>
      <c r="H616" s="103"/>
      <c r="I616" s="103"/>
      <c r="J616" s="103"/>
      <c r="K616" s="103"/>
      <c r="L616" s="103"/>
      <c r="N616" s="103"/>
      <c r="O616" s="103"/>
      <c r="Q616" s="16"/>
      <c r="R616" s="16"/>
      <c r="S616" s="16"/>
      <c r="T616" s="103"/>
      <c r="U616" s="16"/>
      <c r="V616" s="16"/>
      <c r="W616" s="16"/>
      <c r="X616" s="103"/>
    </row>
    <row r="617" spans="2:24" x14ac:dyDescent="0.25">
      <c r="B617" s="103"/>
      <c r="C617" s="103"/>
      <c r="D617" s="103"/>
      <c r="E617" s="103"/>
      <c r="F617" s="103"/>
      <c r="H617" s="103"/>
      <c r="I617" s="103"/>
      <c r="J617" s="103"/>
      <c r="K617" s="103"/>
      <c r="L617" s="103"/>
      <c r="N617" s="103"/>
      <c r="O617" s="103"/>
      <c r="Q617" s="16"/>
      <c r="R617" s="16"/>
      <c r="S617" s="16"/>
      <c r="T617" s="103"/>
      <c r="U617" s="16"/>
      <c r="V617" s="16"/>
      <c r="W617" s="16"/>
      <c r="X617" s="103"/>
    </row>
    <row r="618" spans="2:24" x14ac:dyDescent="0.25">
      <c r="B618" s="103"/>
      <c r="C618" s="103"/>
      <c r="D618" s="103"/>
      <c r="E618" s="103"/>
      <c r="F618" s="103"/>
      <c r="H618" s="103"/>
      <c r="I618" s="103"/>
      <c r="J618" s="103"/>
      <c r="K618" s="103"/>
      <c r="L618" s="103"/>
      <c r="N618" s="103"/>
      <c r="O618" s="103"/>
      <c r="Q618" s="16"/>
      <c r="R618" s="16"/>
      <c r="S618" s="16"/>
      <c r="T618" s="103"/>
      <c r="U618" s="16"/>
      <c r="V618" s="16"/>
      <c r="W618" s="16"/>
      <c r="X618" s="103"/>
    </row>
    <row r="619" spans="2:24" x14ac:dyDescent="0.25">
      <c r="B619" s="103"/>
      <c r="C619" s="103"/>
      <c r="D619" s="103"/>
      <c r="E619" s="103"/>
      <c r="F619" s="103"/>
      <c r="H619" s="103"/>
      <c r="I619" s="103"/>
      <c r="J619" s="103"/>
      <c r="K619" s="103"/>
      <c r="L619" s="103"/>
      <c r="N619" s="103"/>
      <c r="O619" s="103"/>
      <c r="Q619" s="16"/>
      <c r="R619" s="16"/>
      <c r="S619" s="16"/>
      <c r="T619" s="103"/>
      <c r="U619" s="16"/>
      <c r="V619" s="16"/>
      <c r="W619" s="16"/>
      <c r="X619" s="103"/>
    </row>
    <row r="620" spans="2:24" x14ac:dyDescent="0.25">
      <c r="B620" s="103"/>
      <c r="C620" s="103"/>
      <c r="D620" s="103"/>
      <c r="E620" s="103"/>
      <c r="F620" s="103"/>
      <c r="H620" s="103"/>
      <c r="I620" s="103"/>
      <c r="J620" s="103"/>
      <c r="K620" s="103"/>
      <c r="L620" s="103"/>
      <c r="N620" s="103"/>
      <c r="O620" s="103"/>
      <c r="Q620" s="16"/>
      <c r="R620" s="16"/>
      <c r="S620" s="16"/>
      <c r="T620" s="103"/>
      <c r="U620" s="16"/>
      <c r="V620" s="16"/>
      <c r="W620" s="16"/>
      <c r="X620" s="103"/>
    </row>
    <row r="621" spans="2:24" x14ac:dyDescent="0.25">
      <c r="B621" s="103"/>
      <c r="C621" s="103"/>
      <c r="D621" s="103"/>
      <c r="E621" s="103"/>
      <c r="F621" s="103"/>
      <c r="H621" s="103"/>
      <c r="I621" s="103"/>
      <c r="J621" s="103"/>
      <c r="K621" s="103"/>
      <c r="L621" s="103"/>
      <c r="N621" s="103"/>
      <c r="O621" s="103"/>
      <c r="Q621" s="16"/>
      <c r="R621" s="16"/>
      <c r="S621" s="16"/>
      <c r="T621" s="103"/>
      <c r="U621" s="16"/>
      <c r="V621" s="16"/>
      <c r="W621" s="16"/>
      <c r="X621" s="103"/>
    </row>
    <row r="622" spans="2:24" x14ac:dyDescent="0.25">
      <c r="B622" s="103"/>
      <c r="C622" s="103"/>
      <c r="D622" s="103"/>
      <c r="E622" s="103"/>
      <c r="F622" s="103"/>
      <c r="H622" s="103"/>
      <c r="I622" s="103"/>
      <c r="J622" s="103"/>
      <c r="K622" s="103"/>
      <c r="L622" s="103"/>
      <c r="N622" s="103"/>
      <c r="O622" s="103"/>
      <c r="Q622" s="16"/>
      <c r="R622" s="16"/>
      <c r="S622" s="16"/>
      <c r="T622" s="103"/>
      <c r="U622" s="16"/>
      <c r="V622" s="16"/>
      <c r="W622" s="16"/>
      <c r="X622" s="103"/>
    </row>
    <row r="623" spans="2:24" x14ac:dyDescent="0.25">
      <c r="B623" s="103"/>
      <c r="C623" s="103"/>
      <c r="D623" s="103"/>
      <c r="E623" s="103"/>
      <c r="F623" s="103"/>
      <c r="H623" s="103"/>
      <c r="I623" s="103"/>
      <c r="J623" s="103"/>
      <c r="K623" s="103"/>
      <c r="L623" s="103"/>
      <c r="N623" s="103"/>
      <c r="O623" s="103"/>
      <c r="Q623" s="16"/>
      <c r="R623" s="16"/>
      <c r="S623" s="16"/>
      <c r="T623" s="103"/>
      <c r="U623" s="16"/>
      <c r="V623" s="16"/>
      <c r="W623" s="16"/>
      <c r="X623" s="103"/>
    </row>
    <row r="624" spans="2:24" x14ac:dyDescent="0.25">
      <c r="B624" s="103"/>
      <c r="C624" s="103"/>
      <c r="D624" s="103"/>
      <c r="E624" s="103"/>
      <c r="F624" s="103"/>
      <c r="H624" s="103"/>
      <c r="I624" s="103"/>
      <c r="J624" s="103"/>
      <c r="K624" s="103"/>
      <c r="L624" s="103"/>
      <c r="N624" s="103"/>
      <c r="O624" s="103"/>
      <c r="Q624" s="16"/>
      <c r="R624" s="16"/>
      <c r="S624" s="16"/>
      <c r="T624" s="103"/>
      <c r="U624" s="16"/>
      <c r="V624" s="16"/>
      <c r="W624" s="16"/>
      <c r="X624" s="103"/>
    </row>
    <row r="625" spans="2:24" x14ac:dyDescent="0.25">
      <c r="B625" s="103"/>
      <c r="C625" s="103"/>
      <c r="D625" s="103"/>
      <c r="E625" s="103"/>
      <c r="F625" s="103"/>
      <c r="H625" s="103"/>
      <c r="I625" s="103"/>
      <c r="J625" s="103"/>
      <c r="K625" s="103"/>
      <c r="L625" s="103"/>
      <c r="N625" s="103"/>
      <c r="O625" s="103"/>
      <c r="Q625" s="16"/>
      <c r="R625" s="16"/>
      <c r="S625" s="16"/>
      <c r="T625" s="103"/>
      <c r="U625" s="16"/>
      <c r="V625" s="16"/>
      <c r="W625" s="16"/>
      <c r="X625" s="103"/>
    </row>
    <row r="626" spans="2:24" x14ac:dyDescent="0.25">
      <c r="B626" s="103"/>
      <c r="C626" s="103"/>
      <c r="D626" s="103"/>
      <c r="E626" s="103"/>
      <c r="F626" s="103"/>
      <c r="H626" s="103"/>
      <c r="I626" s="103"/>
      <c r="J626" s="103"/>
      <c r="K626" s="103"/>
      <c r="L626" s="103"/>
      <c r="N626" s="103"/>
      <c r="O626" s="103"/>
      <c r="Q626" s="16"/>
      <c r="R626" s="16"/>
      <c r="S626" s="16"/>
      <c r="T626" s="103"/>
      <c r="U626" s="16"/>
      <c r="V626" s="16"/>
      <c r="W626" s="16"/>
      <c r="X626" s="103"/>
    </row>
    <row r="627" spans="2:24" x14ac:dyDescent="0.25">
      <c r="B627" s="103"/>
      <c r="C627" s="103"/>
      <c r="D627" s="103"/>
      <c r="E627" s="103"/>
      <c r="F627" s="103"/>
      <c r="H627" s="103"/>
      <c r="I627" s="103"/>
      <c r="J627" s="103"/>
      <c r="K627" s="103"/>
      <c r="L627" s="103"/>
      <c r="N627" s="103"/>
      <c r="O627" s="103"/>
      <c r="Q627" s="16"/>
      <c r="R627" s="16"/>
      <c r="S627" s="16"/>
      <c r="T627" s="103"/>
      <c r="U627" s="16"/>
      <c r="V627" s="16"/>
      <c r="W627" s="16"/>
      <c r="X627" s="103"/>
    </row>
    <row r="628" spans="2:24" x14ac:dyDescent="0.25">
      <c r="B628" s="103"/>
      <c r="C628" s="103"/>
      <c r="D628" s="103"/>
      <c r="E628" s="103"/>
      <c r="F628" s="103"/>
      <c r="H628" s="103"/>
      <c r="I628" s="103"/>
      <c r="J628" s="103"/>
      <c r="K628" s="103"/>
      <c r="L628" s="103"/>
      <c r="N628" s="103"/>
      <c r="O628" s="103"/>
      <c r="Q628" s="16"/>
      <c r="R628" s="16"/>
      <c r="S628" s="16"/>
      <c r="T628" s="103"/>
      <c r="U628" s="16"/>
      <c r="V628" s="16"/>
      <c r="W628" s="16"/>
      <c r="X628" s="103"/>
    </row>
    <row r="629" spans="2:24" x14ac:dyDescent="0.25">
      <c r="B629" s="103"/>
      <c r="C629" s="103"/>
      <c r="D629" s="103"/>
      <c r="E629" s="103"/>
      <c r="F629" s="103"/>
      <c r="H629" s="103"/>
      <c r="I629" s="103"/>
      <c r="J629" s="103"/>
      <c r="K629" s="103"/>
      <c r="L629" s="103"/>
      <c r="N629" s="103"/>
      <c r="O629" s="103"/>
      <c r="Q629" s="16"/>
      <c r="R629" s="16"/>
      <c r="S629" s="16"/>
      <c r="T629" s="103"/>
      <c r="U629" s="16"/>
      <c r="V629" s="16"/>
      <c r="W629" s="16"/>
      <c r="X629" s="103"/>
    </row>
    <row r="630" spans="2:24" x14ac:dyDescent="0.25">
      <c r="B630" s="103"/>
      <c r="C630" s="103"/>
      <c r="D630" s="103"/>
      <c r="E630" s="103"/>
      <c r="F630" s="103"/>
      <c r="H630" s="103"/>
      <c r="I630" s="103"/>
      <c r="J630" s="103"/>
      <c r="K630" s="103"/>
      <c r="L630" s="103"/>
      <c r="N630" s="103"/>
      <c r="O630" s="103"/>
      <c r="Q630" s="16"/>
      <c r="R630" s="16"/>
      <c r="S630" s="16"/>
      <c r="T630" s="103"/>
      <c r="U630" s="16"/>
      <c r="V630" s="16"/>
      <c r="W630" s="16"/>
      <c r="X630" s="103"/>
    </row>
    <row r="631" spans="2:24" x14ac:dyDescent="0.25">
      <c r="B631" s="103"/>
      <c r="C631" s="103"/>
      <c r="D631" s="103"/>
      <c r="E631" s="103"/>
      <c r="F631" s="103"/>
      <c r="H631" s="103"/>
      <c r="I631" s="103"/>
      <c r="J631" s="103"/>
      <c r="K631" s="103"/>
      <c r="L631" s="103"/>
      <c r="N631" s="103"/>
      <c r="O631" s="103"/>
      <c r="Q631" s="16"/>
      <c r="R631" s="16"/>
      <c r="S631" s="16"/>
      <c r="T631" s="103"/>
      <c r="U631" s="16"/>
      <c r="V631" s="16"/>
      <c r="W631" s="16"/>
      <c r="X631" s="103"/>
    </row>
    <row r="632" spans="2:24" x14ac:dyDescent="0.25">
      <c r="B632" s="103"/>
      <c r="C632" s="103"/>
      <c r="D632" s="103"/>
      <c r="E632" s="103"/>
      <c r="F632" s="103"/>
      <c r="H632" s="103"/>
      <c r="I632" s="103"/>
      <c r="J632" s="103"/>
      <c r="K632" s="103"/>
      <c r="L632" s="103"/>
      <c r="N632" s="103"/>
      <c r="O632" s="103"/>
      <c r="Q632" s="16"/>
      <c r="R632" s="16"/>
      <c r="S632" s="16"/>
      <c r="T632" s="103"/>
      <c r="U632" s="16"/>
      <c r="V632" s="16"/>
      <c r="W632" s="16"/>
      <c r="X632" s="103"/>
    </row>
    <row r="633" spans="2:24" x14ac:dyDescent="0.25">
      <c r="B633" s="103"/>
      <c r="C633" s="103"/>
      <c r="D633" s="103"/>
      <c r="E633" s="103"/>
      <c r="F633" s="103"/>
      <c r="H633" s="103"/>
      <c r="I633" s="103"/>
      <c r="J633" s="103"/>
      <c r="K633" s="103"/>
      <c r="L633" s="103"/>
      <c r="N633" s="103"/>
      <c r="O633" s="103"/>
      <c r="Q633" s="16"/>
      <c r="R633" s="16"/>
      <c r="S633" s="16"/>
      <c r="T633" s="103"/>
      <c r="U633" s="16"/>
      <c r="V633" s="16"/>
      <c r="W633" s="16"/>
      <c r="X633" s="103"/>
    </row>
    <row r="634" spans="2:24" x14ac:dyDescent="0.25">
      <c r="B634" s="103"/>
      <c r="C634" s="103"/>
      <c r="D634" s="103"/>
      <c r="E634" s="103"/>
      <c r="F634" s="103"/>
      <c r="H634" s="103"/>
      <c r="I634" s="103"/>
      <c r="J634" s="103"/>
      <c r="K634" s="103"/>
      <c r="L634" s="103"/>
      <c r="N634" s="103"/>
      <c r="O634" s="103"/>
      <c r="Q634" s="16"/>
      <c r="R634" s="16"/>
      <c r="S634" s="16"/>
      <c r="T634" s="103"/>
      <c r="U634" s="16"/>
      <c r="V634" s="16"/>
      <c r="W634" s="16"/>
      <c r="X634" s="103"/>
    </row>
    <row r="635" spans="2:24" x14ac:dyDescent="0.25">
      <c r="B635" s="103"/>
      <c r="C635" s="103"/>
      <c r="D635" s="103"/>
      <c r="E635" s="103"/>
      <c r="F635" s="103"/>
      <c r="H635" s="103"/>
      <c r="I635" s="103"/>
      <c r="J635" s="103"/>
      <c r="K635" s="103"/>
      <c r="L635" s="103"/>
      <c r="N635" s="103"/>
      <c r="O635" s="103"/>
      <c r="Q635" s="16"/>
      <c r="R635" s="16"/>
      <c r="S635" s="16"/>
      <c r="T635" s="103"/>
      <c r="U635" s="16"/>
      <c r="V635" s="16"/>
      <c r="W635" s="16"/>
      <c r="X635" s="103"/>
    </row>
    <row r="636" spans="2:24" x14ac:dyDescent="0.25">
      <c r="B636" s="103"/>
      <c r="C636" s="103"/>
      <c r="D636" s="103"/>
      <c r="E636" s="103"/>
      <c r="F636" s="103"/>
      <c r="H636" s="103"/>
      <c r="I636" s="103"/>
      <c r="J636" s="103"/>
      <c r="K636" s="103"/>
      <c r="L636" s="103"/>
      <c r="N636" s="103"/>
      <c r="O636" s="103"/>
      <c r="Q636" s="16"/>
      <c r="R636" s="16"/>
      <c r="S636" s="16"/>
      <c r="T636" s="103"/>
      <c r="U636" s="16"/>
      <c r="V636" s="16"/>
      <c r="W636" s="16"/>
      <c r="X636" s="103"/>
    </row>
    <row r="637" spans="2:24" x14ac:dyDescent="0.25">
      <c r="B637" s="103"/>
      <c r="C637" s="103"/>
      <c r="D637" s="103"/>
      <c r="E637" s="103"/>
      <c r="F637" s="103"/>
      <c r="H637" s="103"/>
      <c r="I637" s="103"/>
      <c r="J637" s="103"/>
      <c r="K637" s="103"/>
      <c r="L637" s="103"/>
      <c r="N637" s="103"/>
      <c r="O637" s="103"/>
      <c r="Q637" s="16"/>
      <c r="R637" s="16"/>
      <c r="S637" s="16"/>
      <c r="T637" s="103"/>
      <c r="U637" s="16"/>
      <c r="V637" s="16"/>
      <c r="W637" s="16"/>
      <c r="X637" s="103"/>
    </row>
    <row r="638" spans="2:24" x14ac:dyDescent="0.25">
      <c r="B638" s="103"/>
      <c r="C638" s="103"/>
      <c r="D638" s="103"/>
      <c r="E638" s="103"/>
      <c r="F638" s="103"/>
      <c r="H638" s="103"/>
      <c r="I638" s="103"/>
      <c r="J638" s="103"/>
      <c r="K638" s="103"/>
      <c r="L638" s="103"/>
      <c r="N638" s="103"/>
      <c r="O638" s="103"/>
      <c r="Q638" s="16"/>
      <c r="R638" s="16"/>
      <c r="S638" s="16"/>
      <c r="T638" s="103"/>
      <c r="U638" s="16"/>
      <c r="V638" s="16"/>
      <c r="W638" s="16"/>
      <c r="X638" s="103"/>
    </row>
    <row r="639" spans="2:24" x14ac:dyDescent="0.25">
      <c r="B639" s="103"/>
      <c r="C639" s="103"/>
      <c r="D639" s="103"/>
      <c r="E639" s="103"/>
      <c r="F639" s="103"/>
      <c r="H639" s="103"/>
      <c r="I639" s="103"/>
      <c r="J639" s="103"/>
      <c r="K639" s="103"/>
      <c r="L639" s="103"/>
      <c r="N639" s="103"/>
      <c r="O639" s="103"/>
      <c r="Q639" s="16"/>
      <c r="R639" s="16"/>
      <c r="S639" s="16"/>
      <c r="T639" s="103"/>
      <c r="U639" s="16"/>
      <c r="V639" s="16"/>
      <c r="W639" s="16"/>
      <c r="X639" s="103"/>
    </row>
    <row r="640" spans="2:24" x14ac:dyDescent="0.25">
      <c r="B640" s="103"/>
      <c r="C640" s="103"/>
      <c r="D640" s="103"/>
      <c r="E640" s="103"/>
      <c r="F640" s="103"/>
      <c r="H640" s="103"/>
      <c r="I640" s="103"/>
      <c r="J640" s="103"/>
      <c r="K640" s="103"/>
      <c r="L640" s="103"/>
      <c r="N640" s="103"/>
      <c r="O640" s="103"/>
      <c r="Q640" s="16"/>
      <c r="R640" s="16"/>
      <c r="S640" s="16"/>
      <c r="T640" s="103"/>
      <c r="U640" s="16"/>
      <c r="V640" s="16"/>
      <c r="W640" s="16"/>
      <c r="X640" s="103"/>
    </row>
    <row r="641" spans="2:24" x14ac:dyDescent="0.25">
      <c r="B641" s="103"/>
      <c r="C641" s="103"/>
      <c r="D641" s="103"/>
      <c r="E641" s="103"/>
      <c r="F641" s="103"/>
      <c r="H641" s="103"/>
      <c r="I641" s="103"/>
      <c r="J641" s="103"/>
      <c r="K641" s="103"/>
      <c r="L641" s="103"/>
      <c r="N641" s="103"/>
      <c r="O641" s="103"/>
      <c r="Q641" s="16"/>
      <c r="R641" s="16"/>
      <c r="S641" s="16"/>
      <c r="T641" s="103"/>
      <c r="U641" s="16"/>
      <c r="V641" s="16"/>
      <c r="W641" s="16"/>
      <c r="X641" s="103"/>
    </row>
    <row r="642" spans="2:24" x14ac:dyDescent="0.25">
      <c r="B642" s="103"/>
      <c r="C642" s="103"/>
      <c r="D642" s="103"/>
      <c r="E642" s="103"/>
      <c r="F642" s="103"/>
      <c r="H642" s="103"/>
      <c r="I642" s="103"/>
      <c r="J642" s="103"/>
      <c r="K642" s="103"/>
      <c r="L642" s="103"/>
      <c r="N642" s="103"/>
      <c r="O642" s="103"/>
      <c r="Q642" s="16"/>
      <c r="R642" s="16"/>
      <c r="S642" s="16"/>
      <c r="T642" s="103"/>
      <c r="U642" s="16"/>
      <c r="V642" s="16"/>
      <c r="W642" s="16"/>
      <c r="X642" s="103"/>
    </row>
    <row r="643" spans="2:24" x14ac:dyDescent="0.25">
      <c r="B643" s="103"/>
      <c r="C643" s="103"/>
      <c r="D643" s="103"/>
      <c r="E643" s="103"/>
      <c r="F643" s="103"/>
      <c r="H643" s="103"/>
      <c r="I643" s="103"/>
      <c r="J643" s="103"/>
      <c r="K643" s="103"/>
      <c r="L643" s="103"/>
      <c r="N643" s="103"/>
      <c r="O643" s="103"/>
      <c r="Q643" s="16"/>
      <c r="R643" s="16"/>
      <c r="S643" s="16"/>
      <c r="T643" s="103"/>
      <c r="U643" s="16"/>
      <c r="V643" s="16"/>
      <c r="W643" s="16"/>
      <c r="X643" s="103"/>
    </row>
    <row r="644" spans="2:24" x14ac:dyDescent="0.25">
      <c r="B644" s="103"/>
      <c r="C644" s="103"/>
      <c r="D644" s="103"/>
      <c r="E644" s="103"/>
      <c r="F644" s="103"/>
      <c r="H644" s="103"/>
      <c r="I644" s="103"/>
      <c r="J644" s="103"/>
      <c r="K644" s="103"/>
      <c r="L644" s="103"/>
      <c r="N644" s="103"/>
      <c r="O644" s="103"/>
      <c r="Q644" s="16"/>
      <c r="R644" s="16"/>
      <c r="S644" s="16"/>
      <c r="T644" s="103"/>
      <c r="U644" s="16"/>
      <c r="V644" s="16"/>
      <c r="W644" s="16"/>
      <c r="X644" s="103"/>
    </row>
    <row r="645" spans="2:24" x14ac:dyDescent="0.25">
      <c r="B645" s="103"/>
      <c r="C645" s="103"/>
      <c r="D645" s="103"/>
      <c r="E645" s="103"/>
      <c r="F645" s="103"/>
      <c r="H645" s="103"/>
      <c r="I645" s="103"/>
      <c r="J645" s="103"/>
      <c r="K645" s="103"/>
      <c r="L645" s="103"/>
      <c r="N645" s="103"/>
      <c r="O645" s="103"/>
      <c r="Q645" s="16"/>
      <c r="R645" s="16"/>
      <c r="S645" s="16"/>
      <c r="T645" s="103"/>
      <c r="U645" s="16"/>
      <c r="V645" s="16"/>
      <c r="W645" s="16"/>
      <c r="X645" s="103"/>
    </row>
    <row r="646" spans="2:24" x14ac:dyDescent="0.25">
      <c r="B646" s="103"/>
      <c r="C646" s="103"/>
      <c r="D646" s="103"/>
      <c r="E646" s="103"/>
      <c r="F646" s="103"/>
      <c r="H646" s="103"/>
      <c r="I646" s="103"/>
      <c r="J646" s="103"/>
      <c r="K646" s="103"/>
      <c r="L646" s="103"/>
      <c r="N646" s="103"/>
      <c r="O646" s="103"/>
      <c r="Q646" s="16"/>
      <c r="R646" s="16"/>
      <c r="S646" s="16"/>
      <c r="T646" s="103"/>
      <c r="U646" s="16"/>
      <c r="V646" s="16"/>
      <c r="W646" s="16"/>
      <c r="X646" s="103"/>
    </row>
    <row r="647" spans="2:24" x14ac:dyDescent="0.25">
      <c r="B647" s="103"/>
      <c r="C647" s="103"/>
      <c r="D647" s="103"/>
      <c r="E647" s="103"/>
      <c r="F647" s="103"/>
      <c r="H647" s="103"/>
      <c r="I647" s="103"/>
      <c r="J647" s="103"/>
      <c r="K647" s="103"/>
      <c r="L647" s="103"/>
      <c r="N647" s="103"/>
      <c r="O647" s="103"/>
      <c r="Q647" s="16"/>
      <c r="R647" s="16"/>
      <c r="S647" s="16"/>
      <c r="T647" s="103"/>
      <c r="U647" s="16"/>
      <c r="V647" s="16"/>
      <c r="W647" s="16"/>
      <c r="X647" s="103"/>
    </row>
    <row r="648" spans="2:24" x14ac:dyDescent="0.25">
      <c r="B648" s="103"/>
      <c r="C648" s="103"/>
      <c r="D648" s="103"/>
      <c r="E648" s="103"/>
      <c r="F648" s="103"/>
      <c r="H648" s="103"/>
      <c r="I648" s="103"/>
      <c r="J648" s="103"/>
      <c r="K648" s="103"/>
      <c r="L648" s="103"/>
      <c r="N648" s="103"/>
      <c r="O648" s="103"/>
      <c r="Q648" s="16"/>
      <c r="R648" s="16"/>
      <c r="S648" s="16"/>
      <c r="T648" s="103"/>
      <c r="U648" s="16"/>
      <c r="V648" s="16"/>
      <c r="W648" s="16"/>
      <c r="X648" s="103"/>
    </row>
    <row r="649" spans="2:24" x14ac:dyDescent="0.25">
      <c r="B649" s="103"/>
      <c r="C649" s="103"/>
      <c r="D649" s="103"/>
      <c r="E649" s="103"/>
      <c r="F649" s="103"/>
      <c r="H649" s="103"/>
      <c r="I649" s="103"/>
      <c r="J649" s="103"/>
      <c r="K649" s="103"/>
      <c r="L649" s="103"/>
      <c r="N649" s="103"/>
      <c r="O649" s="103"/>
      <c r="Q649" s="16"/>
      <c r="R649" s="16"/>
      <c r="S649" s="16"/>
      <c r="T649" s="103"/>
      <c r="U649" s="16"/>
      <c r="V649" s="16"/>
      <c r="W649" s="16"/>
      <c r="X649" s="103"/>
    </row>
    <row r="650" spans="2:24" x14ac:dyDescent="0.25">
      <c r="B650" s="103"/>
      <c r="C650" s="103"/>
      <c r="D650" s="103"/>
      <c r="E650" s="103"/>
      <c r="F650" s="103"/>
      <c r="H650" s="103"/>
      <c r="I650" s="103"/>
      <c r="J650" s="103"/>
      <c r="K650" s="103"/>
      <c r="L650" s="103"/>
      <c r="N650" s="103"/>
      <c r="O650" s="103"/>
      <c r="Q650" s="16"/>
      <c r="R650" s="16"/>
      <c r="S650" s="16"/>
      <c r="T650" s="103"/>
      <c r="U650" s="16"/>
      <c r="V650" s="16"/>
      <c r="W650" s="16"/>
      <c r="X650" s="103"/>
    </row>
    <row r="651" spans="2:24" x14ac:dyDescent="0.25">
      <c r="B651" s="103"/>
      <c r="C651" s="103"/>
      <c r="D651" s="103"/>
      <c r="E651" s="103"/>
      <c r="F651" s="103"/>
      <c r="H651" s="103"/>
      <c r="I651" s="103"/>
      <c r="J651" s="103"/>
      <c r="K651" s="103"/>
      <c r="L651" s="103"/>
      <c r="N651" s="103"/>
      <c r="O651" s="103"/>
      <c r="Q651" s="16"/>
      <c r="R651" s="16"/>
      <c r="S651" s="16"/>
      <c r="T651" s="103"/>
      <c r="U651" s="16"/>
      <c r="V651" s="16"/>
      <c r="W651" s="16"/>
      <c r="X651" s="103"/>
    </row>
    <row r="652" spans="2:24" x14ac:dyDescent="0.25">
      <c r="B652" s="103"/>
      <c r="C652" s="103"/>
      <c r="D652" s="103"/>
      <c r="E652" s="103"/>
      <c r="F652" s="103"/>
      <c r="H652" s="103"/>
      <c r="I652" s="103"/>
      <c r="J652" s="103"/>
      <c r="K652" s="103"/>
      <c r="L652" s="103"/>
      <c r="N652" s="103"/>
      <c r="O652" s="103"/>
      <c r="Q652" s="16"/>
      <c r="R652" s="16"/>
      <c r="S652" s="16"/>
      <c r="T652" s="103"/>
      <c r="U652" s="16"/>
      <c r="V652" s="16"/>
      <c r="W652" s="16"/>
      <c r="X652" s="103"/>
    </row>
    <row r="653" spans="2:24" x14ac:dyDescent="0.25">
      <c r="B653" s="103"/>
      <c r="C653" s="103"/>
      <c r="D653" s="103"/>
      <c r="E653" s="103"/>
      <c r="F653" s="103"/>
      <c r="H653" s="103"/>
      <c r="I653" s="103"/>
      <c r="J653" s="103"/>
      <c r="K653" s="103"/>
      <c r="L653" s="103"/>
      <c r="N653" s="103"/>
      <c r="O653" s="103"/>
      <c r="Q653" s="16"/>
      <c r="R653" s="16"/>
      <c r="S653" s="16"/>
      <c r="T653" s="103"/>
      <c r="U653" s="16"/>
      <c r="V653" s="16"/>
      <c r="W653" s="16"/>
      <c r="X653" s="103"/>
    </row>
    <row r="654" spans="2:24" x14ac:dyDescent="0.25">
      <c r="B654" s="103"/>
      <c r="C654" s="103"/>
      <c r="D654" s="103"/>
      <c r="E654" s="103"/>
      <c r="F654" s="103"/>
      <c r="H654" s="103"/>
      <c r="I654" s="103"/>
      <c r="J654" s="103"/>
      <c r="K654" s="103"/>
      <c r="L654" s="103"/>
      <c r="N654" s="103"/>
      <c r="O654" s="103"/>
      <c r="Q654" s="16"/>
      <c r="R654" s="16"/>
      <c r="S654" s="16"/>
      <c r="T654" s="103"/>
      <c r="U654" s="16"/>
      <c r="V654" s="16"/>
      <c r="W654" s="16"/>
      <c r="X654" s="103"/>
    </row>
    <row r="655" spans="2:24" x14ac:dyDescent="0.25">
      <c r="B655" s="103"/>
      <c r="C655" s="103"/>
      <c r="D655" s="103"/>
      <c r="E655" s="103"/>
      <c r="F655" s="103"/>
      <c r="H655" s="103"/>
      <c r="I655" s="103"/>
      <c r="J655" s="103"/>
      <c r="K655" s="103"/>
      <c r="L655" s="103"/>
      <c r="N655" s="103"/>
      <c r="O655" s="103"/>
      <c r="Q655" s="16"/>
      <c r="R655" s="16"/>
      <c r="S655" s="16"/>
      <c r="T655" s="103"/>
      <c r="U655" s="16"/>
      <c r="V655" s="16"/>
      <c r="W655" s="16"/>
      <c r="X655" s="103"/>
    </row>
    <row r="656" spans="2:24" x14ac:dyDescent="0.25">
      <c r="B656" s="103"/>
      <c r="C656" s="103"/>
      <c r="D656" s="103"/>
      <c r="E656" s="103"/>
      <c r="F656" s="103"/>
      <c r="H656" s="103"/>
      <c r="I656" s="103"/>
      <c r="J656" s="103"/>
      <c r="K656" s="103"/>
      <c r="L656" s="103"/>
      <c r="N656" s="103"/>
      <c r="O656" s="103"/>
      <c r="Q656" s="16"/>
      <c r="R656" s="16"/>
      <c r="S656" s="16"/>
      <c r="T656" s="103"/>
      <c r="U656" s="16"/>
      <c r="V656" s="16"/>
      <c r="W656" s="16"/>
      <c r="X656" s="103"/>
    </row>
    <row r="657" spans="2:24" x14ac:dyDescent="0.25">
      <c r="B657" s="103"/>
      <c r="C657" s="103"/>
      <c r="D657" s="103"/>
      <c r="E657" s="103"/>
      <c r="F657" s="103"/>
      <c r="H657" s="103"/>
      <c r="I657" s="103"/>
      <c r="J657" s="103"/>
      <c r="K657" s="103"/>
      <c r="L657" s="103"/>
      <c r="N657" s="103"/>
      <c r="O657" s="103"/>
      <c r="Q657" s="16"/>
      <c r="R657" s="16"/>
      <c r="S657" s="16"/>
      <c r="T657" s="103"/>
      <c r="U657" s="16"/>
      <c r="V657" s="16"/>
      <c r="W657" s="16"/>
      <c r="X657" s="103"/>
    </row>
    <row r="658" spans="2:24" x14ac:dyDescent="0.25">
      <c r="B658" s="103"/>
      <c r="C658" s="103"/>
      <c r="D658" s="103"/>
      <c r="E658" s="103"/>
      <c r="F658" s="103"/>
      <c r="H658" s="103"/>
      <c r="I658" s="103"/>
      <c r="J658" s="103"/>
      <c r="K658" s="103"/>
      <c r="L658" s="103"/>
      <c r="N658" s="103"/>
      <c r="O658" s="103"/>
      <c r="Q658" s="16"/>
      <c r="R658" s="16"/>
      <c r="S658" s="16"/>
      <c r="T658" s="103"/>
      <c r="U658" s="16"/>
      <c r="V658" s="16"/>
      <c r="W658" s="16"/>
      <c r="X658" s="103"/>
    </row>
    <row r="659" spans="2:24" x14ac:dyDescent="0.25">
      <c r="B659" s="103"/>
      <c r="C659" s="103"/>
      <c r="D659" s="103"/>
      <c r="E659" s="103"/>
      <c r="F659" s="103"/>
      <c r="H659" s="103"/>
      <c r="I659" s="103"/>
      <c r="J659" s="103"/>
      <c r="K659" s="103"/>
      <c r="L659" s="103"/>
      <c r="N659" s="103"/>
      <c r="O659" s="103"/>
      <c r="Q659" s="16"/>
      <c r="R659" s="16"/>
      <c r="S659" s="16"/>
      <c r="T659" s="103"/>
      <c r="U659" s="16"/>
      <c r="V659" s="16"/>
      <c r="W659" s="16"/>
      <c r="X659" s="103"/>
    </row>
    <row r="660" spans="2:24" x14ac:dyDescent="0.25">
      <c r="B660" s="103"/>
      <c r="C660" s="103"/>
      <c r="D660" s="103"/>
      <c r="E660" s="103"/>
      <c r="F660" s="103"/>
      <c r="H660" s="103"/>
      <c r="I660" s="103"/>
      <c r="J660" s="103"/>
      <c r="K660" s="103"/>
      <c r="L660" s="103"/>
      <c r="N660" s="103"/>
      <c r="O660" s="103"/>
      <c r="Q660" s="16"/>
      <c r="R660" s="16"/>
      <c r="S660" s="16"/>
      <c r="T660" s="103"/>
      <c r="U660" s="16"/>
      <c r="V660" s="16"/>
      <c r="W660" s="16"/>
      <c r="X660" s="103"/>
    </row>
    <row r="661" spans="2:24" x14ac:dyDescent="0.25">
      <c r="B661" s="103"/>
      <c r="C661" s="103"/>
      <c r="D661" s="103"/>
      <c r="E661" s="103"/>
      <c r="F661" s="103"/>
      <c r="H661" s="103"/>
      <c r="I661" s="103"/>
      <c r="J661" s="103"/>
      <c r="K661" s="103"/>
      <c r="L661" s="103"/>
      <c r="N661" s="103"/>
      <c r="O661" s="103"/>
      <c r="Q661" s="16"/>
      <c r="R661" s="16"/>
      <c r="S661" s="16"/>
      <c r="T661" s="103"/>
      <c r="U661" s="16"/>
      <c r="V661" s="16"/>
      <c r="W661" s="16"/>
      <c r="X661" s="103"/>
    </row>
    <row r="662" spans="2:24" x14ac:dyDescent="0.25">
      <c r="B662" s="103"/>
      <c r="C662" s="103"/>
      <c r="D662" s="103"/>
      <c r="E662" s="103"/>
      <c r="F662" s="103"/>
      <c r="H662" s="103"/>
      <c r="I662" s="103"/>
      <c r="J662" s="103"/>
      <c r="K662" s="103"/>
      <c r="L662" s="103"/>
      <c r="N662" s="103"/>
      <c r="O662" s="103"/>
      <c r="Q662" s="16"/>
      <c r="R662" s="16"/>
      <c r="S662" s="16"/>
      <c r="T662" s="103"/>
      <c r="U662" s="16"/>
      <c r="V662" s="16"/>
      <c r="W662" s="16"/>
      <c r="X662" s="103"/>
    </row>
    <row r="663" spans="2:24" x14ac:dyDescent="0.25">
      <c r="B663" s="103"/>
      <c r="C663" s="103"/>
      <c r="D663" s="103"/>
      <c r="E663" s="103"/>
      <c r="F663" s="103"/>
      <c r="H663" s="103"/>
      <c r="I663" s="103"/>
      <c r="J663" s="103"/>
      <c r="K663" s="103"/>
      <c r="L663" s="103"/>
      <c r="N663" s="103"/>
      <c r="O663" s="103"/>
      <c r="Q663" s="16"/>
      <c r="R663" s="16"/>
      <c r="S663" s="16"/>
      <c r="T663" s="103"/>
      <c r="U663" s="16"/>
      <c r="V663" s="16"/>
      <c r="W663" s="16"/>
      <c r="X663" s="103"/>
    </row>
    <row r="664" spans="2:24" x14ac:dyDescent="0.25">
      <c r="B664" s="103"/>
      <c r="C664" s="103"/>
      <c r="D664" s="103"/>
      <c r="E664" s="103"/>
      <c r="F664" s="103"/>
      <c r="H664" s="103"/>
      <c r="I664" s="103"/>
      <c r="J664" s="103"/>
      <c r="K664" s="103"/>
      <c r="L664" s="103"/>
      <c r="N664" s="103"/>
      <c r="O664" s="103"/>
      <c r="Q664" s="16"/>
      <c r="R664" s="16"/>
      <c r="S664" s="16"/>
      <c r="T664" s="103"/>
      <c r="U664" s="16"/>
      <c r="V664" s="16"/>
      <c r="W664" s="16"/>
      <c r="X664" s="103"/>
    </row>
    <row r="665" spans="2:24" x14ac:dyDescent="0.25">
      <c r="B665" s="103"/>
      <c r="C665" s="103"/>
      <c r="D665" s="103"/>
      <c r="E665" s="103"/>
      <c r="F665" s="103"/>
      <c r="H665" s="103"/>
      <c r="I665" s="103"/>
      <c r="J665" s="103"/>
      <c r="K665" s="103"/>
      <c r="L665" s="103"/>
      <c r="N665" s="103"/>
      <c r="O665" s="103"/>
      <c r="Q665" s="16"/>
      <c r="R665" s="16"/>
      <c r="S665" s="16"/>
      <c r="T665" s="103"/>
      <c r="U665" s="16"/>
      <c r="V665" s="16"/>
      <c r="W665" s="16"/>
      <c r="X665" s="103"/>
    </row>
    <row r="666" spans="2:24" x14ac:dyDescent="0.25">
      <c r="B666" s="103"/>
      <c r="C666" s="103"/>
      <c r="D666" s="103"/>
      <c r="E666" s="103"/>
      <c r="F666" s="103"/>
      <c r="H666" s="103"/>
      <c r="I666" s="103"/>
      <c r="J666" s="103"/>
      <c r="K666" s="103"/>
      <c r="L666" s="103"/>
      <c r="N666" s="103"/>
      <c r="O666" s="103"/>
      <c r="Q666" s="16"/>
      <c r="R666" s="16"/>
      <c r="S666" s="16"/>
      <c r="T666" s="103"/>
      <c r="U666" s="16"/>
      <c r="V666" s="16"/>
      <c r="W666" s="16"/>
      <c r="X666" s="103"/>
    </row>
    <row r="667" spans="2:24" x14ac:dyDescent="0.25">
      <c r="B667" s="103"/>
      <c r="C667" s="103"/>
      <c r="D667" s="103"/>
      <c r="E667" s="103"/>
      <c r="F667" s="103"/>
      <c r="H667" s="103"/>
      <c r="I667" s="103"/>
      <c r="J667" s="103"/>
      <c r="K667" s="103"/>
      <c r="L667" s="103"/>
      <c r="N667" s="103"/>
      <c r="O667" s="103"/>
      <c r="Q667" s="16"/>
      <c r="R667" s="16"/>
      <c r="S667" s="16"/>
      <c r="T667" s="103"/>
      <c r="U667" s="16"/>
      <c r="V667" s="16"/>
      <c r="W667" s="16"/>
      <c r="X667" s="103"/>
    </row>
    <row r="668" spans="2:24" x14ac:dyDescent="0.25">
      <c r="B668" s="103"/>
      <c r="C668" s="103"/>
      <c r="D668" s="103"/>
      <c r="E668" s="103"/>
      <c r="F668" s="103"/>
      <c r="H668" s="103"/>
      <c r="I668" s="103"/>
      <c r="J668" s="103"/>
      <c r="K668" s="103"/>
      <c r="L668" s="103"/>
      <c r="N668" s="103"/>
      <c r="O668" s="103"/>
      <c r="Q668" s="16"/>
      <c r="R668" s="16"/>
      <c r="S668" s="16"/>
      <c r="T668" s="103"/>
      <c r="U668" s="16"/>
      <c r="V668" s="16"/>
      <c r="W668" s="16"/>
      <c r="X668" s="103"/>
    </row>
    <row r="669" spans="2:24" x14ac:dyDescent="0.25">
      <c r="B669" s="103"/>
      <c r="C669" s="103"/>
      <c r="D669" s="103"/>
      <c r="E669" s="103"/>
      <c r="F669" s="103"/>
      <c r="H669" s="103"/>
      <c r="I669" s="103"/>
      <c r="J669" s="103"/>
      <c r="K669" s="103"/>
      <c r="L669" s="103"/>
      <c r="N669" s="103"/>
      <c r="O669" s="103"/>
      <c r="Q669" s="16"/>
      <c r="R669" s="16"/>
      <c r="S669" s="16"/>
      <c r="T669" s="103"/>
      <c r="U669" s="16"/>
      <c r="V669" s="16"/>
      <c r="W669" s="16"/>
      <c r="X669" s="103"/>
    </row>
    <row r="670" spans="2:24" x14ac:dyDescent="0.25">
      <c r="B670" s="103"/>
      <c r="C670" s="103"/>
      <c r="D670" s="103"/>
      <c r="E670" s="103"/>
      <c r="F670" s="103"/>
      <c r="H670" s="103"/>
      <c r="I670" s="103"/>
      <c r="J670" s="103"/>
      <c r="K670" s="103"/>
      <c r="L670" s="103"/>
      <c r="N670" s="103"/>
      <c r="O670" s="103"/>
      <c r="Q670" s="16"/>
      <c r="R670" s="16"/>
      <c r="S670" s="16"/>
      <c r="T670" s="103"/>
      <c r="U670" s="16"/>
      <c r="V670" s="16"/>
      <c r="W670" s="16"/>
      <c r="X670" s="103"/>
    </row>
    <row r="671" spans="2:24" x14ac:dyDescent="0.25">
      <c r="B671" s="103"/>
      <c r="C671" s="103"/>
      <c r="D671" s="103"/>
      <c r="E671" s="103"/>
      <c r="F671" s="103"/>
      <c r="H671" s="103"/>
      <c r="I671" s="103"/>
      <c r="J671" s="103"/>
      <c r="K671" s="103"/>
      <c r="L671" s="103"/>
      <c r="N671" s="103"/>
      <c r="O671" s="103"/>
      <c r="Q671" s="16"/>
      <c r="R671" s="16"/>
      <c r="S671" s="16"/>
      <c r="T671" s="103"/>
      <c r="U671" s="16"/>
      <c r="V671" s="16"/>
      <c r="W671" s="16"/>
      <c r="X671" s="103"/>
    </row>
    <row r="672" spans="2:24" x14ac:dyDescent="0.25">
      <c r="B672" s="103"/>
      <c r="C672" s="103"/>
      <c r="D672" s="103"/>
      <c r="E672" s="103"/>
      <c r="F672" s="103"/>
      <c r="H672" s="103"/>
      <c r="I672" s="103"/>
      <c r="J672" s="103"/>
      <c r="K672" s="103"/>
      <c r="L672" s="103"/>
      <c r="N672" s="103"/>
      <c r="O672" s="103"/>
      <c r="Q672" s="16"/>
      <c r="R672" s="16"/>
      <c r="S672" s="16"/>
      <c r="T672" s="103"/>
      <c r="U672" s="16"/>
      <c r="V672" s="16"/>
      <c r="W672" s="16"/>
      <c r="X672" s="103"/>
    </row>
    <row r="673" spans="2:24" x14ac:dyDescent="0.25">
      <c r="B673" s="103"/>
      <c r="C673" s="103"/>
      <c r="D673" s="103"/>
      <c r="E673" s="103"/>
      <c r="F673" s="103"/>
      <c r="H673" s="103"/>
      <c r="I673" s="103"/>
      <c r="J673" s="103"/>
      <c r="K673" s="103"/>
      <c r="L673" s="103"/>
      <c r="N673" s="103"/>
      <c r="O673" s="103"/>
      <c r="Q673" s="16"/>
      <c r="R673" s="16"/>
      <c r="S673" s="16"/>
      <c r="T673" s="103"/>
      <c r="U673" s="16"/>
      <c r="V673" s="16"/>
      <c r="W673" s="16"/>
      <c r="X673" s="103"/>
    </row>
    <row r="674" spans="2:24" x14ac:dyDescent="0.25">
      <c r="B674" s="103"/>
      <c r="C674" s="103"/>
      <c r="D674" s="103"/>
      <c r="E674" s="103"/>
      <c r="F674" s="103"/>
      <c r="H674" s="103"/>
      <c r="I674" s="103"/>
      <c r="J674" s="103"/>
      <c r="K674" s="103"/>
      <c r="L674" s="103"/>
      <c r="N674" s="103"/>
      <c r="O674" s="103"/>
      <c r="Q674" s="16"/>
      <c r="R674" s="16"/>
      <c r="S674" s="16"/>
      <c r="T674" s="103"/>
      <c r="U674" s="16"/>
      <c r="V674" s="16"/>
      <c r="W674" s="16"/>
      <c r="X674" s="103"/>
    </row>
    <row r="675" spans="2:24" x14ac:dyDescent="0.25">
      <c r="B675" s="103"/>
      <c r="C675" s="103"/>
      <c r="D675" s="103"/>
      <c r="E675" s="103"/>
      <c r="F675" s="103"/>
      <c r="H675" s="103"/>
      <c r="I675" s="103"/>
      <c r="J675" s="103"/>
      <c r="K675" s="103"/>
      <c r="L675" s="103"/>
      <c r="N675" s="103"/>
      <c r="O675" s="103"/>
      <c r="Q675" s="16"/>
      <c r="R675" s="16"/>
      <c r="S675" s="16"/>
      <c r="T675" s="103"/>
      <c r="U675" s="16"/>
      <c r="V675" s="16"/>
      <c r="W675" s="16"/>
      <c r="X675" s="103"/>
    </row>
    <row r="676" spans="2:24" x14ac:dyDescent="0.25">
      <c r="B676" s="103"/>
      <c r="C676" s="103"/>
      <c r="D676" s="103"/>
      <c r="E676" s="103"/>
      <c r="F676" s="103"/>
      <c r="H676" s="103"/>
      <c r="I676" s="103"/>
      <c r="J676" s="103"/>
      <c r="K676" s="103"/>
      <c r="L676" s="103"/>
      <c r="N676" s="103"/>
      <c r="O676" s="103"/>
      <c r="Q676" s="16"/>
      <c r="R676" s="16"/>
      <c r="S676" s="16"/>
      <c r="T676" s="103"/>
      <c r="U676" s="16"/>
      <c r="V676" s="16"/>
      <c r="W676" s="16"/>
      <c r="X676" s="103"/>
    </row>
    <row r="677" spans="2:24" x14ac:dyDescent="0.25">
      <c r="B677" s="103"/>
      <c r="C677" s="103"/>
      <c r="D677" s="103"/>
      <c r="E677" s="103"/>
      <c r="F677" s="103"/>
      <c r="H677" s="103"/>
      <c r="I677" s="103"/>
      <c r="J677" s="103"/>
      <c r="K677" s="103"/>
      <c r="L677" s="103"/>
      <c r="N677" s="103"/>
      <c r="O677" s="103"/>
      <c r="Q677" s="16"/>
      <c r="R677" s="16"/>
      <c r="S677" s="16"/>
      <c r="T677" s="103"/>
      <c r="U677" s="16"/>
      <c r="V677" s="16"/>
      <c r="W677" s="16"/>
      <c r="X677" s="103"/>
    </row>
    <row r="678" spans="2:24" x14ac:dyDescent="0.25">
      <c r="B678" s="103"/>
      <c r="C678" s="103"/>
      <c r="D678" s="103"/>
      <c r="E678" s="103"/>
      <c r="F678" s="103"/>
      <c r="H678" s="103"/>
      <c r="I678" s="103"/>
      <c r="J678" s="103"/>
      <c r="K678" s="103"/>
      <c r="L678" s="103"/>
      <c r="N678" s="103"/>
      <c r="O678" s="103"/>
      <c r="Q678" s="16"/>
      <c r="R678" s="16"/>
      <c r="S678" s="16"/>
      <c r="T678" s="103"/>
      <c r="U678" s="16"/>
      <c r="V678" s="16"/>
      <c r="W678" s="16"/>
      <c r="X678" s="103"/>
    </row>
    <row r="679" spans="2:24" x14ac:dyDescent="0.25">
      <c r="B679" s="103"/>
      <c r="C679" s="103"/>
      <c r="D679" s="103"/>
      <c r="E679" s="103"/>
      <c r="F679" s="103"/>
      <c r="H679" s="103"/>
      <c r="I679" s="103"/>
      <c r="J679" s="103"/>
      <c r="K679" s="103"/>
      <c r="L679" s="103"/>
      <c r="N679" s="103"/>
      <c r="O679" s="103"/>
      <c r="Q679" s="16"/>
      <c r="R679" s="16"/>
      <c r="S679" s="16"/>
      <c r="T679" s="103"/>
      <c r="U679" s="16"/>
      <c r="V679" s="16"/>
      <c r="W679" s="16"/>
      <c r="X679" s="103"/>
    </row>
    <row r="680" spans="2:24" x14ac:dyDescent="0.25">
      <c r="B680" s="103"/>
      <c r="C680" s="103"/>
      <c r="D680" s="103"/>
      <c r="E680" s="103"/>
      <c r="F680" s="103"/>
      <c r="H680" s="103"/>
      <c r="I680" s="103"/>
      <c r="J680" s="103"/>
      <c r="K680" s="103"/>
      <c r="L680" s="103"/>
      <c r="N680" s="103"/>
      <c r="O680" s="103"/>
      <c r="Q680" s="16"/>
      <c r="R680" s="16"/>
      <c r="S680" s="16"/>
      <c r="T680" s="103"/>
      <c r="U680" s="16"/>
      <c r="V680" s="16"/>
      <c r="W680" s="16"/>
      <c r="X680" s="103"/>
    </row>
    <row r="681" spans="2:24" x14ac:dyDescent="0.25">
      <c r="B681" s="103"/>
      <c r="C681" s="103"/>
      <c r="D681" s="103"/>
      <c r="E681" s="103"/>
      <c r="F681" s="103"/>
      <c r="H681" s="103"/>
      <c r="I681" s="103"/>
      <c r="J681" s="103"/>
      <c r="K681" s="103"/>
      <c r="L681" s="103"/>
      <c r="N681" s="103"/>
      <c r="O681" s="103"/>
      <c r="Q681" s="16"/>
      <c r="R681" s="16"/>
      <c r="S681" s="16"/>
      <c r="T681" s="103"/>
      <c r="U681" s="16"/>
      <c r="V681" s="16"/>
      <c r="W681" s="16"/>
      <c r="X681" s="103"/>
    </row>
    <row r="682" spans="2:24" x14ac:dyDescent="0.25">
      <c r="B682" s="103"/>
      <c r="C682" s="103"/>
      <c r="D682" s="103"/>
      <c r="E682" s="103"/>
      <c r="F682" s="103"/>
      <c r="H682" s="103"/>
      <c r="I682" s="103"/>
      <c r="J682" s="103"/>
      <c r="K682" s="103"/>
      <c r="L682" s="103"/>
      <c r="N682" s="103"/>
      <c r="O682" s="103"/>
      <c r="Q682" s="16"/>
      <c r="R682" s="16"/>
      <c r="S682" s="16"/>
      <c r="T682" s="103"/>
      <c r="U682" s="16"/>
      <c r="V682" s="16"/>
      <c r="W682" s="16"/>
      <c r="X682" s="103"/>
    </row>
    <row r="683" spans="2:24" x14ac:dyDescent="0.25">
      <c r="B683" s="103"/>
      <c r="C683" s="103"/>
      <c r="D683" s="103"/>
      <c r="E683" s="103"/>
      <c r="F683" s="103"/>
      <c r="H683" s="103"/>
      <c r="I683" s="103"/>
      <c r="J683" s="103"/>
      <c r="K683" s="103"/>
      <c r="L683" s="103"/>
      <c r="N683" s="103"/>
      <c r="O683" s="103"/>
      <c r="Q683" s="16"/>
      <c r="R683" s="16"/>
      <c r="S683" s="16"/>
      <c r="T683" s="103"/>
      <c r="U683" s="16"/>
      <c r="V683" s="16"/>
      <c r="W683" s="16"/>
      <c r="X683" s="103"/>
    </row>
    <row r="684" spans="2:24" x14ac:dyDescent="0.25">
      <c r="B684" s="103"/>
      <c r="C684" s="103"/>
      <c r="D684" s="103"/>
      <c r="E684" s="103"/>
      <c r="F684" s="103"/>
      <c r="H684" s="103"/>
      <c r="I684" s="103"/>
      <c r="J684" s="103"/>
      <c r="K684" s="103"/>
      <c r="L684" s="103"/>
      <c r="N684" s="103"/>
      <c r="O684" s="103"/>
      <c r="Q684" s="16"/>
      <c r="R684" s="16"/>
      <c r="S684" s="16"/>
      <c r="T684" s="103"/>
      <c r="U684" s="16"/>
      <c r="V684" s="16"/>
      <c r="W684" s="16"/>
      <c r="X684" s="103"/>
    </row>
    <row r="685" spans="2:24" x14ac:dyDescent="0.25">
      <c r="B685" s="103"/>
      <c r="C685" s="103"/>
      <c r="D685" s="103"/>
      <c r="E685" s="103"/>
      <c r="F685" s="103"/>
      <c r="H685" s="103"/>
      <c r="I685" s="103"/>
      <c r="J685" s="103"/>
      <c r="K685" s="103"/>
      <c r="L685" s="103"/>
      <c r="N685" s="103"/>
      <c r="O685" s="103"/>
      <c r="Q685" s="16"/>
      <c r="R685" s="16"/>
      <c r="S685" s="16"/>
      <c r="T685" s="103"/>
      <c r="U685" s="16"/>
      <c r="V685" s="16"/>
      <c r="W685" s="16"/>
      <c r="X685" s="103"/>
    </row>
    <row r="686" spans="2:24" x14ac:dyDescent="0.25">
      <c r="B686" s="103"/>
      <c r="C686" s="103"/>
      <c r="D686" s="103"/>
      <c r="E686" s="103"/>
      <c r="F686" s="103"/>
      <c r="H686" s="103"/>
      <c r="I686" s="103"/>
      <c r="J686" s="103"/>
      <c r="K686" s="103"/>
      <c r="L686" s="103"/>
      <c r="N686" s="103"/>
      <c r="O686" s="103"/>
      <c r="Q686" s="16"/>
      <c r="R686" s="16"/>
      <c r="S686" s="16"/>
      <c r="T686" s="103"/>
      <c r="U686" s="16"/>
      <c r="V686" s="16"/>
      <c r="W686" s="16"/>
      <c r="X686" s="103"/>
    </row>
    <row r="687" spans="2:24" x14ac:dyDescent="0.25">
      <c r="B687" s="103"/>
      <c r="C687" s="103"/>
      <c r="D687" s="103"/>
      <c r="E687" s="103"/>
      <c r="F687" s="103"/>
      <c r="H687" s="103"/>
      <c r="I687" s="103"/>
      <c r="J687" s="103"/>
      <c r="K687" s="103"/>
      <c r="L687" s="103"/>
      <c r="N687" s="103"/>
      <c r="O687" s="103"/>
      <c r="Q687" s="16"/>
      <c r="R687" s="16"/>
      <c r="S687" s="16"/>
      <c r="T687" s="103"/>
      <c r="U687" s="16"/>
      <c r="V687" s="16"/>
      <c r="W687" s="16"/>
      <c r="X687" s="103"/>
    </row>
    <row r="688" spans="2:24" x14ac:dyDescent="0.25">
      <c r="B688" s="103"/>
      <c r="C688" s="103"/>
      <c r="D688" s="103"/>
      <c r="E688" s="103"/>
      <c r="F688" s="103"/>
      <c r="H688" s="103"/>
      <c r="I688" s="103"/>
      <c r="J688" s="103"/>
      <c r="K688" s="103"/>
      <c r="L688" s="103"/>
      <c r="N688" s="103"/>
      <c r="O688" s="103"/>
      <c r="Q688" s="16"/>
      <c r="R688" s="16"/>
      <c r="S688" s="16"/>
      <c r="T688" s="103"/>
      <c r="U688" s="16"/>
      <c r="V688" s="16"/>
      <c r="W688" s="16"/>
      <c r="X688" s="103"/>
    </row>
    <row r="689" spans="2:24" x14ac:dyDescent="0.25">
      <c r="B689" s="103"/>
      <c r="C689" s="103"/>
      <c r="D689" s="103"/>
      <c r="E689" s="103"/>
      <c r="F689" s="103"/>
      <c r="H689" s="103"/>
      <c r="I689" s="103"/>
      <c r="J689" s="103"/>
      <c r="K689" s="103"/>
      <c r="L689" s="103"/>
      <c r="N689" s="103"/>
      <c r="O689" s="103"/>
      <c r="Q689" s="16"/>
      <c r="R689" s="16"/>
      <c r="S689" s="16"/>
      <c r="T689" s="103"/>
      <c r="U689" s="16"/>
      <c r="V689" s="16"/>
      <c r="W689" s="16"/>
      <c r="X689" s="103"/>
    </row>
    <row r="690" spans="2:24" x14ac:dyDescent="0.25">
      <c r="B690" s="103"/>
      <c r="C690" s="103"/>
      <c r="D690" s="103"/>
      <c r="E690" s="103"/>
      <c r="F690" s="103"/>
      <c r="H690" s="103"/>
      <c r="I690" s="103"/>
      <c r="J690" s="103"/>
      <c r="K690" s="103"/>
      <c r="L690" s="103"/>
      <c r="N690" s="103"/>
      <c r="O690" s="103"/>
      <c r="Q690" s="16"/>
      <c r="R690" s="16"/>
      <c r="S690" s="16"/>
      <c r="T690" s="103"/>
      <c r="U690" s="16"/>
      <c r="V690" s="16"/>
      <c r="W690" s="16"/>
      <c r="X690" s="103"/>
    </row>
    <row r="691" spans="2:24" x14ac:dyDescent="0.25">
      <c r="B691" s="103"/>
      <c r="C691" s="103"/>
      <c r="D691" s="103"/>
      <c r="E691" s="103"/>
      <c r="F691" s="103"/>
      <c r="H691" s="103"/>
      <c r="I691" s="103"/>
      <c r="J691" s="103"/>
      <c r="K691" s="103"/>
      <c r="L691" s="103"/>
      <c r="N691" s="103"/>
      <c r="O691" s="103"/>
      <c r="Q691" s="16"/>
      <c r="R691" s="16"/>
      <c r="S691" s="16"/>
      <c r="T691" s="103"/>
      <c r="U691" s="16"/>
      <c r="V691" s="16"/>
      <c r="W691" s="16"/>
      <c r="X691" s="103"/>
    </row>
    <row r="692" spans="2:24" x14ac:dyDescent="0.25">
      <c r="B692" s="103"/>
      <c r="C692" s="103"/>
      <c r="D692" s="103"/>
      <c r="E692" s="103"/>
      <c r="F692" s="103"/>
      <c r="H692" s="103"/>
      <c r="I692" s="103"/>
      <c r="J692" s="103"/>
      <c r="K692" s="103"/>
      <c r="L692" s="103"/>
      <c r="N692" s="103"/>
      <c r="O692" s="103"/>
      <c r="Q692" s="16"/>
      <c r="R692" s="16"/>
      <c r="S692" s="16"/>
      <c r="T692" s="103"/>
      <c r="U692" s="16"/>
      <c r="V692" s="16"/>
      <c r="W692" s="16"/>
      <c r="X692" s="103"/>
    </row>
    <row r="693" spans="2:24" x14ac:dyDescent="0.25">
      <c r="B693" s="103"/>
      <c r="C693" s="103"/>
      <c r="D693" s="103"/>
      <c r="E693" s="103"/>
      <c r="F693" s="103"/>
      <c r="H693" s="103"/>
      <c r="I693" s="103"/>
      <c r="J693" s="103"/>
      <c r="K693" s="103"/>
      <c r="L693" s="103"/>
      <c r="N693" s="103"/>
      <c r="O693" s="103"/>
      <c r="Q693" s="16"/>
      <c r="R693" s="16"/>
      <c r="S693" s="16"/>
      <c r="T693" s="103"/>
      <c r="U693" s="16"/>
      <c r="V693" s="16"/>
      <c r="W693" s="16"/>
      <c r="X693" s="103"/>
    </row>
    <row r="694" spans="2:24" x14ac:dyDescent="0.25">
      <c r="B694" s="103"/>
      <c r="C694" s="103"/>
      <c r="D694" s="103"/>
      <c r="E694" s="103"/>
      <c r="F694" s="103"/>
      <c r="H694" s="103"/>
      <c r="I694" s="103"/>
      <c r="J694" s="103"/>
      <c r="K694" s="103"/>
      <c r="L694" s="103"/>
      <c r="N694" s="103"/>
      <c r="O694" s="103"/>
      <c r="Q694" s="16"/>
      <c r="R694" s="16"/>
      <c r="S694" s="16"/>
      <c r="T694" s="103"/>
      <c r="U694" s="16"/>
      <c r="V694" s="16"/>
      <c r="W694" s="16"/>
      <c r="X694" s="103"/>
    </row>
    <row r="695" spans="2:24" x14ac:dyDescent="0.25">
      <c r="B695" s="103"/>
      <c r="C695" s="103"/>
      <c r="D695" s="103"/>
      <c r="E695" s="103"/>
      <c r="F695" s="103"/>
      <c r="H695" s="103"/>
      <c r="I695" s="103"/>
      <c r="J695" s="103"/>
      <c r="K695" s="103"/>
      <c r="L695" s="103"/>
      <c r="N695" s="103"/>
      <c r="O695" s="103"/>
      <c r="Q695" s="16"/>
      <c r="R695" s="16"/>
      <c r="S695" s="16"/>
      <c r="T695" s="103"/>
      <c r="U695" s="16"/>
      <c r="V695" s="16"/>
      <c r="W695" s="16"/>
      <c r="X695" s="103"/>
    </row>
    <row r="696" spans="2:24" x14ac:dyDescent="0.25">
      <c r="B696" s="103"/>
      <c r="C696" s="103"/>
      <c r="D696" s="103"/>
      <c r="E696" s="103"/>
      <c r="F696" s="103"/>
      <c r="H696" s="103"/>
      <c r="I696" s="103"/>
      <c r="J696" s="103"/>
      <c r="K696" s="103"/>
      <c r="L696" s="103"/>
      <c r="N696" s="103"/>
      <c r="O696" s="103"/>
      <c r="Q696" s="16"/>
      <c r="R696" s="16"/>
      <c r="S696" s="16"/>
      <c r="T696" s="103"/>
      <c r="U696" s="16"/>
      <c r="V696" s="16"/>
      <c r="W696" s="16"/>
      <c r="X696" s="103"/>
    </row>
    <row r="697" spans="2:24" x14ac:dyDescent="0.25">
      <c r="B697" s="103"/>
      <c r="C697" s="103"/>
      <c r="D697" s="103"/>
      <c r="E697" s="103"/>
      <c r="F697" s="103"/>
      <c r="H697" s="103"/>
      <c r="I697" s="103"/>
      <c r="J697" s="103"/>
      <c r="K697" s="103"/>
      <c r="L697" s="103"/>
      <c r="N697" s="103"/>
      <c r="O697" s="103"/>
      <c r="Q697" s="16"/>
      <c r="R697" s="16"/>
      <c r="S697" s="16"/>
      <c r="T697" s="103"/>
      <c r="U697" s="16"/>
      <c r="V697" s="16"/>
      <c r="W697" s="16"/>
      <c r="X697" s="103"/>
    </row>
    <row r="698" spans="2:24" x14ac:dyDescent="0.25">
      <c r="B698" s="103"/>
      <c r="C698" s="103"/>
      <c r="D698" s="103"/>
      <c r="E698" s="103"/>
      <c r="F698" s="103"/>
      <c r="H698" s="103"/>
      <c r="I698" s="103"/>
      <c r="J698" s="103"/>
      <c r="K698" s="103"/>
      <c r="L698" s="103"/>
      <c r="N698" s="103"/>
      <c r="O698" s="103"/>
      <c r="Q698" s="16"/>
      <c r="R698" s="16"/>
      <c r="S698" s="16"/>
      <c r="T698" s="103"/>
      <c r="U698" s="16"/>
      <c r="V698" s="16"/>
      <c r="W698" s="16"/>
      <c r="X698" s="103"/>
    </row>
    <row r="699" spans="2:24" x14ac:dyDescent="0.25">
      <c r="B699" s="103"/>
      <c r="C699" s="103"/>
      <c r="D699" s="103"/>
      <c r="E699" s="103"/>
      <c r="F699" s="103"/>
      <c r="H699" s="103"/>
      <c r="I699" s="103"/>
      <c r="J699" s="103"/>
      <c r="K699" s="103"/>
      <c r="L699" s="103"/>
      <c r="N699" s="103"/>
      <c r="O699" s="103"/>
      <c r="Q699" s="16"/>
      <c r="R699" s="16"/>
      <c r="S699" s="16"/>
      <c r="T699" s="103"/>
      <c r="U699" s="16"/>
      <c r="V699" s="16"/>
      <c r="W699" s="16"/>
      <c r="X699" s="103"/>
    </row>
    <row r="700" spans="2:24" x14ac:dyDescent="0.25">
      <c r="B700" s="103"/>
      <c r="C700" s="103"/>
      <c r="D700" s="103"/>
      <c r="E700" s="103"/>
      <c r="F700" s="103"/>
      <c r="H700" s="103"/>
      <c r="I700" s="103"/>
      <c r="J700" s="103"/>
      <c r="K700" s="103"/>
      <c r="L700" s="103"/>
      <c r="N700" s="103"/>
      <c r="O700" s="103"/>
      <c r="Q700" s="16"/>
      <c r="R700" s="16"/>
      <c r="S700" s="16"/>
      <c r="T700" s="103"/>
      <c r="U700" s="16"/>
      <c r="V700" s="16"/>
      <c r="W700" s="16"/>
      <c r="X700" s="103"/>
    </row>
    <row r="701" spans="2:24" x14ac:dyDescent="0.25">
      <c r="B701" s="103"/>
      <c r="C701" s="103"/>
      <c r="D701" s="103"/>
      <c r="E701" s="103"/>
      <c r="F701" s="103"/>
      <c r="H701" s="103"/>
      <c r="I701" s="103"/>
      <c r="J701" s="103"/>
      <c r="K701" s="103"/>
      <c r="L701" s="103"/>
      <c r="N701" s="103"/>
      <c r="O701" s="103"/>
      <c r="Q701" s="16"/>
      <c r="R701" s="16"/>
      <c r="S701" s="16"/>
      <c r="T701" s="103"/>
      <c r="U701" s="16"/>
      <c r="V701" s="16"/>
      <c r="W701" s="16"/>
      <c r="X701" s="103"/>
    </row>
    <row r="702" spans="2:24" x14ac:dyDescent="0.25">
      <c r="B702" s="103"/>
      <c r="C702" s="103"/>
      <c r="D702" s="103"/>
      <c r="E702" s="103"/>
      <c r="F702" s="103"/>
      <c r="H702" s="103"/>
      <c r="I702" s="103"/>
      <c r="J702" s="103"/>
      <c r="K702" s="103"/>
      <c r="L702" s="103"/>
      <c r="N702" s="103"/>
      <c r="O702" s="103"/>
      <c r="Q702" s="16"/>
      <c r="R702" s="16"/>
      <c r="S702" s="16"/>
      <c r="T702" s="103"/>
      <c r="U702" s="16"/>
      <c r="V702" s="16"/>
      <c r="W702" s="16"/>
      <c r="X702" s="103"/>
    </row>
    <row r="703" spans="2:24" x14ac:dyDescent="0.25">
      <c r="B703" s="103"/>
      <c r="C703" s="103"/>
      <c r="D703" s="103"/>
      <c r="E703" s="103"/>
      <c r="F703" s="103"/>
      <c r="H703" s="103"/>
      <c r="I703" s="103"/>
      <c r="J703" s="103"/>
      <c r="K703" s="103"/>
      <c r="L703" s="103"/>
      <c r="N703" s="103"/>
      <c r="O703" s="103"/>
      <c r="Q703" s="16"/>
      <c r="R703" s="16"/>
      <c r="S703" s="16"/>
      <c r="T703" s="103"/>
      <c r="U703" s="16"/>
      <c r="V703" s="16"/>
      <c r="W703" s="16"/>
      <c r="X703" s="103"/>
    </row>
    <row r="704" spans="2:24" x14ac:dyDescent="0.25">
      <c r="B704" s="103"/>
      <c r="C704" s="103"/>
      <c r="D704" s="103"/>
      <c r="E704" s="103"/>
      <c r="F704" s="103"/>
      <c r="H704" s="103"/>
      <c r="I704" s="103"/>
      <c r="J704" s="103"/>
      <c r="K704" s="103"/>
      <c r="L704" s="103"/>
      <c r="N704" s="103"/>
      <c r="O704" s="103"/>
      <c r="Q704" s="16"/>
      <c r="R704" s="16"/>
      <c r="S704" s="16"/>
      <c r="T704" s="103"/>
      <c r="U704" s="16"/>
      <c r="V704" s="16"/>
      <c r="W704" s="16"/>
      <c r="X704" s="103"/>
    </row>
    <row r="705" spans="2:24" x14ac:dyDescent="0.25">
      <c r="B705" s="103"/>
      <c r="C705" s="103"/>
      <c r="D705" s="103"/>
      <c r="E705" s="103"/>
      <c r="F705" s="103"/>
      <c r="H705" s="103"/>
      <c r="I705" s="103"/>
      <c r="J705" s="103"/>
      <c r="K705" s="103"/>
      <c r="L705" s="103"/>
      <c r="N705" s="103"/>
      <c r="O705" s="103"/>
      <c r="Q705" s="16"/>
      <c r="R705" s="16"/>
      <c r="S705" s="16"/>
      <c r="T705" s="103"/>
      <c r="U705" s="16"/>
      <c r="V705" s="16"/>
      <c r="W705" s="16"/>
      <c r="X705" s="103"/>
    </row>
    <row r="706" spans="2:24" x14ac:dyDescent="0.25">
      <c r="B706" s="103"/>
      <c r="C706" s="103"/>
      <c r="D706" s="103"/>
      <c r="E706" s="103"/>
      <c r="F706" s="103"/>
      <c r="H706" s="103"/>
      <c r="I706" s="103"/>
      <c r="J706" s="103"/>
      <c r="K706" s="103"/>
      <c r="L706" s="103"/>
      <c r="N706" s="103"/>
      <c r="O706" s="103"/>
      <c r="Q706" s="16"/>
      <c r="R706" s="16"/>
      <c r="S706" s="16"/>
      <c r="T706" s="103"/>
      <c r="U706" s="16"/>
      <c r="V706" s="16"/>
      <c r="W706" s="16"/>
      <c r="X706" s="103"/>
    </row>
    <row r="707" spans="2:24" x14ac:dyDescent="0.25">
      <c r="B707" s="103"/>
      <c r="C707" s="103"/>
      <c r="D707" s="103"/>
      <c r="E707" s="103"/>
      <c r="F707" s="103"/>
      <c r="H707" s="103"/>
      <c r="I707" s="103"/>
      <c r="J707" s="103"/>
      <c r="K707" s="103"/>
      <c r="L707" s="103"/>
      <c r="N707" s="103"/>
      <c r="O707" s="103"/>
      <c r="Q707" s="16"/>
      <c r="R707" s="16"/>
      <c r="S707" s="16"/>
      <c r="T707" s="103"/>
      <c r="U707" s="16"/>
      <c r="V707" s="16"/>
      <c r="W707" s="16"/>
      <c r="X707" s="103"/>
    </row>
    <row r="708" spans="2:24" x14ac:dyDescent="0.25">
      <c r="B708" s="103"/>
      <c r="C708" s="103"/>
      <c r="D708" s="103"/>
      <c r="E708" s="103"/>
      <c r="F708" s="103"/>
      <c r="H708" s="103"/>
      <c r="I708" s="103"/>
      <c r="J708" s="103"/>
      <c r="K708" s="103"/>
      <c r="L708" s="103"/>
      <c r="N708" s="103"/>
      <c r="O708" s="103"/>
      <c r="Q708" s="16"/>
      <c r="R708" s="16"/>
      <c r="S708" s="16"/>
      <c r="T708" s="103"/>
      <c r="U708" s="16"/>
      <c r="V708" s="16"/>
      <c r="W708" s="16"/>
      <c r="X708" s="103"/>
    </row>
    <row r="709" spans="2:24" x14ac:dyDescent="0.25">
      <c r="B709" s="103"/>
      <c r="C709" s="103"/>
      <c r="D709" s="103"/>
      <c r="E709" s="103"/>
      <c r="F709" s="103"/>
      <c r="H709" s="103"/>
      <c r="I709" s="103"/>
      <c r="J709" s="103"/>
      <c r="K709" s="103"/>
      <c r="L709" s="103"/>
      <c r="N709" s="103"/>
      <c r="O709" s="103"/>
      <c r="Q709" s="16"/>
      <c r="R709" s="16"/>
      <c r="S709" s="16"/>
      <c r="T709" s="103"/>
      <c r="U709" s="16"/>
      <c r="V709" s="16"/>
      <c r="W709" s="16"/>
      <c r="X709" s="103"/>
    </row>
    <row r="710" spans="2:24" x14ac:dyDescent="0.25">
      <c r="B710" s="103"/>
      <c r="C710" s="103"/>
      <c r="D710" s="103"/>
      <c r="E710" s="103"/>
      <c r="F710" s="103"/>
      <c r="H710" s="103"/>
      <c r="I710" s="103"/>
      <c r="J710" s="103"/>
      <c r="K710" s="103"/>
      <c r="L710" s="103"/>
      <c r="N710" s="103"/>
      <c r="O710" s="103"/>
      <c r="Q710" s="16"/>
      <c r="R710" s="16"/>
      <c r="S710" s="16"/>
      <c r="T710" s="103"/>
      <c r="U710" s="16"/>
      <c r="V710" s="16"/>
      <c r="W710" s="16"/>
      <c r="X710" s="103"/>
    </row>
    <row r="711" spans="2:24" x14ac:dyDescent="0.25">
      <c r="B711" s="103"/>
      <c r="C711" s="103"/>
      <c r="D711" s="103"/>
      <c r="E711" s="103"/>
      <c r="F711" s="103"/>
      <c r="H711" s="103"/>
      <c r="I711" s="103"/>
      <c r="J711" s="103"/>
      <c r="K711" s="103"/>
      <c r="L711" s="103"/>
      <c r="N711" s="103"/>
      <c r="O711" s="103"/>
      <c r="Q711" s="16"/>
      <c r="R711" s="16"/>
      <c r="S711" s="16"/>
      <c r="T711" s="103"/>
      <c r="U711" s="16"/>
      <c r="V711" s="16"/>
      <c r="W711" s="16"/>
      <c r="X711" s="103"/>
    </row>
    <row r="712" spans="2:24" x14ac:dyDescent="0.25">
      <c r="B712" s="103"/>
      <c r="C712" s="103"/>
      <c r="D712" s="103"/>
      <c r="E712" s="103"/>
      <c r="F712" s="103"/>
      <c r="H712" s="103"/>
      <c r="I712" s="103"/>
      <c r="J712" s="103"/>
      <c r="K712" s="103"/>
      <c r="L712" s="103"/>
      <c r="N712" s="103"/>
      <c r="O712" s="103"/>
      <c r="Q712" s="16"/>
      <c r="R712" s="16"/>
      <c r="S712" s="16"/>
      <c r="T712" s="103"/>
      <c r="U712" s="16"/>
      <c r="V712" s="16"/>
      <c r="W712" s="16"/>
      <c r="X712" s="103"/>
    </row>
    <row r="713" spans="2:24" x14ac:dyDescent="0.25">
      <c r="B713" s="103"/>
      <c r="C713" s="103"/>
      <c r="D713" s="103"/>
      <c r="E713" s="103"/>
      <c r="F713" s="103"/>
      <c r="H713" s="103"/>
      <c r="I713" s="103"/>
      <c r="J713" s="103"/>
      <c r="K713" s="103"/>
      <c r="L713" s="103"/>
      <c r="N713" s="103"/>
      <c r="O713" s="103"/>
      <c r="Q713" s="16"/>
      <c r="R713" s="16"/>
      <c r="S713" s="16"/>
      <c r="T713" s="103"/>
      <c r="U713" s="16"/>
      <c r="V713" s="16"/>
      <c r="W713" s="16"/>
      <c r="X713" s="103"/>
    </row>
    <row r="714" spans="2:24" x14ac:dyDescent="0.25">
      <c r="B714" s="103"/>
      <c r="C714" s="103"/>
      <c r="D714" s="103"/>
      <c r="E714" s="103"/>
      <c r="F714" s="103"/>
      <c r="H714" s="103"/>
      <c r="I714" s="103"/>
      <c r="J714" s="103"/>
      <c r="K714" s="103"/>
      <c r="L714" s="103"/>
      <c r="N714" s="103"/>
      <c r="O714" s="103"/>
      <c r="Q714" s="16"/>
      <c r="R714" s="16"/>
      <c r="S714" s="16"/>
      <c r="T714" s="103"/>
      <c r="U714" s="16"/>
      <c r="V714" s="16"/>
      <c r="W714" s="16"/>
      <c r="X714" s="103"/>
    </row>
    <row r="715" spans="2:24" x14ac:dyDescent="0.25">
      <c r="B715" s="103"/>
      <c r="C715" s="103"/>
      <c r="D715" s="103"/>
      <c r="E715" s="103"/>
      <c r="F715" s="103"/>
      <c r="H715" s="103"/>
      <c r="I715" s="103"/>
      <c r="J715" s="103"/>
      <c r="K715" s="103"/>
      <c r="L715" s="103"/>
      <c r="N715" s="103"/>
      <c r="O715" s="103"/>
      <c r="Q715" s="16"/>
      <c r="R715" s="16"/>
      <c r="S715" s="16"/>
      <c r="T715" s="103"/>
      <c r="U715" s="16"/>
      <c r="V715" s="16"/>
      <c r="W715" s="16"/>
      <c r="X715" s="103"/>
    </row>
    <row r="716" spans="2:24" x14ac:dyDescent="0.25">
      <c r="B716" s="103"/>
      <c r="C716" s="103"/>
      <c r="D716" s="103"/>
      <c r="E716" s="103"/>
      <c r="F716" s="103"/>
      <c r="H716" s="103"/>
      <c r="I716" s="103"/>
      <c r="J716" s="103"/>
      <c r="K716" s="103"/>
      <c r="L716" s="103"/>
      <c r="N716" s="103"/>
      <c r="O716" s="103"/>
      <c r="Q716" s="16"/>
      <c r="R716" s="16"/>
      <c r="S716" s="16"/>
      <c r="T716" s="103"/>
      <c r="U716" s="16"/>
      <c r="V716" s="16"/>
      <c r="W716" s="16"/>
      <c r="X716" s="103"/>
    </row>
    <row r="717" spans="2:24" x14ac:dyDescent="0.25">
      <c r="B717" s="103"/>
      <c r="C717" s="103"/>
      <c r="D717" s="103"/>
      <c r="E717" s="103"/>
      <c r="F717" s="103"/>
      <c r="H717" s="103"/>
      <c r="I717" s="103"/>
      <c r="J717" s="103"/>
      <c r="K717" s="103"/>
      <c r="L717" s="103"/>
      <c r="N717" s="103"/>
      <c r="O717" s="103"/>
      <c r="Q717" s="16"/>
      <c r="R717" s="16"/>
      <c r="S717" s="16"/>
      <c r="T717" s="103"/>
      <c r="U717" s="16"/>
      <c r="V717" s="16"/>
      <c r="W717" s="16"/>
      <c r="X717" s="103"/>
    </row>
    <row r="718" spans="2:24" x14ac:dyDescent="0.25">
      <c r="B718" s="103"/>
      <c r="C718" s="103"/>
      <c r="D718" s="103"/>
      <c r="E718" s="103"/>
      <c r="F718" s="103"/>
      <c r="H718" s="103"/>
      <c r="I718" s="103"/>
      <c r="J718" s="103"/>
      <c r="K718" s="103"/>
      <c r="L718" s="103"/>
      <c r="N718" s="103"/>
      <c r="O718" s="103"/>
      <c r="Q718" s="16"/>
      <c r="R718" s="16"/>
      <c r="S718" s="16"/>
      <c r="T718" s="103"/>
      <c r="U718" s="16"/>
      <c r="V718" s="16"/>
      <c r="W718" s="16"/>
      <c r="X718" s="103"/>
    </row>
    <row r="719" spans="2:24" x14ac:dyDescent="0.25">
      <c r="B719" s="103"/>
      <c r="C719" s="103"/>
      <c r="D719" s="103"/>
      <c r="E719" s="103"/>
      <c r="F719" s="103"/>
      <c r="H719" s="103"/>
      <c r="I719" s="103"/>
      <c r="J719" s="103"/>
      <c r="K719" s="103"/>
      <c r="L719" s="103"/>
      <c r="N719" s="103"/>
      <c r="O719" s="103"/>
      <c r="Q719" s="16"/>
      <c r="R719" s="16"/>
      <c r="S719" s="16"/>
      <c r="T719" s="103"/>
      <c r="U719" s="16"/>
      <c r="V719" s="16"/>
      <c r="W719" s="16"/>
      <c r="X719" s="103"/>
    </row>
    <row r="720" spans="2:24" x14ac:dyDescent="0.25">
      <c r="B720" s="103"/>
      <c r="C720" s="103"/>
      <c r="D720" s="103"/>
      <c r="E720" s="103"/>
      <c r="F720" s="103"/>
      <c r="H720" s="103"/>
      <c r="I720" s="103"/>
      <c r="J720" s="103"/>
      <c r="K720" s="103"/>
      <c r="L720" s="103"/>
      <c r="N720" s="103"/>
      <c r="O720" s="103"/>
      <c r="Q720" s="16"/>
      <c r="R720" s="16"/>
      <c r="S720" s="16"/>
      <c r="T720" s="103"/>
      <c r="U720" s="16"/>
      <c r="V720" s="16"/>
      <c r="W720" s="16"/>
      <c r="X720" s="103"/>
    </row>
    <row r="721" spans="2:24" x14ac:dyDescent="0.25">
      <c r="B721" s="103"/>
      <c r="C721" s="103"/>
      <c r="D721" s="103"/>
      <c r="E721" s="103"/>
      <c r="F721" s="103"/>
      <c r="H721" s="103"/>
      <c r="I721" s="103"/>
      <c r="J721" s="103"/>
      <c r="K721" s="103"/>
      <c r="L721" s="103"/>
      <c r="N721" s="103"/>
      <c r="O721" s="103"/>
      <c r="Q721" s="16"/>
      <c r="R721" s="16"/>
      <c r="S721" s="16"/>
      <c r="T721" s="103"/>
      <c r="U721" s="16"/>
      <c r="V721" s="16"/>
      <c r="W721" s="16"/>
      <c r="X721" s="103"/>
    </row>
    <row r="722" spans="2:24" x14ac:dyDescent="0.25">
      <c r="B722" s="103"/>
      <c r="C722" s="103"/>
      <c r="D722" s="103"/>
      <c r="E722" s="103"/>
      <c r="F722" s="103"/>
      <c r="H722" s="103"/>
      <c r="I722" s="103"/>
      <c r="J722" s="103"/>
      <c r="K722" s="103"/>
      <c r="L722" s="103"/>
      <c r="N722" s="103"/>
      <c r="O722" s="103"/>
      <c r="Q722" s="16"/>
      <c r="R722" s="16"/>
      <c r="S722" s="16"/>
      <c r="T722" s="103"/>
      <c r="U722" s="16"/>
      <c r="V722" s="16"/>
      <c r="W722" s="16"/>
      <c r="X722" s="103"/>
    </row>
    <row r="723" spans="2:24" x14ac:dyDescent="0.25">
      <c r="B723" s="103"/>
      <c r="C723" s="103"/>
      <c r="D723" s="103"/>
      <c r="E723" s="103"/>
      <c r="F723" s="103"/>
      <c r="H723" s="103"/>
      <c r="I723" s="103"/>
      <c r="J723" s="103"/>
      <c r="K723" s="103"/>
      <c r="L723" s="103"/>
      <c r="N723" s="103"/>
      <c r="O723" s="103"/>
      <c r="Q723" s="16"/>
      <c r="R723" s="16"/>
      <c r="S723" s="16"/>
      <c r="T723" s="103"/>
      <c r="U723" s="16"/>
      <c r="V723" s="16"/>
      <c r="W723" s="16"/>
      <c r="X723" s="103"/>
    </row>
    <row r="724" spans="2:24" x14ac:dyDescent="0.25">
      <c r="B724" s="103"/>
      <c r="C724" s="103"/>
      <c r="D724" s="103"/>
      <c r="E724" s="103"/>
      <c r="F724" s="103"/>
      <c r="H724" s="103"/>
      <c r="I724" s="103"/>
      <c r="J724" s="103"/>
      <c r="K724" s="103"/>
      <c r="L724" s="103"/>
      <c r="N724" s="103"/>
      <c r="O724" s="103"/>
      <c r="Q724" s="16"/>
      <c r="R724" s="16"/>
      <c r="S724" s="16"/>
      <c r="T724" s="103"/>
      <c r="U724" s="16"/>
      <c r="V724" s="16"/>
      <c r="W724" s="16"/>
      <c r="X724" s="103"/>
    </row>
    <row r="725" spans="2:24" x14ac:dyDescent="0.25">
      <c r="B725" s="103"/>
      <c r="C725" s="103"/>
      <c r="D725" s="103"/>
      <c r="E725" s="103"/>
      <c r="F725" s="103"/>
      <c r="H725" s="103"/>
      <c r="I725" s="103"/>
      <c r="J725" s="103"/>
      <c r="K725" s="103"/>
      <c r="L725" s="103"/>
      <c r="N725" s="103"/>
      <c r="O725" s="103"/>
      <c r="Q725" s="16"/>
      <c r="R725" s="16"/>
      <c r="S725" s="16"/>
      <c r="T725" s="103"/>
      <c r="U725" s="16"/>
      <c r="V725" s="16"/>
      <c r="W725" s="16"/>
      <c r="X725" s="103"/>
    </row>
    <row r="726" spans="2:24" x14ac:dyDescent="0.25">
      <c r="B726" s="103"/>
      <c r="C726" s="103"/>
      <c r="D726" s="103"/>
      <c r="E726" s="103"/>
      <c r="F726" s="103"/>
      <c r="H726" s="103"/>
      <c r="I726" s="103"/>
      <c r="J726" s="103"/>
      <c r="K726" s="103"/>
      <c r="L726" s="103"/>
      <c r="N726" s="103"/>
      <c r="O726" s="103"/>
      <c r="Q726" s="16"/>
      <c r="R726" s="16"/>
      <c r="S726" s="16"/>
      <c r="T726" s="103"/>
      <c r="U726" s="16"/>
      <c r="V726" s="16"/>
      <c r="W726" s="16"/>
      <c r="X726" s="103"/>
    </row>
    <row r="727" spans="2:24" x14ac:dyDescent="0.25">
      <c r="B727" s="103"/>
      <c r="C727" s="103"/>
      <c r="D727" s="103"/>
      <c r="E727" s="103"/>
      <c r="F727" s="103"/>
      <c r="H727" s="103"/>
      <c r="I727" s="103"/>
      <c r="J727" s="103"/>
      <c r="K727" s="103"/>
      <c r="L727" s="103"/>
      <c r="N727" s="103"/>
      <c r="O727" s="103"/>
      <c r="Q727" s="16"/>
      <c r="R727" s="16"/>
      <c r="S727" s="16"/>
      <c r="T727" s="103"/>
      <c r="U727" s="16"/>
      <c r="V727" s="16"/>
      <c r="W727" s="16"/>
      <c r="X727" s="103"/>
    </row>
    <row r="728" spans="2:24" x14ac:dyDescent="0.25">
      <c r="B728" s="103"/>
      <c r="C728" s="103"/>
      <c r="D728" s="103"/>
      <c r="E728" s="103"/>
      <c r="F728" s="103"/>
      <c r="H728" s="103"/>
      <c r="I728" s="103"/>
      <c r="J728" s="103"/>
      <c r="K728" s="103"/>
      <c r="L728" s="103"/>
      <c r="N728" s="103"/>
      <c r="O728" s="103"/>
      <c r="Q728" s="16"/>
      <c r="R728" s="16"/>
      <c r="S728" s="16"/>
      <c r="T728" s="103"/>
      <c r="U728" s="16"/>
      <c r="V728" s="16"/>
      <c r="W728" s="16"/>
      <c r="X728" s="103"/>
    </row>
    <row r="729" spans="2:24" x14ac:dyDescent="0.25">
      <c r="B729" s="103"/>
      <c r="C729" s="103"/>
      <c r="D729" s="103"/>
      <c r="E729" s="103"/>
      <c r="F729" s="103"/>
      <c r="H729" s="103"/>
      <c r="I729" s="103"/>
      <c r="J729" s="103"/>
      <c r="K729" s="103"/>
      <c r="L729" s="103"/>
      <c r="N729" s="103"/>
      <c r="O729" s="103"/>
      <c r="Q729" s="16"/>
      <c r="R729" s="16"/>
      <c r="S729" s="16"/>
      <c r="T729" s="103"/>
      <c r="U729" s="16"/>
      <c r="V729" s="16"/>
      <c r="W729" s="16"/>
      <c r="X729" s="103"/>
    </row>
    <row r="730" spans="2:24" x14ac:dyDescent="0.25">
      <c r="B730" s="103"/>
      <c r="C730" s="103"/>
      <c r="D730" s="103"/>
      <c r="E730" s="103"/>
      <c r="F730" s="103"/>
      <c r="H730" s="103"/>
      <c r="I730" s="103"/>
      <c r="J730" s="103"/>
      <c r="K730" s="103"/>
      <c r="L730" s="103"/>
      <c r="N730" s="103"/>
      <c r="O730" s="103"/>
      <c r="Q730" s="16"/>
      <c r="R730" s="16"/>
      <c r="S730" s="16"/>
      <c r="T730" s="103"/>
      <c r="U730" s="16"/>
      <c r="V730" s="16"/>
      <c r="W730" s="16"/>
      <c r="X730" s="103"/>
    </row>
    <row r="731" spans="2:24" x14ac:dyDescent="0.25">
      <c r="B731" s="103"/>
      <c r="C731" s="103"/>
      <c r="D731" s="103"/>
      <c r="E731" s="103"/>
      <c r="F731" s="103"/>
      <c r="H731" s="103"/>
      <c r="I731" s="103"/>
      <c r="J731" s="103"/>
      <c r="K731" s="103"/>
      <c r="L731" s="103"/>
      <c r="N731" s="103"/>
      <c r="O731" s="103"/>
      <c r="Q731" s="16"/>
      <c r="R731" s="16"/>
      <c r="S731" s="16"/>
      <c r="T731" s="103"/>
      <c r="U731" s="16"/>
      <c r="V731" s="16"/>
      <c r="W731" s="16"/>
      <c r="X731" s="103"/>
    </row>
    <row r="732" spans="2:24" x14ac:dyDescent="0.25">
      <c r="B732" s="103"/>
      <c r="C732" s="103"/>
      <c r="D732" s="103"/>
      <c r="E732" s="103"/>
      <c r="F732" s="103"/>
      <c r="H732" s="103"/>
      <c r="I732" s="103"/>
      <c r="J732" s="103"/>
      <c r="K732" s="103"/>
      <c r="L732" s="103"/>
      <c r="N732" s="103"/>
      <c r="O732" s="103"/>
      <c r="Q732" s="16"/>
      <c r="R732" s="16"/>
      <c r="S732" s="16"/>
      <c r="T732" s="103"/>
      <c r="U732" s="16"/>
      <c r="V732" s="16"/>
      <c r="W732" s="16"/>
      <c r="X732" s="103"/>
    </row>
    <row r="733" spans="2:24" x14ac:dyDescent="0.25">
      <c r="B733" s="103"/>
      <c r="C733" s="103"/>
      <c r="D733" s="103"/>
      <c r="E733" s="103"/>
      <c r="F733" s="103"/>
      <c r="H733" s="103"/>
      <c r="I733" s="103"/>
      <c r="J733" s="103"/>
      <c r="K733" s="103"/>
      <c r="L733" s="103"/>
      <c r="N733" s="103"/>
      <c r="O733" s="103"/>
      <c r="Q733" s="16"/>
      <c r="R733" s="16"/>
      <c r="S733" s="16"/>
      <c r="T733" s="103"/>
      <c r="U733" s="16"/>
      <c r="V733" s="16"/>
      <c r="W733" s="16"/>
      <c r="X733" s="103"/>
    </row>
    <row r="734" spans="2:24" x14ac:dyDescent="0.25">
      <c r="B734" s="103"/>
      <c r="C734" s="103"/>
      <c r="D734" s="103"/>
      <c r="E734" s="103"/>
      <c r="F734" s="103"/>
      <c r="H734" s="103"/>
      <c r="I734" s="103"/>
      <c r="J734" s="103"/>
      <c r="K734" s="103"/>
      <c r="L734" s="103"/>
      <c r="N734" s="103"/>
      <c r="O734" s="103"/>
      <c r="Q734" s="16"/>
      <c r="R734" s="16"/>
      <c r="S734" s="16"/>
      <c r="T734" s="103"/>
      <c r="U734" s="16"/>
      <c r="V734" s="16"/>
      <c r="W734" s="16"/>
      <c r="X734" s="103"/>
    </row>
    <row r="735" spans="2:24" x14ac:dyDescent="0.25">
      <c r="B735" s="103"/>
      <c r="C735" s="103"/>
      <c r="D735" s="103"/>
      <c r="E735" s="103"/>
      <c r="F735" s="103"/>
      <c r="H735" s="103"/>
      <c r="I735" s="103"/>
      <c r="J735" s="103"/>
      <c r="K735" s="103"/>
      <c r="L735" s="103"/>
      <c r="N735" s="103"/>
      <c r="O735" s="103"/>
      <c r="Q735" s="16"/>
      <c r="R735" s="16"/>
      <c r="S735" s="16"/>
      <c r="T735" s="103"/>
      <c r="U735" s="16"/>
      <c r="V735" s="16"/>
      <c r="W735" s="16"/>
      <c r="X735" s="103"/>
    </row>
    <row r="736" spans="2:24" x14ac:dyDescent="0.25">
      <c r="B736" s="103"/>
      <c r="C736" s="103"/>
      <c r="D736" s="103"/>
      <c r="E736" s="103"/>
      <c r="F736" s="103"/>
      <c r="H736" s="103"/>
      <c r="I736" s="103"/>
      <c r="J736" s="103"/>
      <c r="K736" s="103"/>
      <c r="L736" s="103"/>
      <c r="N736" s="103"/>
      <c r="O736" s="103"/>
      <c r="Q736" s="16"/>
      <c r="R736" s="16"/>
      <c r="S736" s="16"/>
      <c r="T736" s="103"/>
      <c r="U736" s="16"/>
      <c r="V736" s="16"/>
      <c r="W736" s="16"/>
      <c r="X736" s="103"/>
    </row>
    <row r="737" spans="2:24" x14ac:dyDescent="0.25">
      <c r="B737" s="103"/>
      <c r="C737" s="103"/>
      <c r="D737" s="103"/>
      <c r="E737" s="103"/>
      <c r="F737" s="103"/>
      <c r="H737" s="103"/>
      <c r="I737" s="103"/>
      <c r="J737" s="103"/>
      <c r="K737" s="103"/>
      <c r="L737" s="103"/>
      <c r="N737" s="103"/>
      <c r="O737" s="103"/>
      <c r="Q737" s="16"/>
      <c r="R737" s="16"/>
      <c r="S737" s="16"/>
      <c r="T737" s="103"/>
      <c r="U737" s="16"/>
      <c r="V737" s="16"/>
      <c r="W737" s="16"/>
      <c r="X737" s="103"/>
    </row>
    <row r="738" spans="2:24" x14ac:dyDescent="0.25">
      <c r="B738" s="103"/>
      <c r="C738" s="103"/>
      <c r="D738" s="103"/>
      <c r="E738" s="103"/>
      <c r="F738" s="103"/>
      <c r="H738" s="103"/>
      <c r="I738" s="103"/>
      <c r="J738" s="103"/>
      <c r="K738" s="103"/>
      <c r="L738" s="103"/>
      <c r="N738" s="103"/>
      <c r="O738" s="103"/>
      <c r="Q738" s="16"/>
      <c r="R738" s="16"/>
      <c r="S738" s="16"/>
      <c r="T738" s="103"/>
      <c r="U738" s="16"/>
      <c r="V738" s="16"/>
      <c r="W738" s="16"/>
      <c r="X738" s="103"/>
    </row>
    <row r="739" spans="2:24" x14ac:dyDescent="0.25">
      <c r="B739" s="103"/>
      <c r="C739" s="103"/>
      <c r="D739" s="103"/>
      <c r="E739" s="103"/>
      <c r="F739" s="103"/>
      <c r="H739" s="103"/>
      <c r="I739" s="103"/>
      <c r="J739" s="103"/>
      <c r="K739" s="103"/>
      <c r="L739" s="103"/>
      <c r="N739" s="103"/>
      <c r="O739" s="103"/>
      <c r="Q739" s="16"/>
      <c r="R739" s="16"/>
      <c r="S739" s="16"/>
      <c r="T739" s="103"/>
      <c r="U739" s="16"/>
      <c r="V739" s="16"/>
      <c r="W739" s="16"/>
      <c r="X739" s="103"/>
    </row>
    <row r="740" spans="2:24" x14ac:dyDescent="0.25">
      <c r="B740" s="103"/>
      <c r="C740" s="103"/>
      <c r="D740" s="103"/>
      <c r="E740" s="103"/>
      <c r="F740" s="103"/>
      <c r="H740" s="103"/>
      <c r="I740" s="103"/>
      <c r="J740" s="103"/>
      <c r="K740" s="103"/>
      <c r="L740" s="103"/>
      <c r="N740" s="103"/>
      <c r="O740" s="103"/>
      <c r="Q740" s="16"/>
      <c r="R740" s="16"/>
      <c r="S740" s="16"/>
      <c r="T740" s="103"/>
      <c r="U740" s="16"/>
      <c r="V740" s="16"/>
      <c r="W740" s="16"/>
      <c r="X740" s="103"/>
    </row>
    <row r="741" spans="2:24" x14ac:dyDescent="0.25">
      <c r="B741" s="103"/>
      <c r="C741" s="103"/>
      <c r="D741" s="103"/>
      <c r="E741" s="103"/>
      <c r="F741" s="103"/>
      <c r="H741" s="103"/>
      <c r="I741" s="103"/>
      <c r="J741" s="103"/>
      <c r="K741" s="103"/>
      <c r="L741" s="103"/>
      <c r="N741" s="103"/>
      <c r="O741" s="103"/>
      <c r="Q741" s="16"/>
      <c r="R741" s="16"/>
      <c r="S741" s="16"/>
      <c r="T741" s="103"/>
      <c r="U741" s="16"/>
      <c r="V741" s="16"/>
      <c r="W741" s="16"/>
      <c r="X741" s="103"/>
    </row>
    <row r="742" spans="2:24" x14ac:dyDescent="0.25">
      <c r="B742" s="103"/>
      <c r="C742" s="103"/>
      <c r="D742" s="103"/>
      <c r="E742" s="103"/>
      <c r="F742" s="103"/>
      <c r="H742" s="103"/>
      <c r="I742" s="103"/>
      <c r="J742" s="103"/>
      <c r="K742" s="103"/>
      <c r="L742" s="103"/>
      <c r="N742" s="103"/>
      <c r="O742" s="103"/>
      <c r="Q742" s="16"/>
      <c r="R742" s="16"/>
      <c r="S742" s="16"/>
      <c r="T742" s="103"/>
      <c r="U742" s="16"/>
      <c r="V742" s="16"/>
      <c r="W742" s="16"/>
      <c r="X742" s="103"/>
    </row>
    <row r="743" spans="2:24" x14ac:dyDescent="0.25">
      <c r="B743" s="103"/>
      <c r="C743" s="103"/>
      <c r="D743" s="103"/>
      <c r="E743" s="103"/>
      <c r="F743" s="103"/>
      <c r="H743" s="103"/>
      <c r="I743" s="103"/>
      <c r="J743" s="103"/>
      <c r="K743" s="103"/>
      <c r="L743" s="103"/>
      <c r="N743" s="103"/>
      <c r="O743" s="103"/>
      <c r="Q743" s="16"/>
      <c r="R743" s="16"/>
      <c r="S743" s="16"/>
      <c r="T743" s="103"/>
      <c r="U743" s="16"/>
      <c r="V743" s="16"/>
      <c r="W743" s="16"/>
      <c r="X743" s="103"/>
    </row>
    <row r="744" spans="2:24" x14ac:dyDescent="0.25">
      <c r="B744" s="103"/>
      <c r="C744" s="103"/>
      <c r="D744" s="103"/>
      <c r="E744" s="103"/>
      <c r="F744" s="103"/>
      <c r="H744" s="103"/>
      <c r="I744" s="103"/>
      <c r="J744" s="103"/>
      <c r="K744" s="103"/>
      <c r="L744" s="103"/>
      <c r="N744" s="103"/>
      <c r="O744" s="103"/>
      <c r="Q744" s="16"/>
      <c r="R744" s="16"/>
      <c r="S744" s="16"/>
      <c r="T744" s="103"/>
      <c r="U744" s="16"/>
      <c r="V744" s="16"/>
      <c r="W744" s="16"/>
      <c r="X744" s="103"/>
    </row>
    <row r="745" spans="2:24" x14ac:dyDescent="0.25">
      <c r="B745" s="103"/>
      <c r="C745" s="103"/>
      <c r="D745" s="103"/>
      <c r="E745" s="103"/>
      <c r="F745" s="103"/>
      <c r="H745" s="103"/>
      <c r="I745" s="103"/>
      <c r="J745" s="103"/>
      <c r="K745" s="103"/>
      <c r="L745" s="103"/>
      <c r="N745" s="103"/>
      <c r="O745" s="103"/>
      <c r="Q745" s="16"/>
      <c r="R745" s="16"/>
      <c r="S745" s="16"/>
      <c r="T745" s="103"/>
      <c r="U745" s="16"/>
      <c r="V745" s="16"/>
      <c r="W745" s="16"/>
      <c r="X745" s="103"/>
    </row>
    <row r="746" spans="2:24" x14ac:dyDescent="0.25">
      <c r="B746" s="103"/>
      <c r="C746" s="103"/>
      <c r="D746" s="103"/>
      <c r="E746" s="103"/>
      <c r="F746" s="103"/>
      <c r="H746" s="103"/>
      <c r="I746" s="103"/>
      <c r="J746" s="103"/>
      <c r="K746" s="103"/>
      <c r="L746" s="103"/>
      <c r="N746" s="103"/>
      <c r="O746" s="103"/>
      <c r="Q746" s="16"/>
      <c r="R746" s="16"/>
      <c r="S746" s="16"/>
      <c r="T746" s="103"/>
      <c r="U746" s="16"/>
      <c r="V746" s="16"/>
      <c r="W746" s="16"/>
      <c r="X746" s="103"/>
    </row>
    <row r="747" spans="2:24" x14ac:dyDescent="0.25">
      <c r="B747" s="103"/>
      <c r="C747" s="103"/>
      <c r="D747" s="103"/>
      <c r="E747" s="103"/>
      <c r="F747" s="103"/>
      <c r="H747" s="103"/>
      <c r="I747" s="103"/>
      <c r="J747" s="103"/>
      <c r="K747" s="103"/>
      <c r="L747" s="103"/>
      <c r="N747" s="103"/>
      <c r="O747" s="103"/>
      <c r="Q747" s="16"/>
      <c r="R747" s="16"/>
      <c r="S747" s="16"/>
      <c r="T747" s="103"/>
      <c r="U747" s="16"/>
      <c r="V747" s="16"/>
      <c r="W747" s="16"/>
      <c r="X747" s="103"/>
    </row>
    <row r="748" spans="2:24" x14ac:dyDescent="0.25">
      <c r="B748" s="103"/>
      <c r="C748" s="103"/>
      <c r="D748" s="103"/>
      <c r="E748" s="103"/>
      <c r="F748" s="103"/>
      <c r="H748" s="103"/>
      <c r="I748" s="103"/>
      <c r="J748" s="103"/>
      <c r="K748" s="103"/>
      <c r="L748" s="103"/>
      <c r="N748" s="103"/>
      <c r="O748" s="103"/>
      <c r="Q748" s="16"/>
      <c r="R748" s="16"/>
      <c r="S748" s="16"/>
      <c r="T748" s="103"/>
      <c r="U748" s="16"/>
      <c r="V748" s="16"/>
      <c r="W748" s="16"/>
      <c r="X748" s="103"/>
    </row>
    <row r="749" spans="2:24" x14ac:dyDescent="0.25">
      <c r="B749" s="103"/>
      <c r="C749" s="103"/>
      <c r="D749" s="103"/>
      <c r="E749" s="103"/>
      <c r="F749" s="103"/>
      <c r="H749" s="103"/>
      <c r="I749" s="103"/>
      <c r="J749" s="103"/>
      <c r="K749" s="103"/>
      <c r="L749" s="103"/>
      <c r="N749" s="103"/>
      <c r="O749" s="103"/>
      <c r="Q749" s="16"/>
      <c r="R749" s="16"/>
      <c r="S749" s="16"/>
      <c r="T749" s="103"/>
      <c r="U749" s="16"/>
      <c r="V749" s="16"/>
      <c r="W749" s="16"/>
      <c r="X749" s="103"/>
    </row>
    <row r="750" spans="2:24" x14ac:dyDescent="0.25">
      <c r="B750" s="103"/>
      <c r="C750" s="103"/>
      <c r="D750" s="103"/>
      <c r="E750" s="103"/>
      <c r="F750" s="103"/>
      <c r="H750" s="103"/>
      <c r="I750" s="103"/>
      <c r="J750" s="103"/>
      <c r="K750" s="103"/>
      <c r="L750" s="103"/>
      <c r="N750" s="103"/>
      <c r="O750" s="103"/>
      <c r="Q750" s="16"/>
      <c r="R750" s="16"/>
      <c r="S750" s="16"/>
      <c r="T750" s="103"/>
      <c r="U750" s="16"/>
      <c r="V750" s="16"/>
      <c r="W750" s="16"/>
      <c r="X750" s="103"/>
    </row>
    <row r="751" spans="2:24" x14ac:dyDescent="0.25">
      <c r="B751" s="103"/>
      <c r="C751" s="103"/>
      <c r="D751" s="103"/>
      <c r="E751" s="103"/>
      <c r="F751" s="103"/>
      <c r="H751" s="103"/>
      <c r="I751" s="103"/>
      <c r="J751" s="103"/>
      <c r="K751" s="103"/>
      <c r="L751" s="103"/>
      <c r="N751" s="103"/>
      <c r="O751" s="103"/>
      <c r="Q751" s="16"/>
      <c r="R751" s="16"/>
      <c r="S751" s="16"/>
      <c r="T751" s="103"/>
      <c r="U751" s="16"/>
      <c r="V751" s="16"/>
      <c r="W751" s="16"/>
      <c r="X751" s="103"/>
    </row>
    <row r="752" spans="2:24" x14ac:dyDescent="0.25">
      <c r="B752" s="103"/>
      <c r="C752" s="103"/>
      <c r="D752" s="103"/>
      <c r="E752" s="103"/>
      <c r="F752" s="103"/>
      <c r="H752" s="103"/>
      <c r="I752" s="103"/>
      <c r="J752" s="103"/>
      <c r="K752" s="103"/>
      <c r="L752" s="103"/>
      <c r="N752" s="103"/>
      <c r="O752" s="103"/>
      <c r="Q752" s="16"/>
      <c r="R752" s="16"/>
      <c r="S752" s="16"/>
      <c r="T752" s="103"/>
      <c r="U752" s="16"/>
      <c r="V752" s="16"/>
      <c r="W752" s="16"/>
      <c r="X752" s="103"/>
    </row>
    <row r="753" spans="2:24" x14ac:dyDescent="0.25">
      <c r="B753" s="103"/>
      <c r="C753" s="103"/>
      <c r="D753" s="103"/>
      <c r="E753" s="103"/>
      <c r="F753" s="103"/>
      <c r="H753" s="103"/>
      <c r="I753" s="103"/>
      <c r="J753" s="103"/>
      <c r="K753" s="103"/>
      <c r="L753" s="103"/>
      <c r="N753" s="103"/>
      <c r="O753" s="103"/>
      <c r="Q753" s="16"/>
      <c r="R753" s="16"/>
      <c r="S753" s="16"/>
      <c r="T753" s="103"/>
      <c r="U753" s="16"/>
      <c r="V753" s="16"/>
      <c r="W753" s="16"/>
      <c r="X753" s="103"/>
    </row>
    <row r="754" spans="2:24" x14ac:dyDescent="0.25">
      <c r="B754" s="103"/>
      <c r="C754" s="103"/>
      <c r="D754" s="103"/>
      <c r="E754" s="103"/>
      <c r="F754" s="103"/>
      <c r="H754" s="103"/>
      <c r="I754" s="103"/>
      <c r="J754" s="103"/>
      <c r="K754" s="103"/>
      <c r="L754" s="103"/>
      <c r="N754" s="103"/>
      <c r="O754" s="103"/>
      <c r="Q754" s="16"/>
      <c r="R754" s="16"/>
      <c r="S754" s="16"/>
      <c r="T754" s="103"/>
      <c r="U754" s="16"/>
      <c r="V754" s="16"/>
      <c r="W754" s="16"/>
      <c r="X754" s="103"/>
    </row>
    <row r="755" spans="2:24" x14ac:dyDescent="0.25">
      <c r="B755" s="103"/>
      <c r="C755" s="103"/>
      <c r="D755" s="103"/>
      <c r="E755" s="103"/>
      <c r="F755" s="103"/>
      <c r="H755" s="103"/>
      <c r="I755" s="103"/>
      <c r="J755" s="103"/>
      <c r="K755" s="103"/>
      <c r="L755" s="103"/>
      <c r="N755" s="103"/>
      <c r="O755" s="103"/>
      <c r="Q755" s="16"/>
      <c r="R755" s="16"/>
      <c r="S755" s="16"/>
      <c r="T755" s="103"/>
      <c r="U755" s="16"/>
      <c r="V755" s="16"/>
      <c r="W755" s="16"/>
      <c r="X755" s="103"/>
    </row>
    <row r="756" spans="2:24" x14ac:dyDescent="0.25">
      <c r="B756" s="103"/>
      <c r="C756" s="103"/>
      <c r="D756" s="103"/>
      <c r="E756" s="103"/>
      <c r="F756" s="103"/>
      <c r="H756" s="103"/>
      <c r="I756" s="103"/>
      <c r="J756" s="103"/>
      <c r="K756" s="103"/>
      <c r="L756" s="103"/>
      <c r="N756" s="103"/>
      <c r="O756" s="103"/>
      <c r="Q756" s="16"/>
      <c r="R756" s="16"/>
      <c r="S756" s="16"/>
      <c r="T756" s="103"/>
      <c r="U756" s="16"/>
      <c r="V756" s="16"/>
      <c r="W756" s="16"/>
      <c r="X756" s="103"/>
    </row>
    <row r="757" spans="2:24" x14ac:dyDescent="0.25">
      <c r="B757" s="103"/>
      <c r="C757" s="103"/>
      <c r="D757" s="103"/>
      <c r="E757" s="103"/>
      <c r="F757" s="103"/>
      <c r="H757" s="103"/>
      <c r="I757" s="103"/>
      <c r="J757" s="103"/>
      <c r="K757" s="103"/>
      <c r="L757" s="103"/>
      <c r="N757" s="103"/>
      <c r="O757" s="103"/>
      <c r="Q757" s="16"/>
      <c r="R757" s="16"/>
      <c r="S757" s="16"/>
      <c r="T757" s="103"/>
      <c r="U757" s="16"/>
      <c r="V757" s="16"/>
      <c r="W757" s="16"/>
      <c r="X757" s="103"/>
    </row>
    <row r="758" spans="2:24" x14ac:dyDescent="0.25">
      <c r="B758" s="103"/>
      <c r="C758" s="103"/>
      <c r="D758" s="103"/>
      <c r="E758" s="103"/>
      <c r="F758" s="103"/>
      <c r="H758" s="103"/>
      <c r="I758" s="103"/>
      <c r="J758" s="103"/>
      <c r="K758" s="103"/>
      <c r="L758" s="103"/>
      <c r="N758" s="103"/>
      <c r="O758" s="103"/>
      <c r="Q758" s="16"/>
      <c r="R758" s="16"/>
      <c r="S758" s="16"/>
      <c r="T758" s="103"/>
      <c r="U758" s="16"/>
      <c r="V758" s="16"/>
      <c r="W758" s="16"/>
      <c r="X758" s="103"/>
    </row>
    <row r="759" spans="2:24" x14ac:dyDescent="0.25">
      <c r="B759" s="103"/>
      <c r="C759" s="103"/>
      <c r="D759" s="103"/>
      <c r="E759" s="103"/>
      <c r="F759" s="103"/>
      <c r="H759" s="103"/>
      <c r="I759" s="103"/>
      <c r="J759" s="103"/>
      <c r="K759" s="103"/>
      <c r="L759" s="103"/>
      <c r="N759" s="103"/>
      <c r="O759" s="103"/>
      <c r="Q759" s="16"/>
      <c r="R759" s="16"/>
      <c r="S759" s="16"/>
      <c r="T759" s="103"/>
      <c r="U759" s="16"/>
      <c r="V759" s="16"/>
      <c r="W759" s="16"/>
      <c r="X759" s="103"/>
    </row>
    <row r="760" spans="2:24" x14ac:dyDescent="0.25">
      <c r="B760" s="103"/>
      <c r="C760" s="103"/>
      <c r="D760" s="103"/>
      <c r="E760" s="103"/>
      <c r="F760" s="103"/>
      <c r="H760" s="103"/>
      <c r="I760" s="103"/>
      <c r="J760" s="103"/>
      <c r="K760" s="103"/>
      <c r="L760" s="103"/>
      <c r="N760" s="103"/>
      <c r="O760" s="103"/>
      <c r="Q760" s="16"/>
      <c r="R760" s="16"/>
      <c r="S760" s="16"/>
      <c r="T760" s="103"/>
      <c r="U760" s="16"/>
      <c r="V760" s="16"/>
      <c r="W760" s="16"/>
      <c r="X760" s="103"/>
    </row>
    <row r="761" spans="2:24" x14ac:dyDescent="0.25">
      <c r="B761" s="103"/>
      <c r="C761" s="103"/>
      <c r="D761" s="103"/>
      <c r="E761" s="103"/>
      <c r="F761" s="103"/>
      <c r="H761" s="103"/>
      <c r="I761" s="103"/>
      <c r="J761" s="103"/>
      <c r="K761" s="103"/>
      <c r="L761" s="103"/>
      <c r="N761" s="103"/>
      <c r="O761" s="103"/>
      <c r="Q761" s="16"/>
      <c r="R761" s="16"/>
      <c r="S761" s="16"/>
      <c r="T761" s="103"/>
      <c r="U761" s="16"/>
      <c r="V761" s="16"/>
      <c r="W761" s="16"/>
      <c r="X761" s="103"/>
    </row>
    <row r="762" spans="2:24" x14ac:dyDescent="0.25">
      <c r="B762" s="103"/>
      <c r="C762" s="103"/>
      <c r="D762" s="103"/>
      <c r="E762" s="103"/>
      <c r="F762" s="103"/>
      <c r="H762" s="103"/>
      <c r="I762" s="103"/>
      <c r="J762" s="103"/>
      <c r="K762" s="103"/>
      <c r="L762" s="103"/>
      <c r="N762" s="103"/>
      <c r="O762" s="103"/>
      <c r="Q762" s="16"/>
      <c r="R762" s="16"/>
      <c r="S762" s="16"/>
      <c r="T762" s="103"/>
      <c r="U762" s="16"/>
      <c r="V762" s="16"/>
      <c r="W762" s="16"/>
      <c r="X762" s="103"/>
    </row>
    <row r="763" spans="2:24" x14ac:dyDescent="0.25">
      <c r="B763" s="103"/>
      <c r="C763" s="103"/>
      <c r="D763" s="103"/>
      <c r="E763" s="103"/>
      <c r="F763" s="103"/>
      <c r="H763" s="103"/>
      <c r="I763" s="103"/>
      <c r="J763" s="103"/>
      <c r="K763" s="103"/>
      <c r="L763" s="103"/>
      <c r="N763" s="103"/>
      <c r="O763" s="103"/>
      <c r="Q763" s="16"/>
      <c r="R763" s="16"/>
      <c r="S763" s="16"/>
      <c r="T763" s="103"/>
      <c r="U763" s="16"/>
      <c r="V763" s="16"/>
      <c r="W763" s="16"/>
      <c r="X763" s="103"/>
    </row>
    <row r="764" spans="2:24" x14ac:dyDescent="0.25">
      <c r="B764" s="103"/>
      <c r="C764" s="103"/>
      <c r="D764" s="103"/>
      <c r="E764" s="103"/>
      <c r="F764" s="103"/>
      <c r="H764" s="103"/>
      <c r="I764" s="103"/>
      <c r="J764" s="103"/>
      <c r="K764" s="103"/>
      <c r="L764" s="103"/>
      <c r="N764" s="103"/>
      <c r="O764" s="103"/>
      <c r="Q764" s="16"/>
      <c r="R764" s="16"/>
      <c r="S764" s="16"/>
      <c r="T764" s="103"/>
      <c r="U764" s="16"/>
      <c r="V764" s="16"/>
      <c r="W764" s="16"/>
      <c r="X764" s="103"/>
    </row>
    <row r="765" spans="2:24" x14ac:dyDescent="0.25">
      <c r="B765" s="103"/>
      <c r="C765" s="103"/>
      <c r="D765" s="103"/>
      <c r="E765" s="103"/>
      <c r="F765" s="103"/>
      <c r="H765" s="103"/>
      <c r="I765" s="103"/>
      <c r="J765" s="103"/>
      <c r="K765" s="103"/>
      <c r="L765" s="103"/>
      <c r="N765" s="103"/>
      <c r="O765" s="103"/>
      <c r="Q765" s="16"/>
      <c r="R765" s="16"/>
      <c r="S765" s="16"/>
      <c r="T765" s="103"/>
      <c r="U765" s="16"/>
      <c r="V765" s="16"/>
      <c r="W765" s="16"/>
      <c r="X765" s="103"/>
    </row>
    <row r="766" spans="2:24" x14ac:dyDescent="0.25">
      <c r="B766" s="103"/>
      <c r="C766" s="103"/>
      <c r="D766" s="103"/>
      <c r="E766" s="103"/>
      <c r="F766" s="103"/>
      <c r="H766" s="103"/>
      <c r="I766" s="103"/>
      <c r="J766" s="103"/>
      <c r="K766" s="103"/>
      <c r="L766" s="103"/>
      <c r="N766" s="103"/>
      <c r="O766" s="103"/>
      <c r="Q766" s="16"/>
      <c r="R766" s="16"/>
      <c r="S766" s="16"/>
      <c r="T766" s="103"/>
      <c r="U766" s="16"/>
      <c r="V766" s="16"/>
      <c r="W766" s="16"/>
      <c r="X766" s="103"/>
    </row>
    <row r="767" spans="2:24" x14ac:dyDescent="0.25">
      <c r="B767" s="103"/>
      <c r="C767" s="103"/>
      <c r="D767" s="103"/>
      <c r="E767" s="103"/>
      <c r="F767" s="103"/>
      <c r="H767" s="103"/>
      <c r="I767" s="103"/>
      <c r="J767" s="103"/>
      <c r="K767" s="103"/>
      <c r="L767" s="103"/>
      <c r="N767" s="103"/>
      <c r="O767" s="103"/>
      <c r="Q767" s="16"/>
      <c r="R767" s="16"/>
      <c r="S767" s="16"/>
      <c r="T767" s="103"/>
      <c r="U767" s="16"/>
      <c r="V767" s="16"/>
      <c r="W767" s="16"/>
      <c r="X767" s="103"/>
    </row>
    <row r="768" spans="2:24" x14ac:dyDescent="0.25">
      <c r="B768" s="103"/>
      <c r="C768" s="103"/>
      <c r="D768" s="103"/>
      <c r="E768" s="103"/>
      <c r="F768" s="103"/>
      <c r="H768" s="103"/>
      <c r="I768" s="103"/>
      <c r="J768" s="103"/>
      <c r="K768" s="103"/>
      <c r="L768" s="103"/>
      <c r="N768" s="103"/>
      <c r="O768" s="103"/>
      <c r="Q768" s="16"/>
      <c r="R768" s="16"/>
      <c r="S768" s="16"/>
      <c r="T768" s="103"/>
      <c r="U768" s="16"/>
      <c r="V768" s="16"/>
      <c r="W768" s="16"/>
      <c r="X768" s="103"/>
    </row>
    <row r="769" spans="2:24" x14ac:dyDescent="0.25">
      <c r="B769" s="103"/>
      <c r="C769" s="103"/>
      <c r="D769" s="103"/>
      <c r="E769" s="103"/>
      <c r="F769" s="103"/>
      <c r="H769" s="103"/>
      <c r="I769" s="103"/>
      <c r="J769" s="103"/>
      <c r="K769" s="103"/>
      <c r="L769" s="103"/>
      <c r="N769" s="103"/>
      <c r="O769" s="103"/>
      <c r="Q769" s="16"/>
      <c r="R769" s="16"/>
      <c r="S769" s="16"/>
      <c r="T769" s="103"/>
      <c r="U769" s="16"/>
      <c r="V769" s="16"/>
      <c r="W769" s="16"/>
      <c r="X769" s="103"/>
    </row>
    <row r="770" spans="2:24" x14ac:dyDescent="0.25">
      <c r="B770" s="103"/>
      <c r="C770" s="103"/>
      <c r="D770" s="103"/>
      <c r="E770" s="103"/>
      <c r="F770" s="103"/>
      <c r="H770" s="103"/>
      <c r="I770" s="103"/>
      <c r="J770" s="103"/>
      <c r="K770" s="103"/>
      <c r="L770" s="103"/>
      <c r="N770" s="103"/>
      <c r="O770" s="103"/>
      <c r="Q770" s="16"/>
      <c r="R770" s="16"/>
      <c r="S770" s="16"/>
      <c r="T770" s="103"/>
      <c r="U770" s="16"/>
      <c r="V770" s="16"/>
      <c r="W770" s="16"/>
      <c r="X770" s="103"/>
    </row>
    <row r="771" spans="2:24" x14ac:dyDescent="0.25">
      <c r="B771" s="103"/>
      <c r="C771" s="103"/>
      <c r="D771" s="103"/>
      <c r="E771" s="103"/>
      <c r="F771" s="103"/>
      <c r="H771" s="103"/>
      <c r="I771" s="103"/>
      <c r="J771" s="103"/>
      <c r="K771" s="103"/>
      <c r="L771" s="103"/>
      <c r="N771" s="103"/>
      <c r="O771" s="103"/>
      <c r="Q771" s="16"/>
      <c r="R771" s="16"/>
      <c r="S771" s="16"/>
      <c r="T771" s="103"/>
      <c r="U771" s="16"/>
      <c r="V771" s="16"/>
      <c r="W771" s="16"/>
      <c r="X771" s="103"/>
    </row>
    <row r="772" spans="2:24" x14ac:dyDescent="0.25">
      <c r="B772" s="103"/>
      <c r="C772" s="103"/>
      <c r="D772" s="103"/>
      <c r="E772" s="103"/>
      <c r="F772" s="103"/>
      <c r="H772" s="103"/>
      <c r="I772" s="103"/>
      <c r="J772" s="103"/>
      <c r="K772" s="103"/>
      <c r="L772" s="103"/>
      <c r="N772" s="103"/>
      <c r="O772" s="103"/>
      <c r="Q772" s="16"/>
      <c r="R772" s="16"/>
      <c r="S772" s="16"/>
      <c r="T772" s="103"/>
      <c r="U772" s="16"/>
      <c r="V772" s="16"/>
      <c r="W772" s="16"/>
      <c r="X772" s="103"/>
    </row>
    <row r="773" spans="2:24" x14ac:dyDescent="0.25">
      <c r="B773" s="103"/>
      <c r="C773" s="103"/>
      <c r="D773" s="103"/>
      <c r="E773" s="103"/>
      <c r="F773" s="103"/>
      <c r="H773" s="103"/>
      <c r="I773" s="103"/>
      <c r="J773" s="103"/>
      <c r="K773" s="103"/>
      <c r="L773" s="103"/>
      <c r="N773" s="103"/>
      <c r="O773" s="103"/>
      <c r="Q773" s="16"/>
      <c r="R773" s="16"/>
      <c r="S773" s="16"/>
      <c r="T773" s="103"/>
      <c r="U773" s="16"/>
      <c r="V773" s="16"/>
      <c r="W773" s="16"/>
      <c r="X773" s="103"/>
    </row>
    <row r="774" spans="2:24" x14ac:dyDescent="0.25">
      <c r="B774" s="103"/>
      <c r="C774" s="103"/>
      <c r="D774" s="103"/>
      <c r="E774" s="103"/>
      <c r="F774" s="103"/>
      <c r="H774" s="103"/>
      <c r="I774" s="103"/>
      <c r="J774" s="103"/>
      <c r="K774" s="103"/>
      <c r="L774" s="103"/>
      <c r="N774" s="103"/>
      <c r="O774" s="103"/>
      <c r="Q774" s="16"/>
      <c r="R774" s="16"/>
      <c r="S774" s="16"/>
      <c r="T774" s="103"/>
      <c r="U774" s="16"/>
      <c r="V774" s="16"/>
      <c r="W774" s="16"/>
      <c r="X774" s="103"/>
    </row>
    <row r="775" spans="2:24" x14ac:dyDescent="0.25">
      <c r="B775" s="103"/>
      <c r="C775" s="103"/>
      <c r="D775" s="103"/>
      <c r="E775" s="103"/>
      <c r="F775" s="103"/>
      <c r="H775" s="103"/>
      <c r="I775" s="103"/>
      <c r="J775" s="103"/>
      <c r="K775" s="103"/>
      <c r="L775" s="103"/>
      <c r="N775" s="103"/>
      <c r="O775" s="103"/>
      <c r="Q775" s="16"/>
      <c r="R775" s="16"/>
      <c r="S775" s="16"/>
      <c r="T775" s="103"/>
      <c r="U775" s="16"/>
      <c r="V775" s="16"/>
      <c r="W775" s="16"/>
      <c r="X775" s="103"/>
    </row>
    <row r="776" spans="2:24" x14ac:dyDescent="0.25">
      <c r="B776" s="103"/>
      <c r="C776" s="103"/>
      <c r="D776" s="103"/>
      <c r="E776" s="103"/>
      <c r="F776" s="103"/>
      <c r="H776" s="103"/>
      <c r="I776" s="103"/>
      <c r="J776" s="103"/>
      <c r="K776" s="103"/>
      <c r="L776" s="103"/>
      <c r="N776" s="103"/>
      <c r="O776" s="103"/>
      <c r="Q776" s="16"/>
      <c r="R776" s="16"/>
      <c r="S776" s="16"/>
      <c r="T776" s="103"/>
      <c r="U776" s="16"/>
      <c r="V776" s="16"/>
      <c r="W776" s="16"/>
      <c r="X776" s="103"/>
    </row>
    <row r="777" spans="2:24" x14ac:dyDescent="0.25">
      <c r="B777" s="103"/>
      <c r="C777" s="103"/>
      <c r="D777" s="103"/>
      <c r="E777" s="103"/>
      <c r="F777" s="103"/>
      <c r="H777" s="103"/>
      <c r="I777" s="103"/>
      <c r="J777" s="103"/>
      <c r="K777" s="103"/>
      <c r="L777" s="103"/>
      <c r="N777" s="103"/>
      <c r="O777" s="103"/>
      <c r="Q777" s="16"/>
      <c r="R777" s="16"/>
      <c r="S777" s="16"/>
      <c r="T777" s="103"/>
      <c r="U777" s="16"/>
      <c r="V777" s="16"/>
      <c r="W777" s="16"/>
      <c r="X777" s="103"/>
    </row>
    <row r="778" spans="2:24" x14ac:dyDescent="0.25">
      <c r="B778" s="103"/>
      <c r="C778" s="103"/>
      <c r="D778" s="103"/>
      <c r="E778" s="103"/>
      <c r="F778" s="103"/>
      <c r="H778" s="103"/>
      <c r="I778" s="103"/>
      <c r="J778" s="103"/>
      <c r="K778" s="103"/>
      <c r="L778" s="103"/>
      <c r="N778" s="103"/>
      <c r="O778" s="103"/>
      <c r="Q778" s="16"/>
      <c r="R778" s="16"/>
      <c r="S778" s="16"/>
      <c r="T778" s="103"/>
      <c r="U778" s="16"/>
      <c r="V778" s="16"/>
      <c r="W778" s="16"/>
      <c r="X778" s="103"/>
    </row>
    <row r="779" spans="2:24" x14ac:dyDescent="0.25">
      <c r="B779" s="103"/>
      <c r="C779" s="103"/>
      <c r="D779" s="103"/>
      <c r="E779" s="103"/>
      <c r="F779" s="103"/>
      <c r="H779" s="103"/>
      <c r="I779" s="103"/>
      <c r="J779" s="103"/>
      <c r="K779" s="103"/>
      <c r="L779" s="103"/>
      <c r="N779" s="103"/>
      <c r="O779" s="103"/>
      <c r="Q779" s="16"/>
      <c r="R779" s="16"/>
      <c r="S779" s="16"/>
      <c r="T779" s="103"/>
      <c r="U779" s="16"/>
      <c r="V779" s="16"/>
      <c r="W779" s="16"/>
      <c r="X779" s="103"/>
    </row>
    <row r="780" spans="2:24" x14ac:dyDescent="0.25">
      <c r="B780" s="103"/>
      <c r="C780" s="103"/>
      <c r="D780" s="103"/>
      <c r="E780" s="103"/>
      <c r="F780" s="103"/>
      <c r="H780" s="103"/>
      <c r="I780" s="103"/>
      <c r="J780" s="103"/>
      <c r="K780" s="103"/>
      <c r="L780" s="103"/>
      <c r="N780" s="103"/>
      <c r="O780" s="103"/>
      <c r="Q780" s="16"/>
      <c r="R780" s="16"/>
      <c r="S780" s="16"/>
      <c r="T780" s="103"/>
      <c r="U780" s="16"/>
      <c r="V780" s="16"/>
      <c r="W780" s="16"/>
      <c r="X780" s="103"/>
    </row>
    <row r="781" spans="2:24" x14ac:dyDescent="0.25">
      <c r="B781" s="103"/>
      <c r="C781" s="103"/>
      <c r="D781" s="103"/>
      <c r="E781" s="103"/>
      <c r="F781" s="103"/>
      <c r="H781" s="103"/>
      <c r="I781" s="103"/>
      <c r="J781" s="103"/>
      <c r="K781" s="103"/>
      <c r="L781" s="103"/>
      <c r="N781" s="103"/>
      <c r="O781" s="103"/>
      <c r="Q781" s="16"/>
      <c r="R781" s="16"/>
      <c r="S781" s="16"/>
      <c r="T781" s="103"/>
      <c r="U781" s="16"/>
      <c r="V781" s="16"/>
      <c r="W781" s="16"/>
      <c r="X781" s="103"/>
    </row>
    <row r="782" spans="2:24" x14ac:dyDescent="0.25">
      <c r="B782" s="103"/>
      <c r="C782" s="103"/>
      <c r="D782" s="103"/>
      <c r="E782" s="103"/>
      <c r="F782" s="103"/>
      <c r="H782" s="103"/>
      <c r="I782" s="103"/>
      <c r="J782" s="103"/>
      <c r="K782" s="103"/>
      <c r="L782" s="103"/>
      <c r="N782" s="103"/>
      <c r="O782" s="103"/>
      <c r="Q782" s="16"/>
      <c r="R782" s="16"/>
      <c r="S782" s="16"/>
      <c r="T782" s="103"/>
      <c r="U782" s="16"/>
      <c r="V782" s="16"/>
      <c r="W782" s="16"/>
      <c r="X782" s="103"/>
    </row>
    <row r="783" spans="2:24" x14ac:dyDescent="0.25">
      <c r="B783" s="103"/>
      <c r="C783" s="103"/>
      <c r="D783" s="103"/>
      <c r="E783" s="103"/>
      <c r="F783" s="103"/>
      <c r="H783" s="103"/>
      <c r="I783" s="103"/>
      <c r="J783" s="103"/>
      <c r="K783" s="103"/>
      <c r="L783" s="103"/>
      <c r="N783" s="103"/>
      <c r="O783" s="103"/>
      <c r="Q783" s="16"/>
      <c r="R783" s="16"/>
      <c r="S783" s="16"/>
      <c r="T783" s="103"/>
      <c r="U783" s="16"/>
      <c r="V783" s="16"/>
      <c r="W783" s="16"/>
      <c r="X783" s="103"/>
    </row>
    <row r="784" spans="2:24" x14ac:dyDescent="0.25">
      <c r="B784" s="103"/>
      <c r="C784" s="103"/>
      <c r="D784" s="103"/>
      <c r="E784" s="103"/>
      <c r="F784" s="103"/>
      <c r="H784" s="103"/>
      <c r="I784" s="103"/>
      <c r="J784" s="103"/>
      <c r="K784" s="103"/>
      <c r="L784" s="103"/>
      <c r="N784" s="103"/>
      <c r="O784" s="103"/>
      <c r="Q784" s="16"/>
      <c r="R784" s="16"/>
      <c r="S784" s="16"/>
      <c r="T784" s="103"/>
      <c r="U784" s="16"/>
      <c r="V784" s="16"/>
      <c r="W784" s="16"/>
      <c r="X784" s="103"/>
    </row>
    <row r="785" spans="2:24" x14ac:dyDescent="0.25">
      <c r="B785" s="103"/>
      <c r="C785" s="103"/>
      <c r="D785" s="103"/>
      <c r="E785" s="103"/>
      <c r="F785" s="103"/>
      <c r="H785" s="103"/>
      <c r="I785" s="103"/>
      <c r="J785" s="103"/>
      <c r="K785" s="103"/>
      <c r="L785" s="103"/>
      <c r="N785" s="103"/>
      <c r="O785" s="103"/>
      <c r="Q785" s="16"/>
      <c r="R785" s="16"/>
      <c r="S785" s="16"/>
      <c r="T785" s="103"/>
      <c r="U785" s="16"/>
      <c r="V785" s="16"/>
      <c r="W785" s="16"/>
      <c r="X785" s="103"/>
    </row>
    <row r="786" spans="2:24" x14ac:dyDescent="0.25">
      <c r="B786" s="103"/>
      <c r="C786" s="103"/>
      <c r="D786" s="103"/>
      <c r="E786" s="103"/>
      <c r="F786" s="103"/>
      <c r="H786" s="103"/>
      <c r="I786" s="103"/>
      <c r="J786" s="103"/>
      <c r="K786" s="103"/>
      <c r="L786" s="103"/>
      <c r="N786" s="103"/>
      <c r="O786" s="103"/>
      <c r="Q786" s="16"/>
      <c r="R786" s="16"/>
      <c r="S786" s="16"/>
      <c r="T786" s="103"/>
      <c r="U786" s="16"/>
      <c r="V786" s="16"/>
      <c r="W786" s="16"/>
      <c r="X786" s="103"/>
    </row>
    <row r="787" spans="2:24" x14ac:dyDescent="0.25">
      <c r="B787" s="103"/>
      <c r="C787" s="103"/>
      <c r="D787" s="103"/>
      <c r="E787" s="103"/>
      <c r="F787" s="103"/>
      <c r="H787" s="103"/>
      <c r="I787" s="103"/>
      <c r="J787" s="103"/>
      <c r="K787" s="103"/>
      <c r="L787" s="103"/>
      <c r="N787" s="103"/>
      <c r="O787" s="103"/>
      <c r="Q787" s="16"/>
      <c r="R787" s="16"/>
      <c r="S787" s="16"/>
      <c r="T787" s="103"/>
      <c r="U787" s="16"/>
      <c r="V787" s="16"/>
      <c r="W787" s="16"/>
      <c r="X787" s="103"/>
    </row>
    <row r="788" spans="2:24" x14ac:dyDescent="0.25">
      <c r="B788" s="103"/>
      <c r="C788" s="103"/>
      <c r="D788" s="103"/>
      <c r="E788" s="103"/>
      <c r="F788" s="103"/>
      <c r="H788" s="103"/>
      <c r="I788" s="103"/>
      <c r="J788" s="103"/>
      <c r="K788" s="103"/>
      <c r="L788" s="103"/>
      <c r="N788" s="103"/>
      <c r="O788" s="103"/>
      <c r="Q788" s="16"/>
      <c r="R788" s="16"/>
      <c r="S788" s="16"/>
      <c r="T788" s="103"/>
      <c r="U788" s="16"/>
      <c r="V788" s="16"/>
      <c r="W788" s="16"/>
      <c r="X788" s="103"/>
    </row>
    <row r="789" spans="2:24" x14ac:dyDescent="0.25">
      <c r="B789" s="103"/>
      <c r="C789" s="103"/>
      <c r="D789" s="103"/>
      <c r="E789" s="103"/>
      <c r="F789" s="103"/>
      <c r="H789" s="103"/>
      <c r="I789" s="103"/>
      <c r="J789" s="103"/>
      <c r="K789" s="103"/>
      <c r="L789" s="103"/>
      <c r="N789" s="103"/>
      <c r="O789" s="103"/>
      <c r="Q789" s="16"/>
      <c r="R789" s="16"/>
      <c r="S789" s="16"/>
      <c r="T789" s="103"/>
      <c r="U789" s="16"/>
      <c r="V789" s="16"/>
      <c r="W789" s="16"/>
      <c r="X789" s="103"/>
    </row>
    <row r="790" spans="2:24" x14ac:dyDescent="0.25">
      <c r="B790" s="103"/>
      <c r="C790" s="103"/>
      <c r="D790" s="103"/>
      <c r="E790" s="103"/>
      <c r="F790" s="103"/>
      <c r="H790" s="103"/>
      <c r="I790" s="103"/>
      <c r="J790" s="103"/>
      <c r="K790" s="103"/>
      <c r="L790" s="103"/>
      <c r="N790" s="103"/>
      <c r="O790" s="103"/>
      <c r="Q790" s="16"/>
      <c r="R790" s="16"/>
      <c r="S790" s="16"/>
      <c r="T790" s="103"/>
      <c r="U790" s="16"/>
      <c r="V790" s="16"/>
      <c r="W790" s="16"/>
      <c r="X790" s="103"/>
    </row>
    <row r="791" spans="2:24" x14ac:dyDescent="0.25">
      <c r="B791" s="103"/>
      <c r="C791" s="103"/>
      <c r="D791" s="103"/>
      <c r="E791" s="103"/>
      <c r="F791" s="103"/>
      <c r="H791" s="103"/>
      <c r="I791" s="103"/>
      <c r="J791" s="103"/>
      <c r="K791" s="103"/>
      <c r="L791" s="103"/>
      <c r="N791" s="103"/>
      <c r="O791" s="103"/>
      <c r="Q791" s="16"/>
      <c r="R791" s="16"/>
      <c r="S791" s="16"/>
      <c r="T791" s="103"/>
      <c r="U791" s="16"/>
      <c r="V791" s="16"/>
      <c r="W791" s="16"/>
      <c r="X791" s="103"/>
    </row>
    <row r="792" spans="2:24" x14ac:dyDescent="0.25">
      <c r="B792" s="103"/>
      <c r="C792" s="103"/>
      <c r="D792" s="103"/>
      <c r="E792" s="103"/>
      <c r="F792" s="103"/>
      <c r="H792" s="103"/>
      <c r="I792" s="103"/>
      <c r="J792" s="103"/>
      <c r="K792" s="103"/>
      <c r="L792" s="103"/>
      <c r="N792" s="103"/>
      <c r="O792" s="103"/>
      <c r="Q792" s="16"/>
      <c r="R792" s="16"/>
      <c r="S792" s="16"/>
      <c r="T792" s="103"/>
      <c r="U792" s="16"/>
      <c r="V792" s="16"/>
      <c r="W792" s="16"/>
      <c r="X792" s="103"/>
    </row>
    <row r="793" spans="2:24" x14ac:dyDescent="0.25">
      <c r="B793" s="103"/>
      <c r="C793" s="103"/>
      <c r="D793" s="103"/>
      <c r="E793" s="103"/>
      <c r="F793" s="103"/>
      <c r="H793" s="103"/>
      <c r="I793" s="103"/>
      <c r="J793" s="103"/>
      <c r="K793" s="103"/>
      <c r="L793" s="103"/>
      <c r="N793" s="103"/>
      <c r="O793" s="103"/>
      <c r="Q793" s="16"/>
      <c r="R793" s="16"/>
      <c r="S793" s="16"/>
      <c r="T793" s="103"/>
      <c r="U793" s="16"/>
      <c r="V793" s="16"/>
      <c r="W793" s="16"/>
      <c r="X793" s="103"/>
    </row>
    <row r="794" spans="2:24" x14ac:dyDescent="0.25">
      <c r="B794" s="103"/>
      <c r="C794" s="103"/>
      <c r="D794" s="103"/>
      <c r="E794" s="103"/>
      <c r="F794" s="103"/>
      <c r="H794" s="103"/>
      <c r="I794" s="103"/>
      <c r="J794" s="103"/>
      <c r="K794" s="103"/>
      <c r="L794" s="103"/>
      <c r="N794" s="103"/>
      <c r="O794" s="103"/>
      <c r="Q794" s="16"/>
      <c r="R794" s="16"/>
      <c r="S794" s="16"/>
      <c r="T794" s="103"/>
      <c r="U794" s="16"/>
      <c r="V794" s="16"/>
      <c r="W794" s="16"/>
      <c r="X794" s="103"/>
    </row>
    <row r="795" spans="2:24" x14ac:dyDescent="0.25">
      <c r="B795" s="103"/>
      <c r="C795" s="103"/>
      <c r="D795" s="103"/>
      <c r="E795" s="103"/>
      <c r="F795" s="103"/>
      <c r="H795" s="103"/>
      <c r="I795" s="103"/>
      <c r="J795" s="103"/>
      <c r="K795" s="103"/>
      <c r="L795" s="103"/>
      <c r="N795" s="103"/>
      <c r="O795" s="103"/>
      <c r="Q795" s="16"/>
      <c r="R795" s="16"/>
      <c r="S795" s="16"/>
      <c r="T795" s="103"/>
      <c r="U795" s="16"/>
      <c r="V795" s="16"/>
      <c r="W795" s="16"/>
      <c r="X795" s="103"/>
    </row>
    <row r="796" spans="2:24" x14ac:dyDescent="0.25">
      <c r="B796" s="103"/>
      <c r="C796" s="103"/>
      <c r="D796" s="103"/>
      <c r="E796" s="103"/>
      <c r="F796" s="103"/>
      <c r="H796" s="103"/>
      <c r="I796" s="103"/>
      <c r="J796" s="103"/>
      <c r="K796" s="103"/>
      <c r="L796" s="103"/>
      <c r="N796" s="103"/>
      <c r="O796" s="103"/>
      <c r="Q796" s="16"/>
      <c r="R796" s="16"/>
      <c r="S796" s="16"/>
      <c r="T796" s="103"/>
      <c r="U796" s="16"/>
      <c r="V796" s="16"/>
      <c r="W796" s="16"/>
      <c r="X796" s="103"/>
    </row>
    <row r="797" spans="2:24" x14ac:dyDescent="0.25">
      <c r="B797" s="103"/>
      <c r="C797" s="103"/>
      <c r="D797" s="103"/>
      <c r="E797" s="103"/>
      <c r="F797" s="103"/>
      <c r="H797" s="103"/>
      <c r="I797" s="103"/>
      <c r="J797" s="103"/>
      <c r="K797" s="103"/>
      <c r="L797" s="103"/>
      <c r="N797" s="103"/>
      <c r="O797" s="103"/>
      <c r="Q797" s="16"/>
      <c r="R797" s="16"/>
      <c r="S797" s="16"/>
      <c r="T797" s="103"/>
      <c r="U797" s="16"/>
      <c r="V797" s="16"/>
      <c r="W797" s="16"/>
      <c r="X797" s="103"/>
    </row>
    <row r="798" spans="2:24" x14ac:dyDescent="0.25">
      <c r="B798" s="103"/>
      <c r="C798" s="103"/>
      <c r="D798" s="103"/>
      <c r="E798" s="103"/>
      <c r="F798" s="103"/>
      <c r="H798" s="103"/>
      <c r="I798" s="103"/>
      <c r="J798" s="103"/>
      <c r="K798" s="103"/>
      <c r="L798" s="103"/>
      <c r="N798" s="103"/>
      <c r="O798" s="103"/>
      <c r="Q798" s="16"/>
      <c r="R798" s="16"/>
      <c r="S798" s="16"/>
      <c r="T798" s="103"/>
      <c r="U798" s="16"/>
      <c r="V798" s="16"/>
      <c r="W798" s="16"/>
      <c r="X798" s="103"/>
    </row>
    <row r="799" spans="2:24" x14ac:dyDescent="0.25">
      <c r="B799" s="103"/>
      <c r="C799" s="103"/>
      <c r="D799" s="103"/>
      <c r="E799" s="103"/>
      <c r="F799" s="103"/>
      <c r="H799" s="103"/>
      <c r="I799" s="103"/>
      <c r="J799" s="103"/>
      <c r="K799" s="103"/>
      <c r="L799" s="103"/>
      <c r="N799" s="103"/>
      <c r="O799" s="103"/>
      <c r="Q799" s="16"/>
      <c r="R799" s="16"/>
      <c r="S799" s="16"/>
      <c r="T799" s="103"/>
      <c r="U799" s="16"/>
      <c r="V799" s="16"/>
      <c r="W799" s="16"/>
      <c r="X799" s="103"/>
    </row>
    <row r="800" spans="2:24" x14ac:dyDescent="0.25">
      <c r="B800" s="103"/>
      <c r="C800" s="103"/>
      <c r="D800" s="103"/>
      <c r="E800" s="103"/>
      <c r="F800" s="103"/>
      <c r="H800" s="103"/>
      <c r="I800" s="103"/>
      <c r="J800" s="103"/>
      <c r="K800" s="103"/>
      <c r="L800" s="103"/>
      <c r="N800" s="103"/>
      <c r="O800" s="103"/>
      <c r="Q800" s="16"/>
      <c r="R800" s="16"/>
      <c r="S800" s="16"/>
      <c r="T800" s="103"/>
      <c r="U800" s="16"/>
      <c r="V800" s="16"/>
      <c r="W800" s="16"/>
      <c r="X800" s="103"/>
    </row>
    <row r="801" spans="2:24" x14ac:dyDescent="0.25">
      <c r="B801" s="103"/>
      <c r="C801" s="103"/>
      <c r="D801" s="103"/>
      <c r="E801" s="103"/>
      <c r="F801" s="103"/>
      <c r="H801" s="103"/>
      <c r="I801" s="103"/>
      <c r="J801" s="103"/>
      <c r="K801" s="103"/>
      <c r="L801" s="103"/>
      <c r="N801" s="103"/>
      <c r="O801" s="103"/>
      <c r="Q801" s="16"/>
      <c r="R801" s="16"/>
      <c r="S801" s="16"/>
      <c r="T801" s="103"/>
      <c r="U801" s="16"/>
      <c r="V801" s="16"/>
      <c r="W801" s="16"/>
      <c r="X801" s="103"/>
    </row>
    <row r="802" spans="2:24" x14ac:dyDescent="0.25">
      <c r="B802" s="103"/>
      <c r="C802" s="103"/>
      <c r="D802" s="103"/>
      <c r="E802" s="103"/>
      <c r="F802" s="103"/>
      <c r="H802" s="103"/>
      <c r="I802" s="103"/>
      <c r="J802" s="103"/>
      <c r="K802" s="103"/>
      <c r="L802" s="103"/>
      <c r="N802" s="103"/>
      <c r="O802" s="103"/>
      <c r="Q802" s="16"/>
      <c r="R802" s="16"/>
      <c r="S802" s="16"/>
      <c r="T802" s="103"/>
      <c r="U802" s="16"/>
      <c r="V802" s="16"/>
      <c r="W802" s="16"/>
      <c r="X802" s="103"/>
    </row>
    <row r="803" spans="2:24" x14ac:dyDescent="0.25">
      <c r="B803" s="103"/>
      <c r="C803" s="103"/>
      <c r="D803" s="103"/>
      <c r="E803" s="103"/>
      <c r="F803" s="103"/>
      <c r="H803" s="103"/>
      <c r="I803" s="103"/>
      <c r="J803" s="103"/>
      <c r="K803" s="103"/>
      <c r="L803" s="103"/>
      <c r="N803" s="103"/>
      <c r="O803" s="103"/>
      <c r="Q803" s="16"/>
      <c r="R803" s="16"/>
      <c r="S803" s="16"/>
      <c r="T803" s="103"/>
      <c r="U803" s="16"/>
      <c r="V803" s="16"/>
      <c r="W803" s="16"/>
      <c r="X803" s="103"/>
    </row>
    <row r="804" spans="2:24" x14ac:dyDescent="0.25">
      <c r="B804" s="103"/>
      <c r="C804" s="103"/>
      <c r="D804" s="103"/>
      <c r="E804" s="103"/>
      <c r="F804" s="103"/>
      <c r="H804" s="103"/>
      <c r="I804" s="103"/>
      <c r="J804" s="103"/>
      <c r="K804" s="103"/>
      <c r="L804" s="103"/>
      <c r="N804" s="103"/>
      <c r="O804" s="103"/>
      <c r="Q804" s="16"/>
      <c r="R804" s="16"/>
      <c r="S804" s="16"/>
      <c r="T804" s="103"/>
      <c r="U804" s="16"/>
      <c r="V804" s="16"/>
      <c r="W804" s="16"/>
      <c r="X804" s="103"/>
    </row>
    <row r="805" spans="2:24" x14ac:dyDescent="0.25">
      <c r="B805" s="103"/>
      <c r="C805" s="103"/>
      <c r="D805" s="103"/>
      <c r="E805" s="103"/>
      <c r="F805" s="103"/>
      <c r="H805" s="103"/>
      <c r="I805" s="103"/>
      <c r="J805" s="103"/>
      <c r="K805" s="103"/>
      <c r="L805" s="103"/>
      <c r="N805" s="103"/>
      <c r="O805" s="103"/>
      <c r="Q805" s="16"/>
      <c r="R805" s="16"/>
      <c r="S805" s="16"/>
      <c r="T805" s="103"/>
      <c r="U805" s="16"/>
      <c r="V805" s="16"/>
      <c r="W805" s="16"/>
      <c r="X805" s="103"/>
    </row>
    <row r="806" spans="2:24" x14ac:dyDescent="0.25">
      <c r="B806" s="103"/>
      <c r="C806" s="103"/>
      <c r="D806" s="103"/>
      <c r="E806" s="103"/>
      <c r="F806" s="103"/>
      <c r="H806" s="103"/>
      <c r="I806" s="103"/>
      <c r="J806" s="103"/>
      <c r="K806" s="103"/>
      <c r="L806" s="103"/>
      <c r="N806" s="103"/>
      <c r="O806" s="103"/>
      <c r="Q806" s="16"/>
      <c r="R806" s="16"/>
      <c r="S806" s="16"/>
      <c r="T806" s="103"/>
      <c r="U806" s="16"/>
      <c r="V806" s="16"/>
      <c r="W806" s="16"/>
      <c r="X806" s="103"/>
    </row>
    <row r="807" spans="2:24" x14ac:dyDescent="0.25">
      <c r="B807" s="103"/>
      <c r="C807" s="103"/>
      <c r="D807" s="103"/>
      <c r="E807" s="103"/>
      <c r="F807" s="103"/>
      <c r="H807" s="103"/>
      <c r="I807" s="103"/>
      <c r="J807" s="103"/>
      <c r="K807" s="103"/>
      <c r="L807" s="103"/>
      <c r="N807" s="103"/>
      <c r="O807" s="103"/>
      <c r="Q807" s="16"/>
      <c r="R807" s="16"/>
      <c r="S807" s="16"/>
      <c r="T807" s="103"/>
      <c r="U807" s="16"/>
      <c r="V807" s="16"/>
      <c r="W807" s="16"/>
      <c r="X807" s="103"/>
    </row>
    <row r="808" spans="2:24" x14ac:dyDescent="0.25">
      <c r="B808" s="103"/>
      <c r="C808" s="103"/>
      <c r="D808" s="103"/>
      <c r="E808" s="103"/>
      <c r="F808" s="103"/>
      <c r="H808" s="103"/>
      <c r="I808" s="103"/>
      <c r="J808" s="103"/>
      <c r="K808" s="103"/>
      <c r="L808" s="103"/>
      <c r="N808" s="103"/>
      <c r="O808" s="103"/>
      <c r="Q808" s="16"/>
      <c r="R808" s="16"/>
      <c r="S808" s="16"/>
      <c r="T808" s="103"/>
      <c r="U808" s="16"/>
      <c r="V808" s="16"/>
      <c r="W808" s="16"/>
      <c r="X808" s="103"/>
    </row>
    <row r="809" spans="2:24" x14ac:dyDescent="0.25">
      <c r="B809" s="103"/>
      <c r="C809" s="103"/>
      <c r="D809" s="103"/>
      <c r="E809" s="103"/>
      <c r="F809" s="103"/>
      <c r="H809" s="103"/>
      <c r="I809" s="103"/>
      <c r="J809" s="103"/>
      <c r="K809" s="103"/>
      <c r="L809" s="103"/>
      <c r="N809" s="103"/>
      <c r="O809" s="103"/>
      <c r="Q809" s="16"/>
      <c r="R809" s="16"/>
      <c r="S809" s="16"/>
      <c r="T809" s="103"/>
      <c r="U809" s="16"/>
      <c r="V809" s="16"/>
      <c r="W809" s="16"/>
      <c r="X809" s="103"/>
    </row>
    <row r="810" spans="2:24" x14ac:dyDescent="0.25">
      <c r="B810" s="103"/>
      <c r="C810" s="103"/>
      <c r="D810" s="103"/>
      <c r="E810" s="103"/>
      <c r="F810" s="103"/>
      <c r="H810" s="103"/>
      <c r="I810" s="103"/>
      <c r="J810" s="103"/>
      <c r="K810" s="103"/>
      <c r="L810" s="103"/>
      <c r="N810" s="103"/>
      <c r="O810" s="103"/>
      <c r="Q810" s="16"/>
      <c r="R810" s="16"/>
      <c r="S810" s="16"/>
      <c r="T810" s="103"/>
      <c r="U810" s="16"/>
      <c r="V810" s="16"/>
      <c r="W810" s="16"/>
      <c r="X810" s="103"/>
    </row>
    <row r="811" spans="2:24" x14ac:dyDescent="0.25">
      <c r="B811" s="103"/>
      <c r="C811" s="103"/>
      <c r="D811" s="103"/>
      <c r="E811" s="103"/>
      <c r="F811" s="103"/>
      <c r="H811" s="103"/>
      <c r="I811" s="103"/>
      <c r="J811" s="103"/>
      <c r="K811" s="103"/>
      <c r="L811" s="103"/>
      <c r="N811" s="103"/>
      <c r="O811" s="103"/>
      <c r="Q811" s="16"/>
      <c r="R811" s="16"/>
      <c r="S811" s="16"/>
      <c r="T811" s="103"/>
      <c r="U811" s="16"/>
      <c r="V811" s="16"/>
      <c r="W811" s="16"/>
      <c r="X811" s="103"/>
    </row>
    <row r="812" spans="2:24" x14ac:dyDescent="0.25">
      <c r="B812" s="103"/>
      <c r="C812" s="103"/>
      <c r="D812" s="103"/>
      <c r="E812" s="103"/>
      <c r="F812" s="103"/>
      <c r="H812" s="103"/>
      <c r="I812" s="103"/>
      <c r="J812" s="103"/>
      <c r="K812" s="103"/>
      <c r="L812" s="103"/>
      <c r="N812" s="103"/>
      <c r="O812" s="103"/>
      <c r="Q812" s="16"/>
      <c r="R812" s="16"/>
      <c r="S812" s="16"/>
      <c r="T812" s="103"/>
      <c r="U812" s="16"/>
      <c r="V812" s="16"/>
      <c r="W812" s="16"/>
      <c r="X812" s="103"/>
    </row>
    <row r="813" spans="2:24" x14ac:dyDescent="0.25">
      <c r="B813" s="103"/>
      <c r="C813" s="103"/>
      <c r="D813" s="103"/>
      <c r="E813" s="103"/>
      <c r="F813" s="103"/>
      <c r="H813" s="103"/>
      <c r="I813" s="103"/>
      <c r="J813" s="103"/>
      <c r="K813" s="103"/>
      <c r="L813" s="103"/>
      <c r="N813" s="103"/>
      <c r="O813" s="103"/>
      <c r="Q813" s="16"/>
      <c r="R813" s="16"/>
      <c r="S813" s="16"/>
      <c r="T813" s="103"/>
      <c r="U813" s="16"/>
      <c r="V813" s="16"/>
      <c r="W813" s="16"/>
      <c r="X813" s="103"/>
    </row>
    <row r="814" spans="2:24" x14ac:dyDescent="0.25">
      <c r="B814" s="103"/>
      <c r="C814" s="103"/>
      <c r="D814" s="103"/>
      <c r="E814" s="103"/>
      <c r="F814" s="103"/>
      <c r="H814" s="103"/>
      <c r="I814" s="103"/>
      <c r="J814" s="103"/>
      <c r="K814" s="103"/>
      <c r="L814" s="103"/>
      <c r="N814" s="103"/>
      <c r="O814" s="103"/>
      <c r="Q814" s="16"/>
      <c r="R814" s="16"/>
      <c r="S814" s="16"/>
      <c r="T814" s="103"/>
      <c r="U814" s="16"/>
      <c r="V814" s="16"/>
      <c r="W814" s="16"/>
      <c r="X814" s="103"/>
    </row>
    <row r="815" spans="2:24" x14ac:dyDescent="0.25">
      <c r="B815" s="103"/>
      <c r="C815" s="103"/>
      <c r="D815" s="103"/>
      <c r="E815" s="103"/>
      <c r="F815" s="103"/>
      <c r="H815" s="103"/>
      <c r="I815" s="103"/>
      <c r="J815" s="103"/>
      <c r="K815" s="103"/>
      <c r="L815" s="103"/>
      <c r="N815" s="103"/>
      <c r="O815" s="103"/>
      <c r="Q815" s="16"/>
      <c r="R815" s="16"/>
      <c r="S815" s="16"/>
      <c r="T815" s="103"/>
      <c r="U815" s="16"/>
      <c r="V815" s="16"/>
      <c r="W815" s="16"/>
      <c r="X815" s="103"/>
    </row>
    <row r="816" spans="2:24" x14ac:dyDescent="0.25">
      <c r="B816" s="103"/>
      <c r="C816" s="103"/>
      <c r="D816" s="103"/>
      <c r="E816" s="103"/>
      <c r="F816" s="103"/>
      <c r="H816" s="103"/>
      <c r="I816" s="103"/>
      <c r="J816" s="103"/>
      <c r="K816" s="103"/>
      <c r="L816" s="103"/>
      <c r="N816" s="103"/>
      <c r="O816" s="103"/>
      <c r="Q816" s="16"/>
      <c r="R816" s="16"/>
      <c r="S816" s="16"/>
      <c r="T816" s="103"/>
      <c r="U816" s="16"/>
      <c r="V816" s="16"/>
      <c r="W816" s="16"/>
      <c r="X816" s="103"/>
    </row>
    <row r="817" spans="2:24" x14ac:dyDescent="0.25">
      <c r="B817" s="103"/>
      <c r="C817" s="103"/>
      <c r="D817" s="103"/>
      <c r="E817" s="103"/>
      <c r="F817" s="103"/>
      <c r="H817" s="103"/>
      <c r="I817" s="103"/>
      <c r="J817" s="103"/>
      <c r="K817" s="103"/>
      <c r="L817" s="103"/>
      <c r="N817" s="103"/>
      <c r="O817" s="103"/>
      <c r="Q817" s="16"/>
      <c r="R817" s="16"/>
      <c r="S817" s="16"/>
      <c r="T817" s="103"/>
      <c r="U817" s="16"/>
      <c r="V817" s="16"/>
      <c r="W817" s="16"/>
      <c r="X817" s="103"/>
    </row>
    <row r="818" spans="2:24" x14ac:dyDescent="0.25">
      <c r="B818" s="103"/>
      <c r="C818" s="103"/>
      <c r="D818" s="103"/>
      <c r="E818" s="103"/>
      <c r="F818" s="103"/>
      <c r="H818" s="103"/>
      <c r="I818" s="103"/>
      <c r="J818" s="103"/>
      <c r="K818" s="103"/>
      <c r="L818" s="103"/>
      <c r="N818" s="103"/>
      <c r="O818" s="103"/>
      <c r="Q818" s="16"/>
      <c r="R818" s="16"/>
      <c r="S818" s="16"/>
      <c r="T818" s="103"/>
      <c r="U818" s="16"/>
      <c r="V818" s="16"/>
      <c r="W818" s="16"/>
      <c r="X818" s="103"/>
    </row>
    <row r="819" spans="2:24" x14ac:dyDescent="0.25">
      <c r="B819" s="103"/>
      <c r="C819" s="103"/>
      <c r="D819" s="103"/>
      <c r="E819" s="103"/>
      <c r="F819" s="103"/>
      <c r="H819" s="103"/>
      <c r="I819" s="103"/>
      <c r="J819" s="103"/>
      <c r="K819" s="103"/>
      <c r="L819" s="103"/>
      <c r="N819" s="103"/>
      <c r="O819" s="103"/>
      <c r="Q819" s="16"/>
      <c r="R819" s="16"/>
      <c r="S819" s="16"/>
      <c r="T819" s="103"/>
      <c r="U819" s="16"/>
      <c r="V819" s="16"/>
      <c r="W819" s="16"/>
      <c r="X819" s="103"/>
    </row>
    <row r="820" spans="2:24" x14ac:dyDescent="0.25">
      <c r="B820" s="103"/>
      <c r="C820" s="103"/>
      <c r="D820" s="103"/>
      <c r="E820" s="103"/>
      <c r="F820" s="103"/>
      <c r="H820" s="103"/>
      <c r="I820" s="103"/>
      <c r="J820" s="103"/>
      <c r="K820" s="103"/>
      <c r="L820" s="103"/>
      <c r="N820" s="103"/>
      <c r="O820" s="103"/>
      <c r="Q820" s="16"/>
      <c r="R820" s="16"/>
      <c r="S820" s="16"/>
      <c r="T820" s="103"/>
      <c r="U820" s="16"/>
      <c r="V820" s="16"/>
      <c r="W820" s="16"/>
      <c r="X820" s="103"/>
    </row>
    <row r="821" spans="2:24" x14ac:dyDescent="0.25">
      <c r="B821" s="103"/>
      <c r="C821" s="103"/>
      <c r="D821" s="103"/>
      <c r="E821" s="103"/>
      <c r="F821" s="103"/>
      <c r="H821" s="103"/>
      <c r="I821" s="103"/>
      <c r="J821" s="103"/>
      <c r="K821" s="103"/>
      <c r="L821" s="103"/>
      <c r="N821" s="103"/>
      <c r="O821" s="103"/>
      <c r="Q821" s="16"/>
      <c r="R821" s="16"/>
      <c r="S821" s="16"/>
      <c r="T821" s="103"/>
      <c r="U821" s="16"/>
      <c r="V821" s="16"/>
      <c r="W821" s="16"/>
      <c r="X821" s="103"/>
    </row>
    <row r="822" spans="2:24" x14ac:dyDescent="0.25">
      <c r="B822" s="103"/>
      <c r="C822" s="103"/>
      <c r="D822" s="103"/>
      <c r="E822" s="103"/>
      <c r="F822" s="103"/>
      <c r="H822" s="103"/>
      <c r="I822" s="103"/>
      <c r="J822" s="103"/>
      <c r="K822" s="103"/>
      <c r="L822" s="103"/>
      <c r="N822" s="103"/>
      <c r="O822" s="103"/>
      <c r="Q822" s="16"/>
      <c r="R822" s="16"/>
      <c r="S822" s="16"/>
      <c r="T822" s="103"/>
      <c r="U822" s="16"/>
      <c r="V822" s="16"/>
      <c r="W822" s="16"/>
      <c r="X822" s="103"/>
    </row>
    <row r="823" spans="2:24" x14ac:dyDescent="0.25">
      <c r="B823" s="103"/>
      <c r="C823" s="103"/>
      <c r="D823" s="103"/>
      <c r="E823" s="103"/>
      <c r="F823" s="103"/>
      <c r="H823" s="103"/>
      <c r="I823" s="103"/>
      <c r="J823" s="103"/>
      <c r="K823" s="103"/>
      <c r="L823" s="103"/>
      <c r="N823" s="103"/>
      <c r="O823" s="103"/>
      <c r="Q823" s="16"/>
      <c r="R823" s="16"/>
      <c r="S823" s="16"/>
      <c r="T823" s="103"/>
      <c r="U823" s="16"/>
      <c r="V823" s="16"/>
      <c r="W823" s="16"/>
      <c r="X823" s="103"/>
    </row>
    <row r="824" spans="2:24" x14ac:dyDescent="0.25">
      <c r="B824" s="103"/>
      <c r="C824" s="103"/>
      <c r="D824" s="103"/>
      <c r="E824" s="103"/>
      <c r="F824" s="103"/>
      <c r="H824" s="103"/>
      <c r="I824" s="103"/>
      <c r="J824" s="103"/>
      <c r="K824" s="103"/>
      <c r="L824" s="103"/>
      <c r="N824" s="103"/>
      <c r="O824" s="103"/>
      <c r="Q824" s="16"/>
      <c r="R824" s="16"/>
      <c r="S824" s="16"/>
      <c r="T824" s="103"/>
      <c r="U824" s="16"/>
      <c r="V824" s="16"/>
      <c r="W824" s="16"/>
      <c r="X824" s="103"/>
    </row>
    <row r="825" spans="2:24" x14ac:dyDescent="0.25">
      <c r="B825" s="103"/>
      <c r="C825" s="103"/>
      <c r="D825" s="103"/>
      <c r="E825" s="103"/>
      <c r="F825" s="103"/>
      <c r="H825" s="103"/>
      <c r="I825" s="103"/>
      <c r="J825" s="103"/>
      <c r="K825" s="103"/>
      <c r="L825" s="103"/>
      <c r="N825" s="103"/>
      <c r="O825" s="103"/>
      <c r="Q825" s="16"/>
      <c r="R825" s="16"/>
      <c r="S825" s="16"/>
      <c r="T825" s="103"/>
      <c r="U825" s="16"/>
      <c r="V825" s="16"/>
      <c r="W825" s="16"/>
      <c r="X825" s="103"/>
    </row>
    <row r="826" spans="2:24" x14ac:dyDescent="0.25">
      <c r="B826" s="103"/>
      <c r="C826" s="103"/>
      <c r="D826" s="103"/>
      <c r="E826" s="103"/>
      <c r="F826" s="103"/>
      <c r="H826" s="103"/>
      <c r="I826" s="103"/>
      <c r="J826" s="103"/>
      <c r="K826" s="103"/>
      <c r="L826" s="103"/>
      <c r="N826" s="103"/>
      <c r="O826" s="103"/>
      <c r="Q826" s="16"/>
      <c r="R826" s="16"/>
      <c r="S826" s="16"/>
      <c r="T826" s="103"/>
      <c r="U826" s="16"/>
      <c r="V826" s="16"/>
      <c r="W826" s="16"/>
      <c r="X826" s="103"/>
    </row>
    <row r="827" spans="2:24" x14ac:dyDescent="0.25">
      <c r="B827" s="103"/>
      <c r="C827" s="103"/>
      <c r="D827" s="103"/>
      <c r="E827" s="103"/>
      <c r="F827" s="103"/>
      <c r="H827" s="103"/>
      <c r="I827" s="103"/>
      <c r="J827" s="103"/>
      <c r="K827" s="103"/>
      <c r="L827" s="103"/>
      <c r="N827" s="103"/>
      <c r="O827" s="103"/>
      <c r="Q827" s="16"/>
      <c r="R827" s="16"/>
      <c r="S827" s="16"/>
      <c r="T827" s="103"/>
      <c r="U827" s="16"/>
      <c r="V827" s="16"/>
      <c r="W827" s="16"/>
      <c r="X827" s="103"/>
    </row>
    <row r="828" spans="2:24" x14ac:dyDescent="0.25">
      <c r="B828" s="103"/>
      <c r="C828" s="103"/>
      <c r="D828" s="103"/>
      <c r="E828" s="103"/>
      <c r="F828" s="103"/>
      <c r="H828" s="103"/>
      <c r="I828" s="103"/>
      <c r="J828" s="103"/>
      <c r="K828" s="103"/>
      <c r="L828" s="103"/>
      <c r="N828" s="103"/>
      <c r="O828" s="103"/>
      <c r="Q828" s="16"/>
      <c r="R828" s="16"/>
      <c r="S828" s="16"/>
      <c r="T828" s="103"/>
      <c r="U828" s="16"/>
      <c r="V828" s="16"/>
      <c r="W828" s="16"/>
      <c r="X828" s="103"/>
    </row>
    <row r="829" spans="2:24" x14ac:dyDescent="0.25">
      <c r="B829" s="103"/>
      <c r="C829" s="103"/>
      <c r="D829" s="103"/>
      <c r="E829" s="103"/>
      <c r="F829" s="103"/>
      <c r="H829" s="103"/>
      <c r="I829" s="103"/>
      <c r="J829" s="103"/>
      <c r="K829" s="103"/>
      <c r="L829" s="103"/>
      <c r="N829" s="103"/>
      <c r="O829" s="103"/>
      <c r="Q829" s="16"/>
      <c r="R829" s="16"/>
      <c r="S829" s="16"/>
      <c r="T829" s="103"/>
      <c r="U829" s="16"/>
      <c r="V829" s="16"/>
      <c r="W829" s="16"/>
      <c r="X829" s="103"/>
    </row>
    <row r="830" spans="2:24" x14ac:dyDescent="0.25">
      <c r="B830" s="103"/>
      <c r="C830" s="103"/>
      <c r="D830" s="103"/>
      <c r="E830" s="103"/>
      <c r="F830" s="103"/>
      <c r="H830" s="103"/>
      <c r="I830" s="103"/>
      <c r="J830" s="103"/>
      <c r="K830" s="103"/>
      <c r="L830" s="103"/>
      <c r="N830" s="103"/>
      <c r="O830" s="103"/>
      <c r="Q830" s="16"/>
      <c r="R830" s="16"/>
      <c r="S830" s="16"/>
      <c r="T830" s="103"/>
      <c r="U830" s="16"/>
      <c r="V830" s="16"/>
      <c r="W830" s="16"/>
      <c r="X830" s="103"/>
    </row>
    <row r="831" spans="2:24" x14ac:dyDescent="0.25">
      <c r="B831" s="103"/>
      <c r="C831" s="103"/>
      <c r="D831" s="103"/>
      <c r="E831" s="103"/>
      <c r="F831" s="103"/>
      <c r="H831" s="103"/>
      <c r="I831" s="103"/>
      <c r="J831" s="103"/>
      <c r="K831" s="103"/>
      <c r="L831" s="103"/>
      <c r="N831" s="103"/>
      <c r="O831" s="103"/>
      <c r="Q831" s="16"/>
      <c r="R831" s="16"/>
      <c r="S831" s="16"/>
      <c r="T831" s="103"/>
      <c r="U831" s="16"/>
      <c r="V831" s="16"/>
      <c r="W831" s="16"/>
      <c r="X831" s="103"/>
    </row>
    <row r="832" spans="2:24" x14ac:dyDescent="0.25">
      <c r="B832" s="103"/>
      <c r="C832" s="103"/>
      <c r="D832" s="103"/>
      <c r="E832" s="103"/>
      <c r="F832" s="103"/>
      <c r="H832" s="103"/>
      <c r="I832" s="103"/>
      <c r="J832" s="103"/>
      <c r="K832" s="103"/>
      <c r="L832" s="103"/>
      <c r="N832" s="103"/>
      <c r="O832" s="103"/>
      <c r="Q832" s="16"/>
      <c r="R832" s="16"/>
      <c r="S832" s="16"/>
      <c r="T832" s="103"/>
      <c r="U832" s="16"/>
      <c r="V832" s="16"/>
      <c r="W832" s="16"/>
      <c r="X832" s="103"/>
    </row>
    <row r="833" spans="2:24" x14ac:dyDescent="0.25">
      <c r="B833" s="103"/>
      <c r="C833" s="103"/>
      <c r="D833" s="103"/>
      <c r="E833" s="103"/>
      <c r="F833" s="103"/>
      <c r="H833" s="103"/>
      <c r="I833" s="103"/>
      <c r="J833" s="103"/>
      <c r="K833" s="103"/>
      <c r="L833" s="103"/>
      <c r="N833" s="103"/>
      <c r="O833" s="103"/>
      <c r="Q833" s="16"/>
      <c r="R833" s="16"/>
      <c r="S833" s="16"/>
      <c r="T833" s="103"/>
      <c r="U833" s="16"/>
      <c r="V833" s="16"/>
      <c r="W833" s="16"/>
      <c r="X833" s="103"/>
    </row>
    <row r="834" spans="2:24" x14ac:dyDescent="0.25">
      <c r="B834" s="103"/>
      <c r="C834" s="103"/>
      <c r="D834" s="103"/>
      <c r="E834" s="103"/>
      <c r="F834" s="103"/>
      <c r="H834" s="103"/>
      <c r="I834" s="103"/>
      <c r="J834" s="103"/>
      <c r="K834" s="103"/>
      <c r="L834" s="103"/>
      <c r="N834" s="103"/>
      <c r="O834" s="103"/>
      <c r="Q834" s="16"/>
      <c r="R834" s="16"/>
      <c r="S834" s="16"/>
      <c r="T834" s="103"/>
      <c r="U834" s="16"/>
      <c r="V834" s="16"/>
      <c r="W834" s="16"/>
      <c r="X834" s="103"/>
    </row>
    <row r="835" spans="2:24" x14ac:dyDescent="0.25">
      <c r="B835" s="103"/>
      <c r="C835" s="103"/>
      <c r="D835" s="103"/>
      <c r="E835" s="103"/>
      <c r="F835" s="103"/>
      <c r="H835" s="103"/>
      <c r="I835" s="103"/>
      <c r="J835" s="103"/>
      <c r="K835" s="103"/>
      <c r="L835" s="103"/>
      <c r="N835" s="103"/>
      <c r="O835" s="103"/>
      <c r="Q835" s="16"/>
      <c r="R835" s="16"/>
      <c r="S835" s="16"/>
      <c r="T835" s="103"/>
      <c r="U835" s="16"/>
      <c r="V835" s="16"/>
      <c r="W835" s="16"/>
      <c r="X835" s="103"/>
    </row>
    <row r="836" spans="2:24" x14ac:dyDescent="0.25">
      <c r="B836" s="103"/>
      <c r="C836" s="103"/>
      <c r="D836" s="103"/>
      <c r="E836" s="103"/>
      <c r="F836" s="103"/>
      <c r="H836" s="103"/>
      <c r="I836" s="103"/>
      <c r="J836" s="103"/>
      <c r="K836" s="103"/>
      <c r="L836" s="103"/>
      <c r="N836" s="103"/>
      <c r="O836" s="103"/>
      <c r="Q836" s="16"/>
      <c r="R836" s="16"/>
      <c r="S836" s="16"/>
      <c r="T836" s="103"/>
      <c r="U836" s="16"/>
      <c r="V836" s="16"/>
      <c r="W836" s="16"/>
      <c r="X836" s="103"/>
    </row>
    <row r="837" spans="2:24" x14ac:dyDescent="0.25">
      <c r="B837" s="103"/>
      <c r="C837" s="103"/>
      <c r="D837" s="103"/>
      <c r="E837" s="103"/>
      <c r="F837" s="103"/>
      <c r="H837" s="103"/>
      <c r="I837" s="103"/>
      <c r="J837" s="103"/>
      <c r="K837" s="103"/>
      <c r="L837" s="103"/>
      <c r="N837" s="103"/>
      <c r="O837" s="103"/>
      <c r="Q837" s="16"/>
      <c r="R837" s="16"/>
      <c r="S837" s="16"/>
      <c r="T837" s="103"/>
      <c r="U837" s="16"/>
      <c r="V837" s="16"/>
      <c r="W837" s="16"/>
      <c r="X837" s="103"/>
    </row>
    <row r="838" spans="2:24" x14ac:dyDescent="0.25">
      <c r="B838" s="103"/>
      <c r="C838" s="103"/>
      <c r="D838" s="103"/>
      <c r="E838" s="103"/>
      <c r="F838" s="103"/>
      <c r="H838" s="103"/>
      <c r="I838" s="103"/>
      <c r="J838" s="103"/>
      <c r="K838" s="103"/>
      <c r="L838" s="103"/>
      <c r="N838" s="103"/>
      <c r="O838" s="103"/>
      <c r="Q838" s="16"/>
      <c r="R838" s="16"/>
      <c r="S838" s="16"/>
      <c r="T838" s="103"/>
      <c r="U838" s="16"/>
      <c r="V838" s="16"/>
      <c r="W838" s="16"/>
      <c r="X838" s="103"/>
    </row>
    <row r="839" spans="2:24" x14ac:dyDescent="0.25">
      <c r="B839" s="103"/>
      <c r="C839" s="103"/>
      <c r="D839" s="103"/>
      <c r="E839" s="103"/>
      <c r="F839" s="103"/>
      <c r="H839" s="103"/>
      <c r="I839" s="103"/>
      <c r="J839" s="103"/>
      <c r="K839" s="103"/>
      <c r="L839" s="103"/>
      <c r="N839" s="103"/>
      <c r="O839" s="103"/>
      <c r="Q839" s="16"/>
      <c r="R839" s="16"/>
      <c r="S839" s="16"/>
      <c r="T839" s="103"/>
      <c r="U839" s="16"/>
      <c r="V839" s="16"/>
      <c r="W839" s="16"/>
      <c r="X839" s="103"/>
    </row>
    <row r="840" spans="2:24" x14ac:dyDescent="0.25">
      <c r="B840" s="103"/>
      <c r="C840" s="103"/>
      <c r="D840" s="103"/>
      <c r="E840" s="103"/>
      <c r="F840" s="103"/>
      <c r="H840" s="103"/>
      <c r="I840" s="103"/>
      <c r="J840" s="103"/>
      <c r="K840" s="103"/>
      <c r="L840" s="103"/>
      <c r="N840" s="103"/>
      <c r="O840" s="103"/>
      <c r="Q840" s="16"/>
      <c r="R840" s="16"/>
      <c r="S840" s="16"/>
      <c r="T840" s="103"/>
      <c r="U840" s="16"/>
      <c r="V840" s="16"/>
      <c r="W840" s="16"/>
      <c r="X840" s="103"/>
    </row>
    <row r="841" spans="2:24" x14ac:dyDescent="0.25">
      <c r="B841" s="103"/>
      <c r="C841" s="103"/>
      <c r="D841" s="103"/>
      <c r="E841" s="103"/>
      <c r="F841" s="103"/>
      <c r="H841" s="103"/>
      <c r="I841" s="103"/>
      <c r="J841" s="103"/>
      <c r="K841" s="103"/>
      <c r="L841" s="103"/>
      <c r="N841" s="103"/>
      <c r="O841" s="103"/>
      <c r="Q841" s="16"/>
      <c r="R841" s="16"/>
      <c r="S841" s="16"/>
      <c r="T841" s="103"/>
      <c r="U841" s="16"/>
      <c r="V841" s="16"/>
      <c r="W841" s="16"/>
      <c r="X841" s="103"/>
    </row>
    <row r="842" spans="2:24" x14ac:dyDescent="0.25">
      <c r="B842" s="103"/>
      <c r="C842" s="103"/>
      <c r="D842" s="103"/>
      <c r="E842" s="103"/>
      <c r="F842" s="103"/>
      <c r="H842" s="103"/>
      <c r="I842" s="103"/>
      <c r="J842" s="103"/>
      <c r="K842" s="103"/>
      <c r="L842" s="103"/>
      <c r="N842" s="103"/>
      <c r="O842" s="103"/>
      <c r="Q842" s="16"/>
      <c r="R842" s="16"/>
      <c r="S842" s="16"/>
      <c r="T842" s="103"/>
      <c r="U842" s="16"/>
      <c r="V842" s="16"/>
      <c r="W842" s="16"/>
      <c r="X842" s="103"/>
    </row>
    <row r="843" spans="2:24" x14ac:dyDescent="0.25">
      <c r="B843" s="103"/>
      <c r="C843" s="103"/>
      <c r="D843" s="103"/>
      <c r="E843" s="103"/>
      <c r="F843" s="103"/>
      <c r="H843" s="103"/>
      <c r="I843" s="103"/>
      <c r="J843" s="103"/>
      <c r="K843" s="103"/>
      <c r="L843" s="103"/>
      <c r="N843" s="103"/>
      <c r="O843" s="103"/>
      <c r="Q843" s="16"/>
      <c r="R843" s="16"/>
      <c r="S843" s="16"/>
      <c r="T843" s="103"/>
      <c r="U843" s="16"/>
      <c r="V843" s="16"/>
      <c r="W843" s="16"/>
      <c r="X843" s="103"/>
    </row>
    <row r="844" spans="2:24" x14ac:dyDescent="0.25">
      <c r="B844" s="103"/>
      <c r="C844" s="103"/>
      <c r="D844" s="103"/>
      <c r="E844" s="103"/>
      <c r="F844" s="103"/>
      <c r="H844" s="103"/>
      <c r="I844" s="103"/>
      <c r="J844" s="103"/>
      <c r="K844" s="103"/>
      <c r="L844" s="103"/>
      <c r="N844" s="103"/>
      <c r="O844" s="103"/>
      <c r="Q844" s="16"/>
      <c r="R844" s="16"/>
      <c r="S844" s="16"/>
      <c r="T844" s="103"/>
      <c r="U844" s="16"/>
      <c r="V844" s="16"/>
      <c r="W844" s="16"/>
      <c r="X844" s="103"/>
    </row>
    <row r="845" spans="2:24" x14ac:dyDescent="0.25">
      <c r="B845" s="103"/>
      <c r="C845" s="103"/>
      <c r="D845" s="103"/>
      <c r="E845" s="103"/>
      <c r="F845" s="103"/>
      <c r="H845" s="103"/>
      <c r="I845" s="103"/>
      <c r="J845" s="103"/>
      <c r="K845" s="103"/>
      <c r="L845" s="103"/>
      <c r="N845" s="103"/>
      <c r="O845" s="103"/>
      <c r="Q845" s="16"/>
      <c r="R845" s="16"/>
      <c r="S845" s="16"/>
      <c r="T845" s="103"/>
      <c r="U845" s="16"/>
      <c r="V845" s="16"/>
      <c r="W845" s="16"/>
      <c r="X845" s="103"/>
    </row>
    <row r="846" spans="2:24" x14ac:dyDescent="0.25">
      <c r="B846" s="103"/>
      <c r="C846" s="103"/>
      <c r="D846" s="103"/>
      <c r="E846" s="103"/>
      <c r="F846" s="103"/>
      <c r="H846" s="103"/>
      <c r="I846" s="103"/>
      <c r="J846" s="103"/>
      <c r="K846" s="103"/>
      <c r="L846" s="103"/>
      <c r="N846" s="103"/>
      <c r="O846" s="103"/>
      <c r="Q846" s="16"/>
      <c r="R846" s="16"/>
      <c r="S846" s="16"/>
      <c r="T846" s="103"/>
      <c r="U846" s="16"/>
      <c r="V846" s="16"/>
      <c r="W846" s="16"/>
      <c r="X846" s="103"/>
    </row>
    <row r="847" spans="2:24" x14ac:dyDescent="0.25">
      <c r="B847" s="103"/>
      <c r="C847" s="103"/>
      <c r="D847" s="103"/>
      <c r="E847" s="103"/>
      <c r="F847" s="103"/>
      <c r="H847" s="103"/>
      <c r="I847" s="103"/>
      <c r="J847" s="103"/>
      <c r="K847" s="103"/>
      <c r="L847" s="103"/>
      <c r="N847" s="103"/>
      <c r="O847" s="103"/>
      <c r="Q847" s="16"/>
      <c r="R847" s="16"/>
      <c r="S847" s="16"/>
      <c r="T847" s="103"/>
      <c r="U847" s="16"/>
      <c r="V847" s="16"/>
      <c r="W847" s="16"/>
      <c r="X847" s="103"/>
    </row>
    <row r="848" spans="2:24" x14ac:dyDescent="0.25">
      <c r="B848" s="103"/>
      <c r="C848" s="103"/>
      <c r="D848" s="103"/>
      <c r="E848" s="103"/>
      <c r="F848" s="103"/>
      <c r="H848" s="103"/>
      <c r="I848" s="103"/>
      <c r="J848" s="103"/>
      <c r="K848" s="103"/>
      <c r="L848" s="103"/>
      <c r="N848" s="103"/>
      <c r="O848" s="103"/>
      <c r="Q848" s="16"/>
      <c r="R848" s="16"/>
      <c r="S848" s="16"/>
      <c r="T848" s="103"/>
      <c r="U848" s="16"/>
      <c r="V848" s="16"/>
      <c r="W848" s="16"/>
      <c r="X848" s="103"/>
    </row>
    <row r="849" spans="2:24" x14ac:dyDescent="0.25">
      <c r="B849" s="103"/>
      <c r="C849" s="103"/>
      <c r="D849" s="103"/>
      <c r="E849" s="103"/>
      <c r="F849" s="103"/>
      <c r="H849" s="103"/>
      <c r="I849" s="103"/>
      <c r="J849" s="103"/>
      <c r="K849" s="103"/>
      <c r="L849" s="103"/>
      <c r="N849" s="103"/>
      <c r="O849" s="103"/>
      <c r="Q849" s="16"/>
      <c r="R849" s="16"/>
      <c r="S849" s="16"/>
      <c r="T849" s="103"/>
      <c r="U849" s="16"/>
      <c r="V849" s="16"/>
      <c r="W849" s="16"/>
      <c r="X849" s="103"/>
    </row>
    <row r="850" spans="2:24" x14ac:dyDescent="0.25">
      <c r="B850" s="103"/>
      <c r="C850" s="103"/>
      <c r="D850" s="103"/>
      <c r="E850" s="103"/>
      <c r="F850" s="103"/>
      <c r="H850" s="103"/>
      <c r="I850" s="103"/>
      <c r="J850" s="103"/>
      <c r="K850" s="103"/>
      <c r="L850" s="103"/>
      <c r="N850" s="103"/>
      <c r="O850" s="103"/>
      <c r="Q850" s="16"/>
      <c r="R850" s="16"/>
      <c r="S850" s="16"/>
      <c r="T850" s="103"/>
      <c r="U850" s="16"/>
      <c r="V850" s="16"/>
      <c r="W850" s="16"/>
      <c r="X850" s="103"/>
    </row>
    <row r="851" spans="2:24" x14ac:dyDescent="0.25">
      <c r="B851" s="103"/>
      <c r="C851" s="103"/>
      <c r="D851" s="103"/>
      <c r="E851" s="103"/>
      <c r="F851" s="103"/>
      <c r="H851" s="103"/>
      <c r="I851" s="103"/>
      <c r="J851" s="103"/>
      <c r="K851" s="103"/>
      <c r="L851" s="103"/>
      <c r="N851" s="103"/>
      <c r="O851" s="103"/>
      <c r="Q851" s="16"/>
      <c r="R851" s="16"/>
      <c r="S851" s="16"/>
      <c r="T851" s="103"/>
      <c r="U851" s="16"/>
      <c r="V851" s="16"/>
      <c r="W851" s="16"/>
      <c r="X851" s="103"/>
    </row>
    <row r="852" spans="2:24" x14ac:dyDescent="0.25">
      <c r="B852" s="103"/>
      <c r="C852" s="103"/>
      <c r="D852" s="103"/>
      <c r="E852" s="103"/>
      <c r="F852" s="103"/>
      <c r="H852" s="103"/>
      <c r="I852" s="103"/>
      <c r="J852" s="103"/>
      <c r="K852" s="103"/>
      <c r="L852" s="103"/>
      <c r="N852" s="103"/>
      <c r="O852" s="103"/>
      <c r="Q852" s="16"/>
      <c r="R852" s="16"/>
      <c r="S852" s="16"/>
      <c r="T852" s="103"/>
      <c r="U852" s="16"/>
      <c r="V852" s="16"/>
      <c r="W852" s="16"/>
      <c r="X852" s="103"/>
    </row>
    <row r="853" spans="2:24" x14ac:dyDescent="0.25">
      <c r="B853" s="103"/>
      <c r="C853" s="103"/>
      <c r="D853" s="103"/>
      <c r="E853" s="103"/>
      <c r="F853" s="103"/>
      <c r="H853" s="103"/>
      <c r="I853" s="103"/>
      <c r="J853" s="103"/>
      <c r="K853" s="103"/>
      <c r="L853" s="103"/>
      <c r="N853" s="103"/>
      <c r="O853" s="103"/>
      <c r="Q853" s="16"/>
      <c r="R853" s="16"/>
      <c r="S853" s="16"/>
      <c r="T853" s="103"/>
      <c r="U853" s="16"/>
      <c r="V853" s="16"/>
      <c r="W853" s="16"/>
      <c r="X853" s="103"/>
    </row>
    <row r="854" spans="2:24" x14ac:dyDescent="0.25">
      <c r="B854" s="103"/>
      <c r="C854" s="103"/>
      <c r="D854" s="103"/>
      <c r="E854" s="103"/>
      <c r="F854" s="103"/>
      <c r="H854" s="103"/>
      <c r="I854" s="103"/>
      <c r="J854" s="103"/>
      <c r="K854" s="103"/>
      <c r="L854" s="103"/>
      <c r="N854" s="103"/>
      <c r="O854" s="103"/>
      <c r="Q854" s="16"/>
      <c r="R854" s="16"/>
      <c r="S854" s="16"/>
      <c r="T854" s="103"/>
      <c r="U854" s="16"/>
      <c r="V854" s="16"/>
      <c r="W854" s="16"/>
      <c r="X854" s="103"/>
    </row>
    <row r="855" spans="2:24" x14ac:dyDescent="0.25">
      <c r="B855" s="103"/>
      <c r="C855" s="103"/>
      <c r="D855" s="103"/>
      <c r="E855" s="103"/>
      <c r="F855" s="103"/>
      <c r="H855" s="103"/>
      <c r="I855" s="103"/>
      <c r="J855" s="103"/>
      <c r="K855" s="103"/>
      <c r="L855" s="103"/>
      <c r="N855" s="103"/>
      <c r="O855" s="103"/>
      <c r="Q855" s="16"/>
      <c r="R855" s="16"/>
      <c r="S855" s="16"/>
      <c r="T855" s="103"/>
      <c r="U855" s="16"/>
      <c r="V855" s="16"/>
      <c r="W855" s="16"/>
      <c r="X855" s="103"/>
    </row>
    <row r="856" spans="2:24" x14ac:dyDescent="0.25">
      <c r="B856" s="103"/>
      <c r="C856" s="103"/>
      <c r="D856" s="103"/>
      <c r="E856" s="103"/>
      <c r="F856" s="103"/>
      <c r="H856" s="103"/>
      <c r="I856" s="103"/>
      <c r="J856" s="103"/>
      <c r="K856" s="103"/>
      <c r="L856" s="103"/>
      <c r="N856" s="103"/>
      <c r="O856" s="103"/>
      <c r="Q856" s="16"/>
      <c r="R856" s="16"/>
      <c r="S856" s="16"/>
      <c r="T856" s="103"/>
      <c r="U856" s="16"/>
      <c r="V856" s="16"/>
      <c r="W856" s="16"/>
      <c r="X856" s="103"/>
    </row>
    <row r="857" spans="2:24" x14ac:dyDescent="0.25">
      <c r="B857" s="103"/>
      <c r="C857" s="103"/>
      <c r="D857" s="103"/>
      <c r="E857" s="103"/>
      <c r="F857" s="103"/>
      <c r="H857" s="103"/>
      <c r="I857" s="103"/>
      <c r="J857" s="103"/>
      <c r="K857" s="103"/>
      <c r="L857" s="103"/>
      <c r="N857" s="103"/>
      <c r="O857" s="103"/>
      <c r="Q857" s="16"/>
      <c r="R857" s="16"/>
      <c r="S857" s="16"/>
      <c r="T857" s="103"/>
      <c r="U857" s="16"/>
      <c r="V857" s="16"/>
      <c r="W857" s="16"/>
      <c r="X857" s="103"/>
    </row>
    <row r="858" spans="2:24" x14ac:dyDescent="0.25">
      <c r="B858" s="103"/>
      <c r="C858" s="103"/>
      <c r="D858" s="103"/>
      <c r="E858" s="103"/>
      <c r="F858" s="103"/>
      <c r="H858" s="103"/>
      <c r="I858" s="103"/>
      <c r="J858" s="103"/>
      <c r="K858" s="103"/>
      <c r="L858" s="103"/>
      <c r="N858" s="103"/>
      <c r="O858" s="103"/>
      <c r="Q858" s="16"/>
      <c r="R858" s="16"/>
      <c r="S858" s="16"/>
      <c r="T858" s="103"/>
      <c r="U858" s="16"/>
      <c r="V858" s="16"/>
      <c r="W858" s="16"/>
      <c r="X858" s="103"/>
    </row>
    <row r="859" spans="2:24" x14ac:dyDescent="0.25">
      <c r="B859" s="103"/>
      <c r="C859" s="103"/>
      <c r="D859" s="103"/>
      <c r="E859" s="103"/>
      <c r="F859" s="103"/>
      <c r="H859" s="103"/>
      <c r="I859" s="103"/>
      <c r="J859" s="103"/>
      <c r="K859" s="103"/>
      <c r="L859" s="103"/>
      <c r="N859" s="103"/>
      <c r="O859" s="103"/>
      <c r="Q859" s="16"/>
      <c r="R859" s="16"/>
      <c r="S859" s="16"/>
      <c r="T859" s="103"/>
      <c r="U859" s="16"/>
      <c r="V859" s="16"/>
      <c r="W859" s="16"/>
      <c r="X859" s="103"/>
    </row>
    <row r="860" spans="2:24" x14ac:dyDescent="0.25">
      <c r="B860" s="103"/>
      <c r="C860" s="103"/>
      <c r="D860" s="103"/>
      <c r="E860" s="103"/>
      <c r="F860" s="103"/>
      <c r="H860" s="103"/>
      <c r="I860" s="103"/>
      <c r="J860" s="103"/>
      <c r="K860" s="103"/>
      <c r="L860" s="103"/>
      <c r="N860" s="103"/>
      <c r="O860" s="103"/>
      <c r="Q860" s="16"/>
      <c r="R860" s="16"/>
      <c r="S860" s="16"/>
      <c r="T860" s="103"/>
      <c r="U860" s="16"/>
      <c r="V860" s="16"/>
      <c r="W860" s="16"/>
      <c r="X860" s="103"/>
    </row>
    <row r="861" spans="2:24" x14ac:dyDescent="0.25">
      <c r="B861" s="103"/>
      <c r="C861" s="103"/>
      <c r="D861" s="103"/>
      <c r="E861" s="103"/>
      <c r="F861" s="103"/>
      <c r="H861" s="103"/>
      <c r="I861" s="103"/>
      <c r="J861" s="103"/>
      <c r="K861" s="103"/>
      <c r="L861" s="103"/>
      <c r="N861" s="103"/>
      <c r="O861" s="103"/>
      <c r="Q861" s="16"/>
      <c r="R861" s="16"/>
      <c r="S861" s="16"/>
      <c r="T861" s="103"/>
      <c r="U861" s="16"/>
      <c r="V861" s="16"/>
      <c r="W861" s="16"/>
      <c r="X861" s="103"/>
    </row>
    <row r="862" spans="2:24" x14ac:dyDescent="0.25">
      <c r="B862" s="103"/>
      <c r="C862" s="103"/>
      <c r="D862" s="103"/>
      <c r="E862" s="103"/>
      <c r="F862" s="103"/>
      <c r="H862" s="103"/>
      <c r="I862" s="103"/>
      <c r="J862" s="103"/>
      <c r="K862" s="103"/>
      <c r="L862" s="103"/>
      <c r="N862" s="103"/>
      <c r="O862" s="103"/>
      <c r="Q862" s="16"/>
      <c r="R862" s="16"/>
      <c r="S862" s="16"/>
      <c r="T862" s="103"/>
      <c r="U862" s="16"/>
      <c r="V862" s="16"/>
      <c r="W862" s="16"/>
      <c r="X862" s="103"/>
    </row>
    <row r="863" spans="2:24" x14ac:dyDescent="0.25">
      <c r="B863" s="103"/>
      <c r="C863" s="103"/>
      <c r="D863" s="103"/>
      <c r="E863" s="103"/>
      <c r="F863" s="103"/>
      <c r="H863" s="103"/>
      <c r="I863" s="103"/>
      <c r="J863" s="103"/>
      <c r="K863" s="103"/>
      <c r="L863" s="103"/>
      <c r="N863" s="103"/>
      <c r="O863" s="103"/>
      <c r="Q863" s="16"/>
      <c r="R863" s="16"/>
      <c r="S863" s="16"/>
      <c r="T863" s="103"/>
      <c r="U863" s="16"/>
      <c r="V863" s="16"/>
      <c r="W863" s="16"/>
      <c r="X863" s="103"/>
    </row>
    <row r="864" spans="2:24" x14ac:dyDescent="0.25">
      <c r="B864" s="103"/>
      <c r="C864" s="103"/>
      <c r="D864" s="103"/>
      <c r="E864" s="103"/>
      <c r="F864" s="103"/>
      <c r="H864" s="103"/>
      <c r="I864" s="103"/>
      <c r="J864" s="103"/>
      <c r="K864" s="103"/>
      <c r="L864" s="103"/>
      <c r="N864" s="103"/>
      <c r="O864" s="103"/>
      <c r="Q864" s="16"/>
      <c r="R864" s="16"/>
      <c r="S864" s="16"/>
      <c r="T864" s="103"/>
      <c r="U864" s="16"/>
      <c r="V864" s="16"/>
      <c r="W864" s="16"/>
      <c r="X864" s="103"/>
    </row>
    <row r="865" spans="2:24" x14ac:dyDescent="0.25">
      <c r="B865" s="103"/>
      <c r="C865" s="103"/>
      <c r="D865" s="103"/>
      <c r="E865" s="103"/>
      <c r="F865" s="103"/>
      <c r="H865" s="103"/>
      <c r="I865" s="103"/>
      <c r="J865" s="103"/>
      <c r="K865" s="103"/>
      <c r="L865" s="103"/>
      <c r="N865" s="103"/>
      <c r="O865" s="103"/>
      <c r="Q865" s="16"/>
      <c r="R865" s="16"/>
      <c r="S865" s="16"/>
      <c r="T865" s="103"/>
      <c r="U865" s="16"/>
      <c r="V865" s="16"/>
      <c r="W865" s="16"/>
      <c r="X865" s="103"/>
    </row>
    <row r="866" spans="2:24" x14ac:dyDescent="0.25">
      <c r="B866" s="103"/>
      <c r="C866" s="103"/>
      <c r="D866" s="103"/>
      <c r="E866" s="103"/>
      <c r="F866" s="103"/>
      <c r="H866" s="103"/>
      <c r="I866" s="103"/>
      <c r="J866" s="103"/>
      <c r="K866" s="103"/>
      <c r="L866" s="103"/>
      <c r="N866" s="103"/>
      <c r="O866" s="103"/>
      <c r="Q866" s="16"/>
      <c r="R866" s="16"/>
      <c r="S866" s="16"/>
      <c r="T866" s="103"/>
      <c r="U866" s="16"/>
      <c r="V866" s="16"/>
      <c r="W866" s="16"/>
      <c r="X866" s="103"/>
    </row>
    <row r="867" spans="2:24" x14ac:dyDescent="0.25">
      <c r="B867" s="103"/>
      <c r="C867" s="103"/>
      <c r="D867" s="103"/>
      <c r="E867" s="103"/>
      <c r="F867" s="103"/>
      <c r="H867" s="103"/>
      <c r="I867" s="103"/>
      <c r="J867" s="103"/>
      <c r="K867" s="103"/>
      <c r="L867" s="103"/>
      <c r="N867" s="103"/>
      <c r="O867" s="103"/>
      <c r="Q867" s="16"/>
      <c r="R867" s="16"/>
      <c r="S867" s="16"/>
      <c r="T867" s="103"/>
      <c r="U867" s="16"/>
      <c r="V867" s="16"/>
      <c r="W867" s="16"/>
      <c r="X867" s="103"/>
    </row>
    <row r="868" spans="2:24" x14ac:dyDescent="0.25">
      <c r="B868" s="103"/>
      <c r="C868" s="103"/>
      <c r="D868" s="103"/>
      <c r="E868" s="103"/>
      <c r="F868" s="103"/>
      <c r="H868" s="103"/>
      <c r="I868" s="103"/>
      <c r="J868" s="103"/>
      <c r="K868" s="103"/>
      <c r="L868" s="103"/>
      <c r="N868" s="103"/>
      <c r="O868" s="103"/>
      <c r="Q868" s="16"/>
      <c r="R868" s="16"/>
      <c r="S868" s="16"/>
      <c r="T868" s="103"/>
      <c r="U868" s="16"/>
      <c r="V868" s="16"/>
      <c r="W868" s="16"/>
      <c r="X868" s="103"/>
    </row>
    <row r="869" spans="2:24" x14ac:dyDescent="0.25">
      <c r="B869" s="103"/>
      <c r="C869" s="103"/>
      <c r="D869" s="103"/>
      <c r="E869" s="103"/>
      <c r="F869" s="103"/>
      <c r="H869" s="103"/>
      <c r="I869" s="103"/>
      <c r="J869" s="103"/>
      <c r="K869" s="103"/>
      <c r="L869" s="103"/>
      <c r="N869" s="103"/>
      <c r="O869" s="103"/>
      <c r="Q869" s="16"/>
      <c r="R869" s="16"/>
      <c r="S869" s="16"/>
      <c r="T869" s="103"/>
      <c r="U869" s="16"/>
      <c r="V869" s="16"/>
      <c r="W869" s="16"/>
      <c r="X869" s="103"/>
    </row>
    <row r="870" spans="2:24" x14ac:dyDescent="0.25">
      <c r="B870" s="103"/>
      <c r="C870" s="103"/>
      <c r="D870" s="103"/>
      <c r="E870" s="103"/>
      <c r="F870" s="103"/>
      <c r="H870" s="103"/>
      <c r="I870" s="103"/>
      <c r="J870" s="103"/>
      <c r="K870" s="103"/>
      <c r="L870" s="103"/>
      <c r="N870" s="103"/>
      <c r="O870" s="103"/>
      <c r="Q870" s="16"/>
      <c r="R870" s="16"/>
      <c r="S870" s="16"/>
      <c r="T870" s="103"/>
      <c r="U870" s="16"/>
      <c r="V870" s="16"/>
      <c r="W870" s="16"/>
      <c r="X870" s="103"/>
    </row>
    <row r="871" spans="2:24" x14ac:dyDescent="0.25">
      <c r="B871" s="103"/>
      <c r="C871" s="103"/>
      <c r="D871" s="103"/>
      <c r="E871" s="103"/>
      <c r="F871" s="103"/>
      <c r="H871" s="103"/>
      <c r="I871" s="103"/>
      <c r="J871" s="103"/>
      <c r="K871" s="103"/>
      <c r="L871" s="103"/>
      <c r="N871" s="103"/>
      <c r="O871" s="103"/>
      <c r="Q871" s="16"/>
      <c r="R871" s="16"/>
      <c r="S871" s="16"/>
      <c r="T871" s="103"/>
      <c r="U871" s="16"/>
      <c r="V871" s="16"/>
      <c r="W871" s="16"/>
      <c r="X871" s="103"/>
    </row>
    <row r="872" spans="2:24" x14ac:dyDescent="0.25">
      <c r="B872" s="103"/>
      <c r="C872" s="103"/>
      <c r="D872" s="103"/>
      <c r="E872" s="103"/>
      <c r="F872" s="103"/>
      <c r="H872" s="103"/>
      <c r="I872" s="103"/>
      <c r="J872" s="103"/>
      <c r="K872" s="103"/>
      <c r="L872" s="103"/>
      <c r="N872" s="103"/>
      <c r="O872" s="103"/>
      <c r="Q872" s="16"/>
      <c r="R872" s="16"/>
      <c r="S872" s="16"/>
      <c r="T872" s="103"/>
      <c r="U872" s="16"/>
      <c r="V872" s="16"/>
      <c r="W872" s="16"/>
      <c r="X872" s="103"/>
    </row>
    <row r="873" spans="2:24" x14ac:dyDescent="0.25">
      <c r="B873" s="103"/>
      <c r="C873" s="103"/>
      <c r="D873" s="103"/>
      <c r="E873" s="103"/>
      <c r="F873" s="103"/>
      <c r="H873" s="103"/>
      <c r="I873" s="103"/>
      <c r="J873" s="103"/>
      <c r="K873" s="103"/>
      <c r="L873" s="103"/>
      <c r="N873" s="103"/>
      <c r="O873" s="103"/>
      <c r="Q873" s="16"/>
      <c r="R873" s="16"/>
      <c r="S873" s="16"/>
      <c r="T873" s="103"/>
      <c r="U873" s="16"/>
      <c r="V873" s="16"/>
      <c r="W873" s="16"/>
      <c r="X873" s="103"/>
    </row>
    <row r="874" spans="2:24" x14ac:dyDescent="0.25">
      <c r="B874" s="103"/>
      <c r="C874" s="103"/>
      <c r="D874" s="103"/>
      <c r="E874" s="103"/>
      <c r="F874" s="103"/>
      <c r="H874" s="103"/>
      <c r="I874" s="103"/>
      <c r="J874" s="103"/>
      <c r="K874" s="103"/>
      <c r="L874" s="103"/>
      <c r="N874" s="103"/>
      <c r="O874" s="103"/>
      <c r="Q874" s="16"/>
      <c r="R874" s="16"/>
      <c r="S874" s="16"/>
      <c r="T874" s="103"/>
      <c r="U874" s="16"/>
      <c r="V874" s="16"/>
      <c r="W874" s="16"/>
      <c r="X874" s="103"/>
    </row>
    <row r="875" spans="2:24" x14ac:dyDescent="0.25">
      <c r="B875" s="103"/>
      <c r="C875" s="103"/>
      <c r="D875" s="103"/>
      <c r="E875" s="103"/>
      <c r="F875" s="103"/>
      <c r="H875" s="103"/>
      <c r="I875" s="103"/>
      <c r="J875" s="103"/>
      <c r="K875" s="103"/>
      <c r="L875" s="103"/>
      <c r="N875" s="103"/>
      <c r="O875" s="103"/>
      <c r="Q875" s="16"/>
      <c r="R875" s="16"/>
      <c r="S875" s="16"/>
      <c r="T875" s="103"/>
      <c r="U875" s="16"/>
      <c r="V875" s="16"/>
      <c r="W875" s="16"/>
      <c r="X875" s="103"/>
    </row>
    <row r="876" spans="2:24" x14ac:dyDescent="0.25">
      <c r="B876" s="103"/>
      <c r="C876" s="103"/>
      <c r="D876" s="103"/>
      <c r="E876" s="103"/>
      <c r="F876" s="103"/>
      <c r="H876" s="103"/>
      <c r="I876" s="103"/>
      <c r="J876" s="103"/>
      <c r="K876" s="103"/>
      <c r="L876" s="103"/>
      <c r="N876" s="103"/>
      <c r="O876" s="103"/>
      <c r="Q876" s="16"/>
      <c r="R876" s="16"/>
      <c r="S876" s="16"/>
      <c r="T876" s="103"/>
      <c r="U876" s="16"/>
      <c r="V876" s="16"/>
      <c r="W876" s="16"/>
      <c r="X876" s="103"/>
    </row>
    <row r="877" spans="2:24" x14ac:dyDescent="0.25">
      <c r="B877" s="103"/>
      <c r="C877" s="103"/>
      <c r="D877" s="103"/>
      <c r="E877" s="103"/>
      <c r="F877" s="103"/>
      <c r="H877" s="103"/>
      <c r="I877" s="103"/>
      <c r="J877" s="103"/>
      <c r="K877" s="103"/>
      <c r="L877" s="103"/>
      <c r="N877" s="103"/>
      <c r="O877" s="103"/>
      <c r="Q877" s="16"/>
      <c r="R877" s="16"/>
      <c r="S877" s="16"/>
      <c r="T877" s="103"/>
      <c r="U877" s="16"/>
      <c r="V877" s="16"/>
      <c r="W877" s="16"/>
      <c r="X877" s="103"/>
    </row>
    <row r="878" spans="2:24" x14ac:dyDescent="0.25">
      <c r="B878" s="103"/>
      <c r="C878" s="103"/>
      <c r="D878" s="103"/>
      <c r="E878" s="103"/>
      <c r="F878" s="103"/>
      <c r="H878" s="103"/>
      <c r="I878" s="103"/>
      <c r="J878" s="103"/>
      <c r="K878" s="103"/>
      <c r="L878" s="103"/>
      <c r="N878" s="103"/>
      <c r="O878" s="103"/>
      <c r="Q878" s="16"/>
      <c r="R878" s="16"/>
      <c r="S878" s="16"/>
      <c r="T878" s="103"/>
      <c r="U878" s="16"/>
      <c r="V878" s="16"/>
      <c r="W878" s="16"/>
      <c r="X878" s="103"/>
    </row>
    <row r="879" spans="2:24" x14ac:dyDescent="0.25">
      <c r="B879" s="103"/>
      <c r="C879" s="103"/>
      <c r="D879" s="103"/>
      <c r="E879" s="103"/>
      <c r="F879" s="103"/>
      <c r="H879" s="103"/>
      <c r="I879" s="103"/>
      <c r="J879" s="103"/>
      <c r="K879" s="103"/>
      <c r="L879" s="103"/>
      <c r="N879" s="103"/>
      <c r="O879" s="103"/>
      <c r="Q879" s="16"/>
      <c r="R879" s="16"/>
      <c r="S879" s="16"/>
      <c r="T879" s="103"/>
      <c r="U879" s="16"/>
      <c r="V879" s="16"/>
      <c r="W879" s="16"/>
      <c r="X879" s="103"/>
    </row>
    <row r="880" spans="2:24" x14ac:dyDescent="0.25">
      <c r="B880" s="103"/>
      <c r="C880" s="103"/>
      <c r="D880" s="103"/>
      <c r="E880" s="103"/>
      <c r="F880" s="103"/>
      <c r="H880" s="103"/>
      <c r="I880" s="103"/>
      <c r="J880" s="103"/>
      <c r="K880" s="103"/>
      <c r="L880" s="103"/>
      <c r="N880" s="103"/>
      <c r="O880" s="103"/>
      <c r="Q880" s="16"/>
      <c r="R880" s="16"/>
      <c r="S880" s="16"/>
      <c r="T880" s="103"/>
      <c r="U880" s="16"/>
      <c r="V880" s="16"/>
      <c r="W880" s="16"/>
      <c r="X880" s="103"/>
    </row>
    <row r="881" spans="2:24" x14ac:dyDescent="0.25">
      <c r="B881" s="103"/>
      <c r="C881" s="103"/>
      <c r="D881" s="103"/>
      <c r="E881" s="103"/>
      <c r="F881" s="103"/>
      <c r="H881" s="103"/>
      <c r="I881" s="103"/>
      <c r="J881" s="103"/>
      <c r="K881" s="103"/>
      <c r="L881" s="103"/>
      <c r="N881" s="103"/>
      <c r="O881" s="103"/>
      <c r="Q881" s="16"/>
      <c r="R881" s="16"/>
      <c r="S881" s="16"/>
      <c r="T881" s="103"/>
      <c r="U881" s="16"/>
      <c r="V881" s="16"/>
      <c r="W881" s="16"/>
      <c r="X881" s="103"/>
    </row>
    <row r="882" spans="2:24" x14ac:dyDescent="0.25">
      <c r="B882" s="103"/>
      <c r="C882" s="103"/>
      <c r="D882" s="103"/>
      <c r="E882" s="103"/>
      <c r="F882" s="103"/>
      <c r="H882" s="103"/>
      <c r="I882" s="103"/>
      <c r="J882" s="103"/>
      <c r="K882" s="103"/>
      <c r="L882" s="103"/>
      <c r="N882" s="103"/>
      <c r="O882" s="103"/>
      <c r="Q882" s="16"/>
      <c r="R882" s="16"/>
      <c r="S882" s="16"/>
      <c r="T882" s="103"/>
      <c r="U882" s="16"/>
      <c r="V882" s="16"/>
      <c r="W882" s="16"/>
      <c r="X882" s="103"/>
    </row>
    <row r="883" spans="2:24" x14ac:dyDescent="0.25">
      <c r="B883" s="103"/>
      <c r="C883" s="103"/>
      <c r="D883" s="103"/>
      <c r="E883" s="103"/>
      <c r="F883" s="103"/>
      <c r="H883" s="103"/>
      <c r="I883" s="103"/>
      <c r="J883" s="103"/>
      <c r="K883" s="103"/>
      <c r="L883" s="103"/>
      <c r="N883" s="103"/>
      <c r="O883" s="103"/>
      <c r="Q883" s="16"/>
      <c r="R883" s="16"/>
      <c r="S883" s="16"/>
      <c r="T883" s="103"/>
      <c r="U883" s="16"/>
      <c r="V883" s="16"/>
      <c r="W883" s="16"/>
      <c r="X883" s="103"/>
    </row>
    <row r="884" spans="2:24" x14ac:dyDescent="0.25">
      <c r="B884" s="103"/>
      <c r="C884" s="103"/>
      <c r="D884" s="103"/>
      <c r="E884" s="103"/>
      <c r="F884" s="103"/>
      <c r="H884" s="103"/>
      <c r="I884" s="103"/>
      <c r="J884" s="103"/>
      <c r="K884" s="103"/>
      <c r="L884" s="103"/>
      <c r="N884" s="103"/>
      <c r="O884" s="103"/>
      <c r="Q884" s="16"/>
      <c r="R884" s="16"/>
      <c r="S884" s="16"/>
      <c r="T884" s="103"/>
      <c r="U884" s="16"/>
      <c r="V884" s="16"/>
      <c r="W884" s="16"/>
      <c r="X884" s="103"/>
    </row>
    <row r="885" spans="2:24" x14ac:dyDescent="0.25">
      <c r="B885" s="103"/>
      <c r="C885" s="103"/>
      <c r="D885" s="103"/>
      <c r="E885" s="103"/>
      <c r="F885" s="103"/>
      <c r="H885" s="103"/>
      <c r="I885" s="103"/>
      <c r="J885" s="103"/>
      <c r="K885" s="103"/>
      <c r="L885" s="103"/>
      <c r="N885" s="103"/>
      <c r="O885" s="103"/>
      <c r="Q885" s="16"/>
      <c r="R885" s="16"/>
      <c r="S885" s="16"/>
      <c r="T885" s="103"/>
      <c r="U885" s="16"/>
      <c r="V885" s="16"/>
      <c r="W885" s="16"/>
      <c r="X885" s="103"/>
    </row>
    <row r="886" spans="2:24" x14ac:dyDescent="0.25">
      <c r="B886" s="103"/>
      <c r="C886" s="103"/>
      <c r="D886" s="103"/>
      <c r="E886" s="103"/>
      <c r="F886" s="103"/>
      <c r="H886" s="103"/>
      <c r="I886" s="103"/>
      <c r="J886" s="103"/>
      <c r="K886" s="103"/>
      <c r="L886" s="103"/>
      <c r="N886" s="103"/>
      <c r="O886" s="103"/>
      <c r="Q886" s="16"/>
      <c r="R886" s="16"/>
      <c r="S886" s="16"/>
      <c r="T886" s="103"/>
      <c r="U886" s="16"/>
      <c r="V886" s="16"/>
      <c r="W886" s="16"/>
      <c r="X886" s="103"/>
    </row>
    <row r="887" spans="2:24" x14ac:dyDescent="0.25">
      <c r="B887" s="103"/>
      <c r="C887" s="103"/>
      <c r="D887" s="103"/>
      <c r="E887" s="103"/>
      <c r="F887" s="103"/>
      <c r="H887" s="103"/>
      <c r="I887" s="103"/>
      <c r="J887" s="103"/>
      <c r="K887" s="103"/>
      <c r="L887" s="103"/>
      <c r="N887" s="103"/>
      <c r="O887" s="103"/>
      <c r="Q887" s="16"/>
      <c r="R887" s="16"/>
      <c r="S887" s="16"/>
      <c r="T887" s="103"/>
      <c r="U887" s="16"/>
      <c r="V887" s="16"/>
      <c r="W887" s="16"/>
      <c r="X887" s="103"/>
    </row>
    <row r="888" spans="2:24" x14ac:dyDescent="0.25">
      <c r="B888" s="103"/>
      <c r="C888" s="103"/>
      <c r="D888" s="103"/>
      <c r="E888" s="103"/>
      <c r="F888" s="103"/>
      <c r="H888" s="103"/>
      <c r="I888" s="103"/>
      <c r="J888" s="103"/>
      <c r="K888" s="103"/>
      <c r="L888" s="103"/>
      <c r="N888" s="103"/>
      <c r="O888" s="103"/>
      <c r="Q888" s="16"/>
      <c r="R888" s="16"/>
      <c r="S888" s="16"/>
      <c r="T888" s="103"/>
      <c r="U888" s="16"/>
      <c r="V888" s="16"/>
      <c r="W888" s="16"/>
      <c r="X888" s="103"/>
    </row>
    <row r="889" spans="2:24" x14ac:dyDescent="0.25">
      <c r="B889" s="103"/>
      <c r="C889" s="103"/>
      <c r="D889" s="103"/>
      <c r="E889" s="103"/>
      <c r="F889" s="103"/>
      <c r="H889" s="103"/>
      <c r="I889" s="103"/>
      <c r="J889" s="103"/>
      <c r="K889" s="103"/>
      <c r="L889" s="103"/>
      <c r="N889" s="103"/>
      <c r="O889" s="103"/>
      <c r="Q889" s="16"/>
      <c r="R889" s="16"/>
      <c r="S889" s="16"/>
      <c r="T889" s="103"/>
      <c r="U889" s="16"/>
      <c r="V889" s="16"/>
      <c r="W889" s="16"/>
      <c r="X889" s="103"/>
    </row>
    <row r="890" spans="2:24" x14ac:dyDescent="0.25">
      <c r="B890" s="103"/>
      <c r="C890" s="103"/>
      <c r="D890" s="103"/>
      <c r="E890" s="103"/>
      <c r="F890" s="103"/>
      <c r="H890" s="103"/>
      <c r="I890" s="103"/>
      <c r="J890" s="103"/>
      <c r="K890" s="103"/>
      <c r="L890" s="103"/>
      <c r="N890" s="103"/>
      <c r="O890" s="103"/>
      <c r="Q890" s="16"/>
      <c r="R890" s="16"/>
      <c r="S890" s="16"/>
      <c r="T890" s="103"/>
      <c r="U890" s="16"/>
      <c r="V890" s="16"/>
      <c r="W890" s="16"/>
      <c r="X890" s="103"/>
    </row>
    <row r="891" spans="2:24" x14ac:dyDescent="0.25">
      <c r="B891" s="103"/>
      <c r="C891" s="103"/>
      <c r="D891" s="103"/>
      <c r="E891" s="103"/>
      <c r="F891" s="103"/>
      <c r="H891" s="103"/>
      <c r="I891" s="103"/>
      <c r="J891" s="103"/>
      <c r="K891" s="103"/>
      <c r="L891" s="103"/>
      <c r="N891" s="103"/>
      <c r="O891" s="103"/>
      <c r="Q891" s="16"/>
      <c r="R891" s="16"/>
      <c r="S891" s="16"/>
      <c r="T891" s="103"/>
      <c r="U891" s="16"/>
      <c r="V891" s="16"/>
      <c r="W891" s="16"/>
      <c r="X891" s="103"/>
    </row>
    <row r="892" spans="2:24" x14ac:dyDescent="0.25">
      <c r="B892" s="103"/>
      <c r="C892" s="103"/>
      <c r="D892" s="103"/>
      <c r="E892" s="103"/>
      <c r="F892" s="103"/>
      <c r="H892" s="103"/>
      <c r="I892" s="103"/>
      <c r="J892" s="103"/>
      <c r="K892" s="103"/>
      <c r="L892" s="103"/>
      <c r="N892" s="103"/>
      <c r="O892" s="103"/>
      <c r="Q892" s="16"/>
      <c r="R892" s="16"/>
      <c r="S892" s="16"/>
      <c r="T892" s="103"/>
      <c r="U892" s="16"/>
      <c r="V892" s="16"/>
      <c r="W892" s="16"/>
      <c r="X892" s="103"/>
    </row>
    <row r="893" spans="2:24" x14ac:dyDescent="0.25">
      <c r="B893" s="103"/>
      <c r="C893" s="103"/>
      <c r="D893" s="103"/>
      <c r="E893" s="103"/>
      <c r="F893" s="103"/>
      <c r="H893" s="103"/>
      <c r="I893" s="103"/>
      <c r="J893" s="103"/>
      <c r="K893" s="103"/>
      <c r="L893" s="103"/>
      <c r="N893" s="103"/>
      <c r="O893" s="103"/>
      <c r="Q893" s="16"/>
      <c r="R893" s="16"/>
      <c r="S893" s="16"/>
      <c r="T893" s="103"/>
      <c r="U893" s="16"/>
      <c r="V893" s="16"/>
      <c r="W893" s="16"/>
      <c r="X893" s="103"/>
    </row>
    <row r="894" spans="2:24" x14ac:dyDescent="0.25">
      <c r="B894" s="103"/>
      <c r="C894" s="103"/>
      <c r="D894" s="103"/>
      <c r="E894" s="103"/>
      <c r="F894" s="103"/>
      <c r="H894" s="103"/>
      <c r="I894" s="103"/>
      <c r="J894" s="103"/>
      <c r="K894" s="103"/>
      <c r="L894" s="103"/>
      <c r="N894" s="103"/>
      <c r="O894" s="103"/>
      <c r="Q894" s="16"/>
      <c r="R894" s="16"/>
      <c r="S894" s="16"/>
      <c r="T894" s="103"/>
      <c r="U894" s="16"/>
      <c r="V894" s="16"/>
      <c r="W894" s="16"/>
      <c r="X894" s="103"/>
    </row>
    <row r="895" spans="2:24" x14ac:dyDescent="0.25">
      <c r="B895" s="103"/>
      <c r="C895" s="103"/>
      <c r="D895" s="103"/>
      <c r="E895" s="103"/>
      <c r="F895" s="103"/>
      <c r="H895" s="103"/>
      <c r="I895" s="103"/>
      <c r="J895" s="103"/>
      <c r="K895" s="103"/>
      <c r="L895" s="103"/>
      <c r="N895" s="103"/>
      <c r="O895" s="103"/>
      <c r="Q895" s="16"/>
      <c r="R895" s="16"/>
      <c r="S895" s="16"/>
      <c r="T895" s="103"/>
      <c r="U895" s="16"/>
      <c r="V895" s="16"/>
      <c r="W895" s="16"/>
      <c r="X895" s="103"/>
    </row>
    <row r="896" spans="2:24" x14ac:dyDescent="0.25">
      <c r="B896" s="103"/>
      <c r="C896" s="103"/>
      <c r="D896" s="103"/>
      <c r="E896" s="103"/>
      <c r="F896" s="103"/>
      <c r="H896" s="103"/>
      <c r="I896" s="103"/>
      <c r="J896" s="103"/>
      <c r="K896" s="103"/>
      <c r="L896" s="103"/>
      <c r="N896" s="103"/>
      <c r="O896" s="103"/>
      <c r="Q896" s="16"/>
      <c r="R896" s="16"/>
      <c r="S896" s="16"/>
      <c r="T896" s="103"/>
      <c r="U896" s="16"/>
      <c r="V896" s="16"/>
      <c r="W896" s="16"/>
      <c r="X896" s="103"/>
    </row>
    <row r="897" spans="2:24" x14ac:dyDescent="0.25">
      <c r="B897" s="103"/>
      <c r="C897" s="103"/>
      <c r="D897" s="103"/>
      <c r="E897" s="103"/>
      <c r="F897" s="103"/>
      <c r="H897" s="103"/>
      <c r="I897" s="103"/>
      <c r="J897" s="103"/>
      <c r="K897" s="103"/>
      <c r="L897" s="103"/>
      <c r="N897" s="103"/>
      <c r="O897" s="103"/>
      <c r="Q897" s="16"/>
      <c r="R897" s="16"/>
      <c r="S897" s="16"/>
      <c r="T897" s="103"/>
      <c r="U897" s="16"/>
      <c r="V897" s="16"/>
      <c r="W897" s="16"/>
      <c r="X897" s="103"/>
    </row>
    <row r="898" spans="2:24" x14ac:dyDescent="0.25">
      <c r="B898" s="103"/>
      <c r="C898" s="103"/>
      <c r="D898" s="103"/>
      <c r="E898" s="103"/>
      <c r="F898" s="103"/>
      <c r="H898" s="103"/>
      <c r="I898" s="103"/>
      <c r="J898" s="103"/>
      <c r="K898" s="103"/>
      <c r="L898" s="103"/>
      <c r="N898" s="103"/>
      <c r="O898" s="103"/>
      <c r="Q898" s="16"/>
      <c r="R898" s="16"/>
      <c r="S898" s="16"/>
      <c r="T898" s="103"/>
      <c r="U898" s="16"/>
      <c r="V898" s="16"/>
      <c r="W898" s="16"/>
      <c r="X898" s="103"/>
    </row>
    <row r="899" spans="2:24" x14ac:dyDescent="0.25">
      <c r="B899" s="103"/>
      <c r="C899" s="103"/>
      <c r="D899" s="103"/>
      <c r="E899" s="103"/>
      <c r="F899" s="103"/>
      <c r="H899" s="103"/>
      <c r="I899" s="103"/>
      <c r="J899" s="103"/>
      <c r="K899" s="103"/>
      <c r="L899" s="103"/>
      <c r="N899" s="103"/>
      <c r="O899" s="103"/>
      <c r="Q899" s="16"/>
      <c r="R899" s="16"/>
      <c r="S899" s="16"/>
      <c r="T899" s="103"/>
      <c r="U899" s="16"/>
      <c r="V899" s="16"/>
      <c r="W899" s="16"/>
      <c r="X899" s="103"/>
    </row>
    <row r="900" spans="2:24" x14ac:dyDescent="0.25">
      <c r="B900" s="103"/>
      <c r="C900" s="103"/>
      <c r="D900" s="103"/>
      <c r="E900" s="103"/>
      <c r="F900" s="103"/>
      <c r="H900" s="103"/>
      <c r="I900" s="103"/>
      <c r="J900" s="103"/>
      <c r="K900" s="103"/>
      <c r="L900" s="103"/>
      <c r="N900" s="103"/>
      <c r="O900" s="103"/>
      <c r="Q900" s="16"/>
      <c r="R900" s="16"/>
      <c r="S900" s="16"/>
      <c r="T900" s="103"/>
      <c r="U900" s="16"/>
      <c r="V900" s="16"/>
      <c r="W900" s="16"/>
      <c r="X900" s="103"/>
    </row>
    <row r="901" spans="2:24" x14ac:dyDescent="0.25">
      <c r="B901" s="103"/>
      <c r="C901" s="103"/>
      <c r="D901" s="103"/>
      <c r="E901" s="103"/>
      <c r="F901" s="103"/>
      <c r="H901" s="103"/>
      <c r="I901" s="103"/>
      <c r="J901" s="103"/>
      <c r="K901" s="103"/>
      <c r="L901" s="103"/>
      <c r="N901" s="103"/>
      <c r="O901" s="103"/>
      <c r="Q901" s="16"/>
      <c r="R901" s="16"/>
      <c r="S901" s="16"/>
      <c r="T901" s="103"/>
      <c r="U901" s="16"/>
      <c r="V901" s="16"/>
      <c r="W901" s="16"/>
      <c r="X901" s="103"/>
    </row>
    <row r="902" spans="2:24" x14ac:dyDescent="0.25">
      <c r="B902" s="103"/>
      <c r="C902" s="103"/>
      <c r="D902" s="103"/>
      <c r="E902" s="103"/>
      <c r="F902" s="103"/>
      <c r="H902" s="103"/>
      <c r="I902" s="103"/>
      <c r="J902" s="103"/>
      <c r="K902" s="103"/>
      <c r="L902" s="103"/>
      <c r="N902" s="103"/>
      <c r="O902" s="103"/>
      <c r="Q902" s="16"/>
      <c r="R902" s="16"/>
      <c r="S902" s="16"/>
      <c r="T902" s="103"/>
      <c r="U902" s="16"/>
      <c r="V902" s="16"/>
      <c r="W902" s="16"/>
      <c r="X902" s="103"/>
    </row>
    <row r="903" spans="2:24" x14ac:dyDescent="0.25">
      <c r="B903" s="103"/>
      <c r="C903" s="103"/>
      <c r="D903" s="103"/>
      <c r="E903" s="103"/>
      <c r="F903" s="103"/>
      <c r="H903" s="103"/>
      <c r="I903" s="103"/>
      <c r="J903" s="103"/>
      <c r="K903" s="103"/>
      <c r="L903" s="103"/>
      <c r="N903" s="103"/>
      <c r="O903" s="103"/>
      <c r="Q903" s="16"/>
      <c r="R903" s="16"/>
      <c r="S903" s="16"/>
      <c r="T903" s="103"/>
      <c r="U903" s="16"/>
      <c r="V903" s="16"/>
      <c r="W903" s="16"/>
      <c r="X903" s="103"/>
    </row>
    <row r="904" spans="2:24" x14ac:dyDescent="0.25">
      <c r="B904" s="103"/>
      <c r="C904" s="103"/>
      <c r="D904" s="103"/>
      <c r="E904" s="103"/>
      <c r="F904" s="103"/>
      <c r="H904" s="103"/>
      <c r="I904" s="103"/>
      <c r="J904" s="103"/>
      <c r="K904" s="103"/>
      <c r="L904" s="103"/>
      <c r="N904" s="103"/>
      <c r="O904" s="103"/>
      <c r="Q904" s="16"/>
      <c r="R904" s="16"/>
      <c r="S904" s="16"/>
      <c r="T904" s="103"/>
      <c r="U904" s="16"/>
      <c r="V904" s="16"/>
      <c r="W904" s="16"/>
      <c r="X904" s="103"/>
    </row>
    <row r="905" spans="2:24" x14ac:dyDescent="0.25">
      <c r="B905" s="103"/>
      <c r="C905" s="103"/>
      <c r="D905" s="103"/>
      <c r="E905" s="103"/>
      <c r="F905" s="103"/>
      <c r="H905" s="103"/>
      <c r="I905" s="103"/>
      <c r="J905" s="103"/>
      <c r="K905" s="103"/>
      <c r="L905" s="103"/>
      <c r="N905" s="103"/>
      <c r="O905" s="103"/>
      <c r="Q905" s="16"/>
      <c r="R905" s="16"/>
      <c r="S905" s="16"/>
      <c r="T905" s="103"/>
      <c r="U905" s="16"/>
      <c r="V905" s="16"/>
      <c r="W905" s="16"/>
      <c r="X905" s="103"/>
    </row>
    <row r="906" spans="2:24" x14ac:dyDescent="0.25">
      <c r="B906" s="103"/>
      <c r="C906" s="103"/>
      <c r="D906" s="103"/>
      <c r="E906" s="103"/>
      <c r="F906" s="103"/>
      <c r="H906" s="103"/>
      <c r="I906" s="103"/>
      <c r="J906" s="103"/>
      <c r="K906" s="103"/>
      <c r="L906" s="103"/>
      <c r="N906" s="103"/>
      <c r="O906" s="103"/>
      <c r="Q906" s="16"/>
      <c r="R906" s="16"/>
      <c r="S906" s="16"/>
      <c r="T906" s="103"/>
      <c r="U906" s="16"/>
      <c r="V906" s="16"/>
      <c r="W906" s="16"/>
      <c r="X906" s="103"/>
    </row>
    <row r="907" spans="2:24" x14ac:dyDescent="0.25">
      <c r="B907" s="103"/>
      <c r="C907" s="103"/>
      <c r="D907" s="103"/>
      <c r="E907" s="103"/>
      <c r="F907" s="103"/>
      <c r="H907" s="103"/>
      <c r="I907" s="103"/>
      <c r="J907" s="103"/>
      <c r="K907" s="103"/>
      <c r="L907" s="103"/>
      <c r="N907" s="103"/>
      <c r="O907" s="103"/>
      <c r="Q907" s="16"/>
      <c r="R907" s="16"/>
      <c r="S907" s="16"/>
      <c r="T907" s="103"/>
      <c r="U907" s="16"/>
      <c r="V907" s="16"/>
      <c r="W907" s="16"/>
      <c r="X907" s="103"/>
    </row>
    <row r="908" spans="2:24" x14ac:dyDescent="0.25">
      <c r="B908" s="103"/>
      <c r="C908" s="103"/>
      <c r="D908" s="103"/>
      <c r="E908" s="103"/>
      <c r="F908" s="103"/>
      <c r="H908" s="103"/>
      <c r="I908" s="103"/>
      <c r="J908" s="103"/>
      <c r="K908" s="103"/>
      <c r="L908" s="103"/>
      <c r="N908" s="103"/>
      <c r="O908" s="103"/>
      <c r="Q908" s="16"/>
      <c r="R908" s="16"/>
      <c r="S908" s="16"/>
      <c r="T908" s="103"/>
      <c r="U908" s="16"/>
      <c r="V908" s="16"/>
      <c r="W908" s="16"/>
      <c r="X908" s="103"/>
    </row>
    <row r="909" spans="2:24" x14ac:dyDescent="0.25">
      <c r="B909" s="103"/>
      <c r="C909" s="103"/>
      <c r="D909" s="103"/>
      <c r="E909" s="103"/>
      <c r="F909" s="103"/>
      <c r="H909" s="103"/>
      <c r="I909" s="103"/>
      <c r="J909" s="103"/>
      <c r="K909" s="103"/>
      <c r="L909" s="103"/>
      <c r="N909" s="103"/>
      <c r="O909" s="103"/>
      <c r="Q909" s="16"/>
      <c r="R909" s="16"/>
      <c r="S909" s="16"/>
      <c r="T909" s="103"/>
      <c r="U909" s="16"/>
      <c r="V909" s="16"/>
      <c r="W909" s="16"/>
      <c r="X909" s="103"/>
    </row>
    <row r="910" spans="2:24" x14ac:dyDescent="0.25">
      <c r="B910" s="103"/>
      <c r="C910" s="103"/>
      <c r="D910" s="103"/>
      <c r="E910" s="103"/>
      <c r="F910" s="103"/>
      <c r="H910" s="103"/>
      <c r="I910" s="103"/>
      <c r="J910" s="103"/>
      <c r="K910" s="103"/>
      <c r="L910" s="103"/>
      <c r="N910" s="103"/>
      <c r="O910" s="103"/>
      <c r="Q910" s="16"/>
      <c r="R910" s="16"/>
      <c r="S910" s="16"/>
      <c r="T910" s="103"/>
      <c r="U910" s="16"/>
      <c r="V910" s="16"/>
      <c r="W910" s="16"/>
      <c r="X910" s="103"/>
    </row>
    <row r="911" spans="2:24" x14ac:dyDescent="0.25">
      <c r="B911" s="103"/>
      <c r="C911" s="103"/>
      <c r="D911" s="103"/>
      <c r="E911" s="103"/>
      <c r="F911" s="103"/>
      <c r="H911" s="103"/>
      <c r="I911" s="103"/>
      <c r="J911" s="103"/>
      <c r="K911" s="103"/>
      <c r="L911" s="103"/>
      <c r="N911" s="103"/>
      <c r="O911" s="103"/>
      <c r="Q911" s="16"/>
      <c r="R911" s="16"/>
      <c r="S911" s="16"/>
      <c r="T911" s="103"/>
      <c r="U911" s="16"/>
      <c r="V911" s="16"/>
      <c r="W911" s="16"/>
      <c r="X911" s="103"/>
    </row>
    <row r="912" spans="2:24" x14ac:dyDescent="0.25">
      <c r="B912" s="103"/>
      <c r="C912" s="103"/>
      <c r="D912" s="103"/>
      <c r="E912" s="103"/>
      <c r="F912" s="103"/>
      <c r="H912" s="103"/>
      <c r="I912" s="103"/>
      <c r="J912" s="103"/>
      <c r="K912" s="103"/>
      <c r="L912" s="103"/>
      <c r="N912" s="103"/>
      <c r="O912" s="103"/>
      <c r="Q912" s="16"/>
      <c r="R912" s="16"/>
      <c r="S912" s="16"/>
      <c r="T912" s="103"/>
      <c r="U912" s="16"/>
      <c r="V912" s="16"/>
      <c r="W912" s="16"/>
      <c r="X912" s="103"/>
    </row>
    <row r="913" spans="2:24" x14ac:dyDescent="0.25">
      <c r="B913" s="103"/>
      <c r="C913" s="103"/>
      <c r="D913" s="103"/>
      <c r="E913" s="103"/>
      <c r="F913" s="103"/>
      <c r="H913" s="103"/>
      <c r="I913" s="103"/>
      <c r="J913" s="103"/>
      <c r="K913" s="103"/>
      <c r="L913" s="103"/>
      <c r="N913" s="103"/>
      <c r="O913" s="103"/>
      <c r="Q913" s="16"/>
      <c r="R913" s="16"/>
      <c r="S913" s="16"/>
      <c r="T913" s="103"/>
      <c r="U913" s="16"/>
      <c r="V913" s="16"/>
      <c r="W913" s="16"/>
      <c r="X913" s="103"/>
    </row>
    <row r="914" spans="2:24" x14ac:dyDescent="0.25">
      <c r="B914" s="103"/>
      <c r="C914" s="103"/>
      <c r="D914" s="103"/>
      <c r="E914" s="103"/>
      <c r="F914" s="103"/>
      <c r="H914" s="103"/>
      <c r="I914" s="103"/>
      <c r="J914" s="103"/>
      <c r="K914" s="103"/>
      <c r="L914" s="103"/>
      <c r="N914" s="103"/>
      <c r="O914" s="103"/>
      <c r="Q914" s="16"/>
      <c r="R914" s="16"/>
      <c r="S914" s="16"/>
      <c r="T914" s="103"/>
      <c r="U914" s="16"/>
      <c r="V914" s="16"/>
      <c r="W914" s="16"/>
      <c r="X914" s="103"/>
    </row>
    <row r="915" spans="2:24" x14ac:dyDescent="0.25">
      <c r="B915" s="103"/>
      <c r="C915" s="103"/>
      <c r="D915" s="103"/>
      <c r="E915" s="103"/>
      <c r="F915" s="103"/>
      <c r="H915" s="103"/>
      <c r="I915" s="103"/>
      <c r="J915" s="103"/>
      <c r="K915" s="103"/>
      <c r="L915" s="103"/>
      <c r="N915" s="103"/>
      <c r="O915" s="103"/>
      <c r="Q915" s="16"/>
      <c r="R915" s="16"/>
      <c r="S915" s="16"/>
      <c r="T915" s="103"/>
      <c r="U915" s="16"/>
      <c r="V915" s="16"/>
      <c r="W915" s="16"/>
      <c r="X915" s="103"/>
    </row>
    <row r="916" spans="2:24" x14ac:dyDescent="0.25">
      <c r="B916" s="103"/>
      <c r="C916" s="103"/>
      <c r="D916" s="103"/>
      <c r="E916" s="103"/>
      <c r="F916" s="103"/>
      <c r="H916" s="103"/>
      <c r="I916" s="103"/>
      <c r="J916" s="103"/>
      <c r="K916" s="103"/>
      <c r="L916" s="103"/>
      <c r="N916" s="103"/>
      <c r="O916" s="103"/>
      <c r="Q916" s="16"/>
      <c r="R916" s="16"/>
      <c r="S916" s="16"/>
      <c r="T916" s="103"/>
      <c r="U916" s="16"/>
      <c r="V916" s="16"/>
      <c r="W916" s="16"/>
      <c r="X916" s="103"/>
    </row>
    <row r="917" spans="2:24" x14ac:dyDescent="0.25">
      <c r="B917" s="103"/>
      <c r="C917" s="103"/>
      <c r="D917" s="103"/>
      <c r="E917" s="103"/>
      <c r="F917" s="103"/>
      <c r="H917" s="103"/>
      <c r="I917" s="103"/>
      <c r="J917" s="103"/>
      <c r="K917" s="103"/>
      <c r="L917" s="103"/>
      <c r="N917" s="103"/>
      <c r="O917" s="103"/>
      <c r="Q917" s="16"/>
      <c r="R917" s="16"/>
      <c r="S917" s="16"/>
      <c r="T917" s="103"/>
      <c r="U917" s="16"/>
      <c r="V917" s="16"/>
      <c r="W917" s="16"/>
      <c r="X917" s="103"/>
    </row>
    <row r="918" spans="2:24" x14ac:dyDescent="0.25">
      <c r="B918" s="103"/>
      <c r="C918" s="103"/>
      <c r="D918" s="103"/>
      <c r="E918" s="103"/>
      <c r="F918" s="103"/>
      <c r="H918" s="103"/>
      <c r="I918" s="103"/>
      <c r="J918" s="103"/>
      <c r="K918" s="103"/>
      <c r="L918" s="103"/>
      <c r="N918" s="103"/>
      <c r="O918" s="103"/>
      <c r="Q918" s="16"/>
      <c r="R918" s="16"/>
      <c r="S918" s="16"/>
      <c r="T918" s="103"/>
      <c r="U918" s="16"/>
      <c r="V918" s="16"/>
      <c r="W918" s="16"/>
      <c r="X918" s="103"/>
    </row>
    <row r="919" spans="2:24" x14ac:dyDescent="0.25">
      <c r="B919" s="103"/>
      <c r="C919" s="103"/>
      <c r="D919" s="103"/>
      <c r="E919" s="103"/>
      <c r="F919" s="103"/>
      <c r="H919" s="103"/>
      <c r="I919" s="103"/>
      <c r="J919" s="103"/>
      <c r="K919" s="103"/>
      <c r="L919" s="103"/>
      <c r="N919" s="103"/>
      <c r="O919" s="103"/>
      <c r="Q919" s="16"/>
      <c r="R919" s="16"/>
      <c r="S919" s="16"/>
      <c r="T919" s="103"/>
      <c r="U919" s="16"/>
      <c r="V919" s="16"/>
      <c r="W919" s="16"/>
      <c r="X919" s="103"/>
    </row>
    <row r="920" spans="2:24" x14ac:dyDescent="0.25">
      <c r="B920" s="103"/>
      <c r="C920" s="103"/>
      <c r="D920" s="103"/>
      <c r="E920" s="103"/>
      <c r="F920" s="103"/>
      <c r="H920" s="103"/>
      <c r="I920" s="103"/>
      <c r="J920" s="103"/>
      <c r="K920" s="103"/>
      <c r="L920" s="103"/>
      <c r="N920" s="103"/>
      <c r="O920" s="103"/>
      <c r="Q920" s="16"/>
      <c r="R920" s="16"/>
      <c r="S920" s="16"/>
      <c r="T920" s="103"/>
      <c r="U920" s="16"/>
      <c r="V920" s="16"/>
      <c r="W920" s="16"/>
      <c r="X920" s="103"/>
    </row>
    <row r="921" spans="2:24" x14ac:dyDescent="0.25">
      <c r="B921" s="103"/>
      <c r="C921" s="103"/>
      <c r="D921" s="103"/>
      <c r="E921" s="103"/>
      <c r="F921" s="103"/>
      <c r="H921" s="103"/>
      <c r="I921" s="103"/>
      <c r="J921" s="103"/>
      <c r="K921" s="103"/>
      <c r="L921" s="103"/>
      <c r="N921" s="103"/>
      <c r="O921" s="103"/>
      <c r="Q921" s="16"/>
      <c r="R921" s="16"/>
      <c r="S921" s="16"/>
      <c r="T921" s="103"/>
      <c r="U921" s="16"/>
      <c r="V921" s="16"/>
      <c r="W921" s="16"/>
      <c r="X921" s="103"/>
    </row>
    <row r="922" spans="2:24" x14ac:dyDescent="0.25">
      <c r="B922" s="103"/>
      <c r="C922" s="103"/>
      <c r="D922" s="103"/>
      <c r="E922" s="103"/>
      <c r="F922" s="103"/>
      <c r="H922" s="103"/>
      <c r="I922" s="103"/>
      <c r="J922" s="103"/>
      <c r="K922" s="103"/>
      <c r="L922" s="103"/>
      <c r="N922" s="103"/>
      <c r="O922" s="103"/>
      <c r="Q922" s="16"/>
      <c r="R922" s="16"/>
      <c r="S922" s="16"/>
      <c r="T922" s="103"/>
      <c r="U922" s="16"/>
      <c r="V922" s="16"/>
      <c r="W922" s="16"/>
      <c r="X922" s="103"/>
    </row>
    <row r="923" spans="2:24" x14ac:dyDescent="0.25">
      <c r="B923" s="103"/>
      <c r="C923" s="103"/>
      <c r="D923" s="103"/>
      <c r="E923" s="103"/>
      <c r="F923" s="103"/>
      <c r="H923" s="103"/>
      <c r="I923" s="103"/>
      <c r="J923" s="103"/>
      <c r="K923" s="103"/>
      <c r="L923" s="103"/>
      <c r="N923" s="103"/>
      <c r="O923" s="103"/>
      <c r="Q923" s="16"/>
      <c r="R923" s="16"/>
      <c r="S923" s="16"/>
      <c r="T923" s="103"/>
      <c r="U923" s="16"/>
      <c r="V923" s="16"/>
      <c r="W923" s="16"/>
      <c r="X923" s="103"/>
    </row>
    <row r="924" spans="2:24" x14ac:dyDescent="0.25">
      <c r="B924" s="103"/>
      <c r="C924" s="103"/>
      <c r="D924" s="103"/>
      <c r="E924" s="103"/>
      <c r="F924" s="103"/>
      <c r="H924" s="103"/>
      <c r="I924" s="103"/>
      <c r="J924" s="103"/>
      <c r="K924" s="103"/>
      <c r="L924" s="103"/>
      <c r="N924" s="103"/>
      <c r="O924" s="103"/>
      <c r="Q924" s="16"/>
      <c r="R924" s="16"/>
      <c r="S924" s="16"/>
      <c r="T924" s="103"/>
      <c r="U924" s="16"/>
      <c r="V924" s="16"/>
      <c r="W924" s="16"/>
      <c r="X924" s="103"/>
    </row>
    <row r="925" spans="2:24" x14ac:dyDescent="0.25">
      <c r="B925" s="103"/>
      <c r="C925" s="103"/>
      <c r="D925" s="103"/>
      <c r="E925" s="103"/>
      <c r="F925" s="103"/>
      <c r="H925" s="103"/>
      <c r="I925" s="103"/>
      <c r="J925" s="103"/>
      <c r="K925" s="103"/>
      <c r="L925" s="103"/>
      <c r="N925" s="103"/>
      <c r="O925" s="103"/>
      <c r="Q925" s="16"/>
      <c r="R925" s="16"/>
      <c r="S925" s="16"/>
      <c r="T925" s="103"/>
      <c r="U925" s="16"/>
      <c r="V925" s="16"/>
      <c r="W925" s="16"/>
      <c r="X925" s="103"/>
    </row>
    <row r="926" spans="2:24" x14ac:dyDescent="0.25">
      <c r="B926" s="103"/>
      <c r="C926" s="103"/>
      <c r="D926" s="103"/>
      <c r="E926" s="103"/>
      <c r="F926" s="103"/>
      <c r="H926" s="103"/>
      <c r="I926" s="103"/>
      <c r="J926" s="103"/>
      <c r="K926" s="103"/>
      <c r="L926" s="103"/>
      <c r="N926" s="103"/>
      <c r="O926" s="103"/>
      <c r="Q926" s="16"/>
      <c r="R926" s="16"/>
      <c r="S926" s="16"/>
      <c r="T926" s="103"/>
      <c r="U926" s="16"/>
      <c r="V926" s="16"/>
      <c r="W926" s="16"/>
      <c r="X926" s="103"/>
    </row>
    <row r="927" spans="2:24" x14ac:dyDescent="0.25">
      <c r="B927" s="103"/>
      <c r="C927" s="103"/>
      <c r="D927" s="103"/>
      <c r="E927" s="103"/>
      <c r="F927" s="103"/>
      <c r="H927" s="103"/>
      <c r="I927" s="103"/>
      <c r="J927" s="103"/>
      <c r="K927" s="103"/>
      <c r="L927" s="103"/>
      <c r="N927" s="103"/>
      <c r="O927" s="103"/>
      <c r="Q927" s="16"/>
      <c r="R927" s="16"/>
      <c r="S927" s="16"/>
      <c r="T927" s="103"/>
      <c r="U927" s="16"/>
      <c r="V927" s="16"/>
      <c r="W927" s="16"/>
      <c r="X927" s="103"/>
    </row>
    <row r="928" spans="2:24" x14ac:dyDescent="0.25">
      <c r="B928" s="103"/>
      <c r="C928" s="103"/>
      <c r="D928" s="103"/>
      <c r="E928" s="103"/>
      <c r="F928" s="103"/>
      <c r="H928" s="103"/>
      <c r="I928" s="103"/>
      <c r="J928" s="103"/>
      <c r="K928" s="103"/>
      <c r="L928" s="103"/>
      <c r="N928" s="103"/>
      <c r="O928" s="103"/>
      <c r="Q928" s="16"/>
      <c r="R928" s="16"/>
      <c r="S928" s="16"/>
      <c r="T928" s="103"/>
      <c r="U928" s="16"/>
      <c r="V928" s="16"/>
      <c r="W928" s="16"/>
      <c r="X928" s="103"/>
    </row>
    <row r="929" spans="2:24" x14ac:dyDescent="0.25">
      <c r="B929" s="103"/>
      <c r="C929" s="103"/>
      <c r="D929" s="103"/>
      <c r="E929" s="103"/>
      <c r="F929" s="103"/>
      <c r="H929" s="103"/>
      <c r="I929" s="103"/>
      <c r="J929" s="103"/>
      <c r="K929" s="103"/>
      <c r="L929" s="103"/>
      <c r="N929" s="103"/>
      <c r="O929" s="103"/>
      <c r="Q929" s="16"/>
      <c r="R929" s="16"/>
      <c r="S929" s="16"/>
      <c r="T929" s="103"/>
      <c r="U929" s="16"/>
      <c r="V929" s="16"/>
      <c r="W929" s="16"/>
      <c r="X929" s="103"/>
    </row>
    <row r="930" spans="2:24" x14ac:dyDescent="0.25">
      <c r="B930" s="103"/>
      <c r="C930" s="103"/>
      <c r="D930" s="103"/>
      <c r="E930" s="103"/>
      <c r="F930" s="103"/>
      <c r="H930" s="103"/>
      <c r="I930" s="103"/>
      <c r="J930" s="103"/>
      <c r="K930" s="103"/>
      <c r="L930" s="103"/>
      <c r="N930" s="103"/>
      <c r="O930" s="103"/>
      <c r="Q930" s="16"/>
      <c r="R930" s="16"/>
      <c r="S930" s="16"/>
      <c r="T930" s="103"/>
      <c r="U930" s="16"/>
      <c r="V930" s="16"/>
      <c r="W930" s="16"/>
      <c r="X930" s="103"/>
    </row>
    <row r="931" spans="2:24" x14ac:dyDescent="0.25">
      <c r="B931" s="103"/>
      <c r="C931" s="103"/>
      <c r="D931" s="103"/>
      <c r="E931" s="103"/>
      <c r="F931" s="103"/>
      <c r="H931" s="103"/>
      <c r="I931" s="103"/>
      <c r="J931" s="103"/>
      <c r="K931" s="103"/>
      <c r="L931" s="103"/>
      <c r="N931" s="103"/>
      <c r="O931" s="103"/>
      <c r="Q931" s="16"/>
      <c r="R931" s="16"/>
      <c r="S931" s="16"/>
      <c r="T931" s="103"/>
      <c r="U931" s="16"/>
      <c r="V931" s="16"/>
      <c r="W931" s="16"/>
      <c r="X931" s="103"/>
    </row>
    <row r="932" spans="2:24" x14ac:dyDescent="0.25">
      <c r="B932" s="103"/>
      <c r="C932" s="103"/>
      <c r="D932" s="103"/>
      <c r="E932" s="103"/>
      <c r="F932" s="103"/>
      <c r="H932" s="103"/>
      <c r="I932" s="103"/>
      <c r="J932" s="103"/>
      <c r="K932" s="103"/>
      <c r="L932" s="103"/>
      <c r="N932" s="103"/>
      <c r="O932" s="103"/>
      <c r="Q932" s="16"/>
      <c r="R932" s="16"/>
      <c r="S932" s="16"/>
      <c r="T932" s="103"/>
      <c r="U932" s="16"/>
      <c r="V932" s="16"/>
      <c r="W932" s="16"/>
      <c r="X932" s="103"/>
    </row>
    <row r="933" spans="2:24" x14ac:dyDescent="0.25">
      <c r="B933" s="103"/>
      <c r="C933" s="103"/>
      <c r="D933" s="103"/>
      <c r="E933" s="103"/>
      <c r="F933" s="103"/>
      <c r="H933" s="103"/>
      <c r="I933" s="103"/>
      <c r="J933" s="103"/>
      <c r="K933" s="103"/>
      <c r="L933" s="103"/>
      <c r="N933" s="103"/>
      <c r="O933" s="103"/>
      <c r="Q933" s="16"/>
      <c r="R933" s="16"/>
      <c r="S933" s="16"/>
      <c r="T933" s="103"/>
      <c r="U933" s="16"/>
      <c r="V933" s="16"/>
      <c r="W933" s="16"/>
      <c r="X933" s="103"/>
    </row>
    <row r="934" spans="2:24" x14ac:dyDescent="0.25">
      <c r="B934" s="103"/>
      <c r="C934" s="103"/>
      <c r="D934" s="103"/>
      <c r="E934" s="103"/>
      <c r="F934" s="103"/>
      <c r="H934" s="103"/>
      <c r="I934" s="103"/>
      <c r="J934" s="103"/>
      <c r="K934" s="103"/>
      <c r="L934" s="103"/>
      <c r="N934" s="103"/>
      <c r="O934" s="103"/>
      <c r="Q934" s="16"/>
      <c r="R934" s="16"/>
      <c r="S934" s="16"/>
      <c r="T934" s="103"/>
      <c r="U934" s="16"/>
      <c r="V934" s="16"/>
      <c r="W934" s="16"/>
      <c r="X934" s="103"/>
    </row>
    <row r="935" spans="2:24" x14ac:dyDescent="0.25">
      <c r="B935" s="103"/>
      <c r="C935" s="103"/>
      <c r="D935" s="103"/>
      <c r="E935" s="103"/>
      <c r="F935" s="103"/>
      <c r="H935" s="103"/>
      <c r="I935" s="103"/>
      <c r="J935" s="103"/>
      <c r="K935" s="103"/>
      <c r="L935" s="103"/>
      <c r="N935" s="103"/>
      <c r="O935" s="103"/>
      <c r="Q935" s="16"/>
      <c r="R935" s="16"/>
      <c r="S935" s="16"/>
      <c r="T935" s="103"/>
      <c r="U935" s="16"/>
      <c r="V935" s="16"/>
      <c r="W935" s="16"/>
      <c r="X935" s="103"/>
    </row>
    <row r="936" spans="2:24" x14ac:dyDescent="0.25">
      <c r="B936" s="103"/>
      <c r="C936" s="103"/>
      <c r="D936" s="103"/>
      <c r="E936" s="103"/>
      <c r="F936" s="103"/>
      <c r="H936" s="103"/>
      <c r="I936" s="103"/>
      <c r="J936" s="103"/>
      <c r="K936" s="103"/>
      <c r="L936" s="103"/>
      <c r="N936" s="103"/>
      <c r="O936" s="103"/>
      <c r="Q936" s="16"/>
      <c r="R936" s="16"/>
      <c r="S936" s="16"/>
      <c r="T936" s="103"/>
      <c r="U936" s="16"/>
      <c r="V936" s="16"/>
      <c r="W936" s="16"/>
      <c r="X936" s="103"/>
    </row>
    <row r="937" spans="2:24" x14ac:dyDescent="0.25">
      <c r="B937" s="103"/>
      <c r="C937" s="103"/>
      <c r="D937" s="103"/>
      <c r="E937" s="103"/>
      <c r="F937" s="103"/>
      <c r="H937" s="103"/>
      <c r="I937" s="103"/>
      <c r="J937" s="103"/>
      <c r="K937" s="103"/>
      <c r="L937" s="103"/>
      <c r="N937" s="103"/>
      <c r="O937" s="103"/>
      <c r="Q937" s="16"/>
      <c r="R937" s="16"/>
      <c r="S937" s="16"/>
      <c r="T937" s="103"/>
      <c r="U937" s="16"/>
      <c r="V937" s="16"/>
      <c r="W937" s="16"/>
      <c r="X937" s="103"/>
    </row>
    <row r="938" spans="2:24" x14ac:dyDescent="0.25">
      <c r="B938" s="103"/>
      <c r="C938" s="103"/>
      <c r="D938" s="103"/>
      <c r="E938" s="103"/>
      <c r="F938" s="103"/>
      <c r="H938" s="103"/>
      <c r="I938" s="103"/>
      <c r="J938" s="103"/>
      <c r="K938" s="103"/>
      <c r="L938" s="103"/>
      <c r="N938" s="103"/>
      <c r="O938" s="103"/>
      <c r="Q938" s="16"/>
      <c r="R938" s="16"/>
      <c r="S938" s="16"/>
      <c r="T938" s="103"/>
      <c r="U938" s="16"/>
      <c r="V938" s="16"/>
      <c r="W938" s="16"/>
      <c r="X938" s="103"/>
    </row>
    <row r="939" spans="2:24" x14ac:dyDescent="0.25">
      <c r="B939" s="103"/>
      <c r="C939" s="103"/>
      <c r="D939" s="103"/>
      <c r="E939" s="103"/>
      <c r="F939" s="103"/>
      <c r="H939" s="103"/>
      <c r="I939" s="103"/>
      <c r="J939" s="103"/>
      <c r="K939" s="103"/>
      <c r="L939" s="103"/>
      <c r="N939" s="103"/>
      <c r="O939" s="103"/>
      <c r="Q939" s="16"/>
      <c r="R939" s="16"/>
      <c r="S939" s="16"/>
      <c r="T939" s="103"/>
      <c r="U939" s="16"/>
      <c r="V939" s="16"/>
      <c r="W939" s="16"/>
      <c r="X939" s="103"/>
    </row>
    <row r="940" spans="2:24" x14ac:dyDescent="0.25">
      <c r="B940" s="103"/>
      <c r="C940" s="103"/>
      <c r="D940" s="103"/>
      <c r="E940" s="103"/>
      <c r="F940" s="103"/>
      <c r="H940" s="103"/>
      <c r="I940" s="103"/>
      <c r="J940" s="103"/>
      <c r="K940" s="103"/>
      <c r="L940" s="103"/>
      <c r="N940" s="103"/>
      <c r="O940" s="103"/>
      <c r="Q940" s="16"/>
      <c r="R940" s="16"/>
      <c r="S940" s="16"/>
      <c r="T940" s="103"/>
      <c r="U940" s="16"/>
      <c r="V940" s="16"/>
      <c r="W940" s="16"/>
      <c r="X940" s="103"/>
    </row>
    <row r="941" spans="2:24" x14ac:dyDescent="0.25">
      <c r="B941" s="103"/>
      <c r="C941" s="103"/>
      <c r="D941" s="103"/>
      <c r="E941" s="103"/>
      <c r="F941" s="103"/>
      <c r="H941" s="103"/>
      <c r="I941" s="103"/>
      <c r="J941" s="103"/>
      <c r="K941" s="103"/>
      <c r="L941" s="103"/>
      <c r="N941" s="103"/>
      <c r="O941" s="103"/>
      <c r="Q941" s="16"/>
      <c r="R941" s="16"/>
      <c r="S941" s="16"/>
      <c r="T941" s="103"/>
      <c r="U941" s="16"/>
      <c r="V941" s="16"/>
      <c r="W941" s="16"/>
      <c r="X941" s="103"/>
    </row>
    <row r="942" spans="2:24" x14ac:dyDescent="0.25">
      <c r="B942" s="103"/>
      <c r="C942" s="103"/>
      <c r="D942" s="103"/>
      <c r="E942" s="103"/>
      <c r="F942" s="103"/>
      <c r="H942" s="103"/>
      <c r="I942" s="103"/>
      <c r="J942" s="103"/>
      <c r="K942" s="103"/>
      <c r="L942" s="103"/>
      <c r="N942" s="103"/>
      <c r="O942" s="103"/>
      <c r="Q942" s="16"/>
      <c r="R942" s="16"/>
      <c r="S942" s="16"/>
      <c r="T942" s="103"/>
      <c r="U942" s="16"/>
      <c r="V942" s="16"/>
      <c r="W942" s="16"/>
      <c r="X942" s="103"/>
    </row>
    <row r="943" spans="2:24" x14ac:dyDescent="0.25">
      <c r="B943" s="103"/>
      <c r="C943" s="103"/>
      <c r="D943" s="103"/>
      <c r="E943" s="103"/>
      <c r="F943" s="103"/>
      <c r="H943" s="103"/>
      <c r="I943" s="103"/>
      <c r="J943" s="103"/>
      <c r="K943" s="103"/>
      <c r="L943" s="103"/>
      <c r="N943" s="103"/>
      <c r="O943" s="103"/>
      <c r="Q943" s="16"/>
      <c r="R943" s="16"/>
      <c r="S943" s="16"/>
      <c r="T943" s="103"/>
      <c r="U943" s="16"/>
      <c r="V943" s="16"/>
      <c r="W943" s="16"/>
      <c r="X943" s="103"/>
    </row>
    <row r="944" spans="2:24" x14ac:dyDescent="0.25">
      <c r="B944" s="103"/>
      <c r="C944" s="103"/>
      <c r="D944" s="103"/>
      <c r="E944" s="103"/>
      <c r="F944" s="103"/>
      <c r="H944" s="103"/>
      <c r="I944" s="103"/>
      <c r="J944" s="103"/>
      <c r="K944" s="103"/>
      <c r="L944" s="103"/>
      <c r="N944" s="103"/>
      <c r="O944" s="103"/>
      <c r="Q944" s="16"/>
      <c r="R944" s="16"/>
      <c r="S944" s="16"/>
      <c r="T944" s="103"/>
      <c r="U944" s="16"/>
      <c r="V944" s="16"/>
      <c r="W944" s="16"/>
      <c r="X944" s="103"/>
    </row>
    <row r="945" spans="2:24" x14ac:dyDescent="0.25">
      <c r="B945" s="103"/>
      <c r="C945" s="103"/>
      <c r="D945" s="103"/>
      <c r="E945" s="103"/>
      <c r="F945" s="103"/>
      <c r="H945" s="103"/>
      <c r="I945" s="103"/>
      <c r="J945" s="103"/>
      <c r="K945" s="103"/>
      <c r="L945" s="103"/>
      <c r="N945" s="103"/>
      <c r="O945" s="103"/>
      <c r="Q945" s="16"/>
      <c r="R945" s="16"/>
      <c r="S945" s="16"/>
      <c r="T945" s="103"/>
      <c r="U945" s="16"/>
      <c r="V945" s="16"/>
      <c r="W945" s="16"/>
      <c r="X945" s="103"/>
    </row>
    <row r="946" spans="2:24" x14ac:dyDescent="0.25">
      <c r="B946" s="103"/>
      <c r="C946" s="103"/>
      <c r="D946" s="103"/>
      <c r="E946" s="103"/>
      <c r="F946" s="103"/>
      <c r="H946" s="103"/>
      <c r="I946" s="103"/>
      <c r="J946" s="103"/>
      <c r="K946" s="103"/>
      <c r="L946" s="103"/>
      <c r="N946" s="103"/>
      <c r="O946" s="103"/>
      <c r="Q946" s="16"/>
      <c r="R946" s="16"/>
      <c r="S946" s="16"/>
      <c r="T946" s="103"/>
      <c r="U946" s="16"/>
      <c r="V946" s="16"/>
      <c r="W946" s="16"/>
      <c r="X946" s="103"/>
    </row>
    <row r="947" spans="2:24" x14ac:dyDescent="0.25">
      <c r="B947" s="103"/>
      <c r="C947" s="103"/>
      <c r="D947" s="103"/>
      <c r="E947" s="103"/>
      <c r="F947" s="103"/>
      <c r="H947" s="103"/>
      <c r="I947" s="103"/>
      <c r="J947" s="103"/>
      <c r="K947" s="103"/>
      <c r="L947" s="103"/>
      <c r="N947" s="103"/>
      <c r="O947" s="103"/>
      <c r="Q947" s="16"/>
      <c r="R947" s="16"/>
      <c r="S947" s="16"/>
      <c r="T947" s="103"/>
      <c r="U947" s="16"/>
      <c r="V947" s="16"/>
      <c r="W947" s="16"/>
      <c r="X947" s="103"/>
    </row>
    <row r="948" spans="2:24" x14ac:dyDescent="0.25">
      <c r="B948" s="103"/>
      <c r="C948" s="103"/>
      <c r="D948" s="103"/>
      <c r="E948" s="103"/>
      <c r="F948" s="103"/>
      <c r="H948" s="103"/>
      <c r="I948" s="103"/>
      <c r="J948" s="103"/>
      <c r="K948" s="103"/>
      <c r="L948" s="103"/>
      <c r="N948" s="103"/>
      <c r="O948" s="103"/>
      <c r="Q948" s="16"/>
      <c r="R948" s="16"/>
      <c r="S948" s="16"/>
      <c r="T948" s="103"/>
      <c r="U948" s="16"/>
      <c r="V948" s="16"/>
      <c r="W948" s="16"/>
      <c r="X948" s="103"/>
    </row>
    <row r="949" spans="2:24" x14ac:dyDescent="0.25">
      <c r="B949" s="103"/>
      <c r="C949" s="103"/>
      <c r="D949" s="103"/>
      <c r="E949" s="103"/>
      <c r="F949" s="103"/>
      <c r="H949" s="103"/>
      <c r="I949" s="103"/>
      <c r="J949" s="103"/>
      <c r="K949" s="103"/>
      <c r="L949" s="103"/>
      <c r="N949" s="103"/>
      <c r="O949" s="103"/>
      <c r="Q949" s="16"/>
      <c r="R949" s="16"/>
      <c r="S949" s="16"/>
      <c r="T949" s="103"/>
      <c r="U949" s="16"/>
      <c r="V949" s="16"/>
      <c r="W949" s="16"/>
      <c r="X949" s="103"/>
    </row>
    <row r="950" spans="2:24" x14ac:dyDescent="0.25">
      <c r="B950" s="103"/>
      <c r="C950" s="103"/>
      <c r="D950" s="103"/>
      <c r="E950" s="103"/>
      <c r="F950" s="103"/>
      <c r="H950" s="103"/>
      <c r="I950" s="103"/>
      <c r="J950" s="103"/>
      <c r="K950" s="103"/>
      <c r="L950" s="103"/>
      <c r="N950" s="103"/>
      <c r="O950" s="103"/>
      <c r="Q950" s="16"/>
      <c r="R950" s="16"/>
      <c r="S950" s="16"/>
      <c r="T950" s="103"/>
      <c r="U950" s="16"/>
      <c r="V950" s="16"/>
      <c r="W950" s="16"/>
      <c r="X950" s="103"/>
    </row>
    <row r="951" spans="2:24" x14ac:dyDescent="0.25">
      <c r="B951" s="103"/>
      <c r="C951" s="103"/>
      <c r="D951" s="103"/>
      <c r="E951" s="103"/>
      <c r="F951" s="103"/>
      <c r="H951" s="103"/>
      <c r="I951" s="103"/>
      <c r="J951" s="103"/>
      <c r="K951" s="103"/>
      <c r="L951" s="103"/>
      <c r="N951" s="103"/>
      <c r="O951" s="103"/>
      <c r="Q951" s="16"/>
      <c r="R951" s="16"/>
      <c r="S951" s="16"/>
      <c r="T951" s="103"/>
      <c r="U951" s="16"/>
      <c r="V951" s="16"/>
      <c r="W951" s="16"/>
      <c r="X951" s="103"/>
    </row>
    <row r="952" spans="2:24" x14ac:dyDescent="0.25">
      <c r="B952" s="103"/>
      <c r="C952" s="103"/>
      <c r="D952" s="103"/>
      <c r="E952" s="103"/>
      <c r="F952" s="103"/>
      <c r="H952" s="103"/>
      <c r="I952" s="103"/>
      <c r="J952" s="103"/>
      <c r="K952" s="103"/>
      <c r="L952" s="103"/>
      <c r="N952" s="103"/>
      <c r="O952" s="103"/>
      <c r="Q952" s="16"/>
      <c r="R952" s="16"/>
      <c r="S952" s="16"/>
      <c r="T952" s="103"/>
      <c r="U952" s="16"/>
      <c r="V952" s="16"/>
      <c r="W952" s="16"/>
      <c r="X952" s="103"/>
    </row>
    <row r="953" spans="2:24" x14ac:dyDescent="0.25">
      <c r="B953" s="103"/>
      <c r="C953" s="103"/>
      <c r="D953" s="103"/>
      <c r="E953" s="103"/>
      <c r="F953" s="103"/>
      <c r="H953" s="103"/>
      <c r="I953" s="103"/>
      <c r="J953" s="103"/>
      <c r="K953" s="103"/>
      <c r="L953" s="103"/>
      <c r="N953" s="103"/>
      <c r="O953" s="103"/>
      <c r="Q953" s="16"/>
      <c r="R953" s="16"/>
      <c r="S953" s="16"/>
      <c r="T953" s="103"/>
      <c r="U953" s="16"/>
      <c r="V953" s="16"/>
      <c r="W953" s="16"/>
      <c r="X953" s="103"/>
    </row>
    <row r="954" spans="2:24" x14ac:dyDescent="0.25">
      <c r="B954" s="103"/>
      <c r="C954" s="103"/>
      <c r="D954" s="103"/>
      <c r="E954" s="103"/>
      <c r="F954" s="103"/>
      <c r="H954" s="103"/>
      <c r="I954" s="103"/>
      <c r="J954" s="103"/>
      <c r="K954" s="103"/>
      <c r="L954" s="103"/>
      <c r="N954" s="103"/>
      <c r="O954" s="103"/>
      <c r="Q954" s="16"/>
      <c r="R954" s="16"/>
      <c r="S954" s="16"/>
      <c r="T954" s="103"/>
      <c r="U954" s="16"/>
      <c r="V954" s="16"/>
      <c r="W954" s="16"/>
      <c r="X954" s="103"/>
    </row>
    <row r="955" spans="2:24" x14ac:dyDescent="0.25">
      <c r="B955" s="103"/>
      <c r="C955" s="103"/>
      <c r="D955" s="103"/>
      <c r="E955" s="103"/>
      <c r="F955" s="103"/>
      <c r="H955" s="103"/>
      <c r="I955" s="103"/>
      <c r="J955" s="103"/>
      <c r="K955" s="103"/>
      <c r="L955" s="103"/>
      <c r="N955" s="103"/>
      <c r="O955" s="103"/>
      <c r="Q955" s="16"/>
      <c r="R955" s="16"/>
      <c r="S955" s="16"/>
      <c r="T955" s="103"/>
      <c r="U955" s="16"/>
      <c r="V955" s="16"/>
      <c r="W955" s="16"/>
      <c r="X955" s="103"/>
    </row>
    <row r="956" spans="2:24" x14ac:dyDescent="0.25">
      <c r="B956" s="103"/>
      <c r="C956" s="103"/>
      <c r="D956" s="103"/>
      <c r="E956" s="103"/>
      <c r="F956" s="103"/>
      <c r="H956" s="103"/>
      <c r="I956" s="103"/>
      <c r="J956" s="103"/>
      <c r="K956" s="103"/>
      <c r="L956" s="103"/>
      <c r="N956" s="103"/>
      <c r="O956" s="103"/>
      <c r="Q956" s="16"/>
      <c r="R956" s="16"/>
      <c r="S956" s="16"/>
      <c r="T956" s="103"/>
      <c r="U956" s="16"/>
      <c r="V956" s="16"/>
      <c r="W956" s="16"/>
      <c r="X956" s="103"/>
    </row>
    <row r="957" spans="2:24" x14ac:dyDescent="0.25">
      <c r="B957" s="103"/>
      <c r="C957" s="103"/>
      <c r="D957" s="103"/>
      <c r="E957" s="103"/>
      <c r="F957" s="103"/>
      <c r="H957" s="103"/>
      <c r="I957" s="103"/>
      <c r="J957" s="103"/>
      <c r="K957" s="103"/>
      <c r="L957" s="103"/>
      <c r="N957" s="103"/>
      <c r="O957" s="103"/>
      <c r="Q957" s="16"/>
      <c r="R957" s="16"/>
      <c r="S957" s="16"/>
      <c r="T957" s="103"/>
      <c r="U957" s="16"/>
      <c r="V957" s="16"/>
      <c r="W957" s="16"/>
      <c r="X957" s="103"/>
    </row>
    <row r="958" spans="2:24" x14ac:dyDescent="0.25">
      <c r="B958" s="103"/>
      <c r="C958" s="103"/>
      <c r="D958" s="103"/>
      <c r="E958" s="103"/>
      <c r="F958" s="103"/>
      <c r="H958" s="103"/>
      <c r="I958" s="103"/>
      <c r="J958" s="103"/>
      <c r="K958" s="103"/>
      <c r="L958" s="103"/>
      <c r="N958" s="103"/>
      <c r="O958" s="103"/>
      <c r="Q958" s="16"/>
      <c r="R958" s="16"/>
      <c r="S958" s="16"/>
      <c r="T958" s="103"/>
      <c r="U958" s="16"/>
      <c r="V958" s="16"/>
      <c r="W958" s="16"/>
      <c r="X958" s="103"/>
    </row>
    <row r="959" spans="2:24" x14ac:dyDescent="0.25">
      <c r="B959" s="103"/>
      <c r="C959" s="103"/>
      <c r="D959" s="103"/>
      <c r="E959" s="103"/>
      <c r="F959" s="103"/>
      <c r="H959" s="103"/>
      <c r="I959" s="103"/>
      <c r="J959" s="103"/>
      <c r="K959" s="103"/>
      <c r="L959" s="103"/>
      <c r="N959" s="103"/>
      <c r="O959" s="103"/>
      <c r="Q959" s="16"/>
      <c r="R959" s="16"/>
      <c r="S959" s="16"/>
      <c r="T959" s="103"/>
      <c r="U959" s="16"/>
      <c r="V959" s="16"/>
      <c r="W959" s="16"/>
      <c r="X959" s="103"/>
    </row>
    <row r="960" spans="2:24" x14ac:dyDescent="0.25">
      <c r="B960" s="103"/>
      <c r="C960" s="103"/>
      <c r="D960" s="103"/>
      <c r="E960" s="103"/>
      <c r="F960" s="103"/>
      <c r="H960" s="103"/>
      <c r="I960" s="103"/>
      <c r="J960" s="103"/>
      <c r="K960" s="103"/>
      <c r="L960" s="103"/>
      <c r="N960" s="103"/>
      <c r="O960" s="103"/>
      <c r="Q960" s="16"/>
      <c r="R960" s="16"/>
      <c r="S960" s="16"/>
      <c r="T960" s="103"/>
      <c r="U960" s="16"/>
      <c r="V960" s="16"/>
      <c r="W960" s="16"/>
      <c r="X960" s="103"/>
    </row>
    <row r="961" spans="2:24" x14ac:dyDescent="0.25">
      <c r="B961" s="103"/>
      <c r="C961" s="103"/>
      <c r="D961" s="103"/>
      <c r="E961" s="103"/>
      <c r="F961" s="103"/>
      <c r="H961" s="103"/>
      <c r="I961" s="103"/>
      <c r="J961" s="103"/>
      <c r="K961" s="103"/>
      <c r="L961" s="103"/>
      <c r="N961" s="103"/>
      <c r="O961" s="103"/>
      <c r="Q961" s="16"/>
      <c r="R961" s="16"/>
      <c r="S961" s="16"/>
      <c r="T961" s="103"/>
      <c r="U961" s="16"/>
      <c r="V961" s="16"/>
      <c r="W961" s="16"/>
      <c r="X961" s="103"/>
    </row>
    <row r="962" spans="2:24" x14ac:dyDescent="0.25">
      <c r="B962" s="103"/>
      <c r="C962" s="103"/>
      <c r="D962" s="103"/>
      <c r="E962" s="103"/>
      <c r="F962" s="103"/>
      <c r="H962" s="103"/>
      <c r="I962" s="103"/>
      <c r="J962" s="103"/>
      <c r="K962" s="103"/>
      <c r="L962" s="103"/>
      <c r="N962" s="103"/>
      <c r="O962" s="103"/>
      <c r="Q962" s="16"/>
      <c r="R962" s="16"/>
      <c r="S962" s="16"/>
      <c r="T962" s="103"/>
      <c r="U962" s="16"/>
      <c r="V962" s="16"/>
      <c r="W962" s="16"/>
      <c r="X962" s="103"/>
    </row>
    <row r="963" spans="2:24" x14ac:dyDescent="0.25">
      <c r="B963" s="103"/>
      <c r="C963" s="103"/>
      <c r="D963" s="103"/>
      <c r="E963" s="103"/>
      <c r="F963" s="103"/>
      <c r="H963" s="103"/>
      <c r="I963" s="103"/>
      <c r="J963" s="103"/>
      <c r="K963" s="103"/>
      <c r="L963" s="103"/>
      <c r="N963" s="103"/>
      <c r="O963" s="103"/>
      <c r="Q963" s="16"/>
      <c r="R963" s="16"/>
      <c r="S963" s="16"/>
      <c r="T963" s="103"/>
      <c r="U963" s="16"/>
      <c r="V963" s="16"/>
      <c r="W963" s="16"/>
      <c r="X963" s="103"/>
    </row>
    <row r="964" spans="2:24" x14ac:dyDescent="0.25">
      <c r="B964" s="103"/>
      <c r="C964" s="103"/>
      <c r="D964" s="103"/>
      <c r="E964" s="103"/>
      <c r="F964" s="103"/>
      <c r="H964" s="103"/>
      <c r="I964" s="103"/>
      <c r="J964" s="103"/>
      <c r="K964" s="103"/>
      <c r="L964" s="103"/>
      <c r="N964" s="103"/>
      <c r="O964" s="103"/>
      <c r="Q964" s="16"/>
      <c r="R964" s="16"/>
      <c r="S964" s="16"/>
      <c r="T964" s="103"/>
      <c r="U964" s="16"/>
      <c r="V964" s="16"/>
      <c r="W964" s="16"/>
      <c r="X964" s="103"/>
    </row>
    <row r="965" spans="2:24" x14ac:dyDescent="0.25">
      <c r="B965" s="103"/>
      <c r="C965" s="103"/>
      <c r="D965" s="103"/>
      <c r="E965" s="103"/>
      <c r="F965" s="103"/>
      <c r="H965" s="103"/>
      <c r="I965" s="103"/>
      <c r="J965" s="103"/>
      <c r="K965" s="103"/>
      <c r="L965" s="103"/>
      <c r="N965" s="103"/>
      <c r="O965" s="103"/>
      <c r="Q965" s="16"/>
      <c r="R965" s="16"/>
      <c r="S965" s="16"/>
      <c r="T965" s="103"/>
      <c r="U965" s="16"/>
      <c r="V965" s="16"/>
      <c r="W965" s="16"/>
      <c r="X965" s="103"/>
    </row>
    <row r="966" spans="2:24" x14ac:dyDescent="0.25">
      <c r="B966" s="103"/>
      <c r="C966" s="103"/>
      <c r="D966" s="103"/>
      <c r="E966" s="103"/>
      <c r="F966" s="103"/>
      <c r="H966" s="103"/>
      <c r="I966" s="103"/>
      <c r="J966" s="103"/>
      <c r="K966" s="103"/>
      <c r="L966" s="103"/>
      <c r="N966" s="103"/>
      <c r="O966" s="103"/>
      <c r="Q966" s="16"/>
      <c r="R966" s="16"/>
      <c r="S966" s="16"/>
      <c r="T966" s="103"/>
      <c r="U966" s="16"/>
      <c r="V966" s="16"/>
      <c r="W966" s="16"/>
      <c r="X966" s="103"/>
    </row>
    <row r="967" spans="2:24" x14ac:dyDescent="0.25">
      <c r="B967" s="103"/>
      <c r="C967" s="103"/>
      <c r="D967" s="103"/>
      <c r="E967" s="103"/>
      <c r="F967" s="103"/>
      <c r="H967" s="103"/>
      <c r="I967" s="103"/>
      <c r="J967" s="103"/>
      <c r="K967" s="103"/>
      <c r="L967" s="103"/>
      <c r="N967" s="103"/>
      <c r="O967" s="103"/>
      <c r="Q967" s="16"/>
      <c r="R967" s="16"/>
      <c r="S967" s="16"/>
      <c r="T967" s="103"/>
      <c r="U967" s="16"/>
      <c r="V967" s="16"/>
      <c r="W967" s="16"/>
      <c r="X967" s="103"/>
    </row>
    <row r="968" spans="2:24" x14ac:dyDescent="0.25">
      <c r="B968" s="103"/>
      <c r="C968" s="103"/>
      <c r="D968" s="103"/>
      <c r="E968" s="103"/>
      <c r="F968" s="103"/>
      <c r="H968" s="103"/>
      <c r="I968" s="103"/>
      <c r="J968" s="103"/>
      <c r="K968" s="103"/>
      <c r="L968" s="103"/>
      <c r="N968" s="103"/>
      <c r="O968" s="103"/>
      <c r="Q968" s="16"/>
      <c r="R968" s="16"/>
      <c r="S968" s="16"/>
      <c r="T968" s="103"/>
      <c r="U968" s="16"/>
      <c r="V968" s="16"/>
      <c r="W968" s="16"/>
      <c r="X968" s="103"/>
    </row>
    <row r="969" spans="2:24" x14ac:dyDescent="0.25">
      <c r="B969" s="103"/>
      <c r="C969" s="103"/>
      <c r="D969" s="103"/>
      <c r="E969" s="103"/>
      <c r="F969" s="103"/>
      <c r="H969" s="103"/>
      <c r="I969" s="103"/>
      <c r="J969" s="103"/>
      <c r="K969" s="103"/>
      <c r="L969" s="103"/>
      <c r="N969" s="103"/>
      <c r="O969" s="103"/>
      <c r="Q969" s="16"/>
      <c r="R969" s="16"/>
      <c r="S969" s="16"/>
      <c r="T969" s="103"/>
      <c r="U969" s="16"/>
      <c r="V969" s="16"/>
      <c r="W969" s="16"/>
      <c r="X969" s="103"/>
    </row>
    <row r="970" spans="2:24" x14ac:dyDescent="0.25">
      <c r="B970" s="103"/>
      <c r="C970" s="103"/>
      <c r="D970" s="103"/>
      <c r="E970" s="103"/>
      <c r="F970" s="103"/>
      <c r="H970" s="103"/>
      <c r="I970" s="103"/>
      <c r="J970" s="103"/>
      <c r="K970" s="103"/>
      <c r="L970" s="103"/>
      <c r="N970" s="103"/>
      <c r="O970" s="103"/>
      <c r="Q970" s="16"/>
      <c r="R970" s="16"/>
      <c r="S970" s="16"/>
      <c r="T970" s="103"/>
      <c r="U970" s="16"/>
      <c r="V970" s="16"/>
      <c r="W970" s="16"/>
      <c r="X970" s="103"/>
    </row>
    <row r="971" spans="2:24" x14ac:dyDescent="0.25">
      <c r="B971" s="103"/>
      <c r="C971" s="103"/>
      <c r="D971" s="103"/>
      <c r="E971" s="103"/>
      <c r="F971" s="103"/>
      <c r="H971" s="103"/>
      <c r="I971" s="103"/>
      <c r="J971" s="103"/>
      <c r="K971" s="103"/>
      <c r="L971" s="103"/>
      <c r="N971" s="103"/>
      <c r="O971" s="103"/>
      <c r="Q971" s="16"/>
      <c r="R971" s="16"/>
      <c r="S971" s="16"/>
      <c r="T971" s="103"/>
      <c r="U971" s="16"/>
      <c r="V971" s="16"/>
      <c r="W971" s="16"/>
      <c r="X971" s="103"/>
    </row>
    <row r="972" spans="2:24" x14ac:dyDescent="0.25">
      <c r="B972" s="103"/>
      <c r="C972" s="103"/>
      <c r="D972" s="103"/>
      <c r="E972" s="103"/>
      <c r="F972" s="103"/>
      <c r="H972" s="103"/>
      <c r="I972" s="103"/>
      <c r="J972" s="103"/>
      <c r="K972" s="103"/>
      <c r="L972" s="103"/>
      <c r="N972" s="103"/>
      <c r="O972" s="103"/>
      <c r="Q972" s="16"/>
      <c r="R972" s="16"/>
      <c r="S972" s="16"/>
      <c r="T972" s="103"/>
      <c r="U972" s="16"/>
      <c r="V972" s="16"/>
      <c r="W972" s="16"/>
      <c r="X972" s="103"/>
    </row>
    <row r="973" spans="2:24" x14ac:dyDescent="0.25">
      <c r="B973" s="103"/>
      <c r="C973" s="103"/>
      <c r="D973" s="103"/>
      <c r="E973" s="103"/>
      <c r="F973" s="103"/>
      <c r="H973" s="103"/>
      <c r="I973" s="103"/>
      <c r="J973" s="103"/>
      <c r="K973" s="103"/>
      <c r="L973" s="103"/>
      <c r="N973" s="103"/>
      <c r="O973" s="103"/>
      <c r="Q973" s="16"/>
      <c r="R973" s="16"/>
      <c r="S973" s="16"/>
      <c r="T973" s="103"/>
      <c r="U973" s="16"/>
      <c r="V973" s="16"/>
      <c r="W973" s="16"/>
      <c r="X973" s="103"/>
    </row>
    <row r="974" spans="2:24" x14ac:dyDescent="0.25">
      <c r="B974" s="103"/>
      <c r="C974" s="103"/>
      <c r="D974" s="103"/>
      <c r="E974" s="103"/>
      <c r="F974" s="103"/>
      <c r="H974" s="103"/>
      <c r="I974" s="103"/>
      <c r="J974" s="103"/>
      <c r="K974" s="103"/>
      <c r="L974" s="103"/>
      <c r="N974" s="103"/>
      <c r="O974" s="103"/>
      <c r="Q974" s="16"/>
      <c r="R974" s="16"/>
      <c r="S974" s="16"/>
      <c r="T974" s="103"/>
      <c r="U974" s="16"/>
      <c r="V974" s="16"/>
      <c r="W974" s="16"/>
      <c r="X974" s="103"/>
    </row>
    <row r="975" spans="2:24" x14ac:dyDescent="0.25">
      <c r="B975" s="103"/>
      <c r="C975" s="103"/>
      <c r="D975" s="103"/>
      <c r="E975" s="103"/>
      <c r="F975" s="103"/>
      <c r="H975" s="103"/>
      <c r="I975" s="103"/>
      <c r="J975" s="103"/>
      <c r="K975" s="103"/>
      <c r="L975" s="103"/>
      <c r="N975" s="103"/>
      <c r="O975" s="103"/>
      <c r="Q975" s="16"/>
      <c r="R975" s="16"/>
      <c r="S975" s="16"/>
      <c r="T975" s="103"/>
      <c r="U975" s="16"/>
      <c r="V975" s="16"/>
      <c r="W975" s="16"/>
      <c r="X975" s="103"/>
    </row>
    <row r="976" spans="2:24" x14ac:dyDescent="0.25">
      <c r="B976" s="103"/>
      <c r="C976" s="103"/>
      <c r="D976" s="103"/>
      <c r="E976" s="103"/>
      <c r="F976" s="103"/>
      <c r="H976" s="103"/>
      <c r="I976" s="103"/>
      <c r="J976" s="103"/>
      <c r="K976" s="103"/>
      <c r="L976" s="103"/>
      <c r="N976" s="103"/>
      <c r="O976" s="103"/>
      <c r="Q976" s="16"/>
      <c r="R976" s="16"/>
      <c r="S976" s="16"/>
      <c r="T976" s="103"/>
      <c r="U976" s="16"/>
      <c r="V976" s="16"/>
      <c r="W976" s="16"/>
      <c r="X976" s="103"/>
    </row>
    <row r="977" spans="2:24" x14ac:dyDescent="0.25">
      <c r="B977" s="103"/>
      <c r="C977" s="103"/>
      <c r="D977" s="103"/>
      <c r="E977" s="103"/>
      <c r="F977" s="103"/>
      <c r="H977" s="103"/>
      <c r="I977" s="103"/>
      <c r="J977" s="103"/>
      <c r="K977" s="103"/>
      <c r="L977" s="103"/>
      <c r="N977" s="103"/>
      <c r="O977" s="103"/>
      <c r="Q977" s="16"/>
      <c r="R977" s="16"/>
      <c r="S977" s="16"/>
      <c r="T977" s="103"/>
      <c r="U977" s="16"/>
      <c r="V977" s="16"/>
      <c r="W977" s="16"/>
      <c r="X977" s="103"/>
    </row>
    <row r="978" spans="2:24" x14ac:dyDescent="0.25">
      <c r="B978" s="103"/>
      <c r="C978" s="103"/>
      <c r="D978" s="103"/>
      <c r="E978" s="103"/>
      <c r="F978" s="103"/>
      <c r="H978" s="103"/>
      <c r="I978" s="103"/>
      <c r="J978" s="103"/>
      <c r="K978" s="103"/>
      <c r="L978" s="103"/>
      <c r="N978" s="103"/>
      <c r="O978" s="103"/>
      <c r="Q978" s="16"/>
      <c r="R978" s="16"/>
      <c r="S978" s="16"/>
      <c r="T978" s="103"/>
      <c r="U978" s="16"/>
      <c r="V978" s="16"/>
      <c r="W978" s="16"/>
      <c r="X978" s="103"/>
    </row>
    <row r="979" spans="2:24" x14ac:dyDescent="0.25">
      <c r="B979" s="103"/>
      <c r="C979" s="103"/>
      <c r="D979" s="103"/>
      <c r="E979" s="103"/>
      <c r="F979" s="103"/>
      <c r="H979" s="103"/>
      <c r="I979" s="103"/>
      <c r="J979" s="103"/>
      <c r="K979" s="103"/>
      <c r="L979" s="103"/>
      <c r="N979" s="103"/>
      <c r="O979" s="103"/>
      <c r="Q979" s="16"/>
      <c r="R979" s="16"/>
      <c r="S979" s="16"/>
      <c r="T979" s="103"/>
      <c r="U979" s="16"/>
      <c r="V979" s="16"/>
      <c r="W979" s="16"/>
      <c r="X979" s="103"/>
    </row>
    <row r="980" spans="2:24" x14ac:dyDescent="0.25">
      <c r="B980" s="103"/>
      <c r="C980" s="103"/>
      <c r="D980" s="103"/>
      <c r="E980" s="103"/>
      <c r="F980" s="103"/>
      <c r="H980" s="103"/>
      <c r="I980" s="103"/>
      <c r="J980" s="103"/>
      <c r="K980" s="103"/>
      <c r="L980" s="103"/>
      <c r="N980" s="103"/>
      <c r="O980" s="103"/>
      <c r="Q980" s="16"/>
      <c r="R980" s="16"/>
      <c r="S980" s="16"/>
      <c r="T980" s="103"/>
      <c r="U980" s="16"/>
      <c r="V980" s="16"/>
      <c r="W980" s="16"/>
      <c r="X980" s="103"/>
    </row>
    <row r="981" spans="2:24" x14ac:dyDescent="0.25">
      <c r="B981" s="103"/>
      <c r="C981" s="103"/>
      <c r="D981" s="103"/>
      <c r="E981" s="103"/>
      <c r="F981" s="103"/>
      <c r="H981" s="103"/>
      <c r="I981" s="103"/>
      <c r="J981" s="103"/>
      <c r="K981" s="103"/>
      <c r="L981" s="103"/>
      <c r="N981" s="103"/>
      <c r="O981" s="103"/>
      <c r="Q981" s="16"/>
      <c r="R981" s="16"/>
      <c r="S981" s="16"/>
      <c r="T981" s="103"/>
      <c r="U981" s="16"/>
      <c r="V981" s="16"/>
      <c r="W981" s="16"/>
      <c r="X981" s="103"/>
    </row>
    <row r="982" spans="2:24" x14ac:dyDescent="0.25">
      <c r="B982" s="103"/>
      <c r="C982" s="103"/>
      <c r="D982" s="103"/>
      <c r="E982" s="103"/>
      <c r="F982" s="103"/>
      <c r="H982" s="103"/>
      <c r="I982" s="103"/>
      <c r="J982" s="103"/>
      <c r="K982" s="103"/>
      <c r="L982" s="103"/>
      <c r="N982" s="103"/>
      <c r="O982" s="103"/>
      <c r="Q982" s="16"/>
      <c r="R982" s="16"/>
      <c r="S982" s="16"/>
      <c r="T982" s="103"/>
      <c r="U982" s="16"/>
      <c r="V982" s="16"/>
      <c r="W982" s="16"/>
      <c r="X982" s="103"/>
    </row>
    <row r="983" spans="2:24" x14ac:dyDescent="0.25">
      <c r="B983" s="103"/>
      <c r="C983" s="103"/>
      <c r="D983" s="103"/>
      <c r="E983" s="103"/>
      <c r="F983" s="103"/>
      <c r="H983" s="103"/>
      <c r="I983" s="103"/>
      <c r="J983" s="103"/>
      <c r="K983" s="103"/>
      <c r="L983" s="103"/>
      <c r="N983" s="103"/>
      <c r="O983" s="103"/>
      <c r="Q983" s="16"/>
      <c r="R983" s="16"/>
      <c r="S983" s="16"/>
      <c r="T983" s="103"/>
      <c r="U983" s="16"/>
      <c r="V983" s="16"/>
      <c r="W983" s="16"/>
      <c r="X983" s="103"/>
    </row>
    <row r="984" spans="2:24" x14ac:dyDescent="0.25">
      <c r="B984" s="103"/>
      <c r="C984" s="103"/>
      <c r="D984" s="103"/>
      <c r="E984" s="103"/>
      <c r="F984" s="103"/>
      <c r="H984" s="103"/>
      <c r="I984" s="103"/>
      <c r="J984" s="103"/>
      <c r="K984" s="103"/>
      <c r="L984" s="103"/>
      <c r="N984" s="103"/>
      <c r="O984" s="103"/>
      <c r="Q984" s="16"/>
      <c r="R984" s="16"/>
      <c r="S984" s="16"/>
      <c r="T984" s="103"/>
      <c r="U984" s="16"/>
      <c r="V984" s="16"/>
      <c r="W984" s="16"/>
      <c r="X984" s="103"/>
    </row>
    <row r="985" spans="2:24" x14ac:dyDescent="0.25">
      <c r="B985" s="103"/>
      <c r="C985" s="103"/>
      <c r="D985" s="103"/>
      <c r="E985" s="103"/>
      <c r="F985" s="103"/>
      <c r="H985" s="103"/>
      <c r="I985" s="103"/>
      <c r="J985" s="103"/>
      <c r="K985" s="103"/>
      <c r="L985" s="103"/>
      <c r="N985" s="103"/>
      <c r="O985" s="103"/>
      <c r="Q985" s="16"/>
      <c r="R985" s="16"/>
      <c r="S985" s="16"/>
      <c r="T985" s="103"/>
      <c r="U985" s="16"/>
      <c r="V985" s="16"/>
      <c r="W985" s="16"/>
      <c r="X985" s="103"/>
    </row>
    <row r="986" spans="2:24" x14ac:dyDescent="0.25">
      <c r="B986" s="103"/>
      <c r="C986" s="103"/>
      <c r="D986" s="103"/>
      <c r="E986" s="103"/>
      <c r="F986" s="103"/>
      <c r="H986" s="103"/>
      <c r="I986" s="103"/>
      <c r="J986" s="103"/>
      <c r="K986" s="103"/>
      <c r="L986" s="103"/>
      <c r="N986" s="103"/>
      <c r="O986" s="103"/>
      <c r="Q986" s="16"/>
      <c r="R986" s="16"/>
      <c r="S986" s="16"/>
      <c r="T986" s="103"/>
      <c r="U986" s="16"/>
      <c r="V986" s="16"/>
      <c r="W986" s="16"/>
      <c r="X986" s="103"/>
    </row>
    <row r="987" spans="2:24" x14ac:dyDescent="0.25">
      <c r="B987" s="103"/>
      <c r="C987" s="103"/>
      <c r="D987" s="103"/>
      <c r="E987" s="103"/>
      <c r="F987" s="103"/>
      <c r="H987" s="103"/>
      <c r="I987" s="103"/>
      <c r="J987" s="103"/>
      <c r="K987" s="103"/>
      <c r="L987" s="103"/>
      <c r="N987" s="103"/>
      <c r="O987" s="103"/>
      <c r="Q987" s="16"/>
      <c r="R987" s="16"/>
      <c r="S987" s="16"/>
      <c r="T987" s="103"/>
      <c r="U987" s="16"/>
      <c r="V987" s="16"/>
      <c r="W987" s="16"/>
      <c r="X987" s="103"/>
    </row>
    <row r="988" spans="2:24" x14ac:dyDescent="0.25">
      <c r="B988" s="103"/>
      <c r="C988" s="103"/>
      <c r="D988" s="103"/>
      <c r="E988" s="103"/>
      <c r="F988" s="103"/>
      <c r="H988" s="103"/>
      <c r="I988" s="103"/>
      <c r="J988" s="103"/>
      <c r="K988" s="103"/>
      <c r="L988" s="103"/>
      <c r="N988" s="103"/>
      <c r="O988" s="103"/>
      <c r="Q988" s="16"/>
      <c r="R988" s="16"/>
      <c r="S988" s="16"/>
      <c r="T988" s="103"/>
      <c r="U988" s="16"/>
      <c r="V988" s="16"/>
      <c r="W988" s="16"/>
      <c r="X988" s="103"/>
    </row>
    <row r="989" spans="2:24" x14ac:dyDescent="0.25">
      <c r="B989" s="103"/>
      <c r="C989" s="103"/>
      <c r="D989" s="103"/>
      <c r="E989" s="103"/>
      <c r="F989" s="103"/>
      <c r="H989" s="103"/>
      <c r="I989" s="103"/>
      <c r="J989" s="103"/>
      <c r="K989" s="103"/>
      <c r="L989" s="103"/>
      <c r="N989" s="103"/>
      <c r="O989" s="103"/>
      <c r="Q989" s="16"/>
      <c r="R989" s="16"/>
      <c r="S989" s="16"/>
      <c r="T989" s="103"/>
      <c r="U989" s="16"/>
      <c r="V989" s="16"/>
      <c r="W989" s="16"/>
      <c r="X989" s="103"/>
    </row>
    <row r="990" spans="2:24" x14ac:dyDescent="0.25">
      <c r="B990" s="103"/>
      <c r="C990" s="103"/>
      <c r="D990" s="103"/>
      <c r="E990" s="103"/>
      <c r="F990" s="103"/>
      <c r="H990" s="103"/>
      <c r="I990" s="103"/>
      <c r="J990" s="103"/>
      <c r="K990" s="103"/>
      <c r="L990" s="103"/>
      <c r="N990" s="103"/>
      <c r="O990" s="103"/>
      <c r="Q990" s="16"/>
      <c r="R990" s="16"/>
      <c r="S990" s="16"/>
      <c r="T990" s="103"/>
      <c r="U990" s="16"/>
      <c r="V990" s="16"/>
      <c r="W990" s="16"/>
      <c r="X990" s="103"/>
    </row>
    <row r="991" spans="2:24" x14ac:dyDescent="0.25">
      <c r="B991" s="103"/>
      <c r="C991" s="103"/>
      <c r="D991" s="103"/>
      <c r="E991" s="103"/>
      <c r="F991" s="103"/>
      <c r="H991" s="103"/>
      <c r="I991" s="103"/>
      <c r="J991" s="103"/>
      <c r="K991" s="103"/>
      <c r="L991" s="103"/>
      <c r="N991" s="103"/>
      <c r="O991" s="103"/>
      <c r="Q991" s="16"/>
      <c r="R991" s="16"/>
      <c r="S991" s="16"/>
      <c r="T991" s="103"/>
      <c r="U991" s="16"/>
      <c r="V991" s="16"/>
      <c r="W991" s="16"/>
      <c r="X991" s="103"/>
    </row>
    <row r="992" spans="2:24" x14ac:dyDescent="0.25">
      <c r="B992" s="103"/>
      <c r="C992" s="103"/>
      <c r="D992" s="103"/>
      <c r="E992" s="103"/>
      <c r="F992" s="103"/>
      <c r="H992" s="103"/>
      <c r="I992" s="103"/>
      <c r="J992" s="103"/>
      <c r="K992" s="103"/>
      <c r="L992" s="103"/>
      <c r="N992" s="103"/>
      <c r="O992" s="103"/>
      <c r="Q992" s="16"/>
      <c r="R992" s="16"/>
      <c r="S992" s="16"/>
      <c r="T992" s="103"/>
      <c r="U992" s="16"/>
      <c r="V992" s="16"/>
      <c r="W992" s="16"/>
      <c r="X992" s="103"/>
    </row>
    <row r="993" spans="2:24" x14ac:dyDescent="0.25">
      <c r="B993" s="103"/>
      <c r="C993" s="103"/>
      <c r="D993" s="103"/>
      <c r="E993" s="103"/>
      <c r="F993" s="103"/>
      <c r="H993" s="103"/>
      <c r="I993" s="103"/>
      <c r="J993" s="103"/>
      <c r="K993" s="103"/>
      <c r="L993" s="103"/>
      <c r="N993" s="103"/>
      <c r="O993" s="103"/>
      <c r="Q993" s="16"/>
      <c r="R993" s="16"/>
      <c r="S993" s="16"/>
      <c r="T993" s="103"/>
      <c r="U993" s="16"/>
      <c r="V993" s="16"/>
      <c r="W993" s="16"/>
      <c r="X993" s="103"/>
    </row>
    <row r="994" spans="2:24" x14ac:dyDescent="0.25">
      <c r="B994" s="103"/>
      <c r="C994" s="103"/>
      <c r="D994" s="103"/>
      <c r="E994" s="103"/>
      <c r="F994" s="103"/>
      <c r="H994" s="103"/>
      <c r="I994" s="103"/>
      <c r="J994" s="103"/>
      <c r="K994" s="103"/>
      <c r="L994" s="103"/>
      <c r="N994" s="103"/>
      <c r="O994" s="103"/>
      <c r="Q994" s="16"/>
      <c r="R994" s="16"/>
      <c r="S994" s="16"/>
      <c r="T994" s="103"/>
      <c r="U994" s="16"/>
      <c r="V994" s="16"/>
      <c r="W994" s="16"/>
      <c r="X994" s="103"/>
    </row>
    <row r="995" spans="2:24" x14ac:dyDescent="0.25">
      <c r="B995" s="103"/>
      <c r="C995" s="103"/>
      <c r="D995" s="103"/>
      <c r="E995" s="103"/>
      <c r="F995" s="103"/>
      <c r="H995" s="103"/>
      <c r="I995" s="103"/>
      <c r="J995" s="103"/>
      <c r="K995" s="103"/>
      <c r="L995" s="103"/>
      <c r="N995" s="103"/>
      <c r="O995" s="103"/>
      <c r="Q995" s="16"/>
      <c r="R995" s="16"/>
      <c r="S995" s="16"/>
      <c r="T995" s="103"/>
      <c r="U995" s="16"/>
      <c r="V995" s="16"/>
      <c r="W995" s="16"/>
      <c r="X995" s="103"/>
    </row>
    <row r="996" spans="2:24" x14ac:dyDescent="0.25">
      <c r="B996" s="103"/>
      <c r="C996" s="103"/>
      <c r="D996" s="103"/>
      <c r="E996" s="103"/>
      <c r="F996" s="103"/>
      <c r="H996" s="103"/>
      <c r="I996" s="103"/>
      <c r="J996" s="103"/>
      <c r="K996" s="103"/>
      <c r="L996" s="103"/>
      <c r="N996" s="103"/>
      <c r="O996" s="103"/>
      <c r="Q996" s="16"/>
      <c r="R996" s="16"/>
      <c r="S996" s="16"/>
      <c r="T996" s="103"/>
      <c r="U996" s="16"/>
      <c r="V996" s="16"/>
      <c r="W996" s="16"/>
      <c r="X996" s="103"/>
    </row>
    <row r="997" spans="2:24" x14ac:dyDescent="0.25">
      <c r="B997" s="103"/>
      <c r="C997" s="103"/>
      <c r="D997" s="103"/>
      <c r="E997" s="103"/>
      <c r="F997" s="103"/>
      <c r="H997" s="103"/>
      <c r="I997" s="103"/>
      <c r="J997" s="103"/>
      <c r="K997" s="103"/>
      <c r="L997" s="103"/>
      <c r="N997" s="103"/>
      <c r="O997" s="103"/>
      <c r="Q997" s="16"/>
      <c r="R997" s="16"/>
      <c r="S997" s="16"/>
      <c r="T997" s="103"/>
      <c r="U997" s="16"/>
      <c r="V997" s="16"/>
      <c r="W997" s="16"/>
      <c r="X997" s="103"/>
    </row>
    <row r="998" spans="2:24" x14ac:dyDescent="0.25">
      <c r="B998" s="103"/>
      <c r="C998" s="103"/>
      <c r="D998" s="103"/>
      <c r="E998" s="103"/>
      <c r="F998" s="103"/>
      <c r="H998" s="103"/>
      <c r="I998" s="103"/>
      <c r="J998" s="103"/>
      <c r="K998" s="103"/>
      <c r="L998" s="103"/>
      <c r="N998" s="103"/>
      <c r="O998" s="103"/>
      <c r="Q998" s="16"/>
      <c r="R998" s="16"/>
      <c r="S998" s="16"/>
      <c r="T998" s="103"/>
      <c r="U998" s="16"/>
      <c r="V998" s="16"/>
      <c r="W998" s="16"/>
      <c r="X998" s="103"/>
    </row>
    <row r="999" spans="2:24" x14ac:dyDescent="0.25">
      <c r="B999" s="103"/>
      <c r="C999" s="103"/>
      <c r="D999" s="103"/>
      <c r="E999" s="103"/>
      <c r="F999" s="103"/>
      <c r="H999" s="103"/>
      <c r="I999" s="103"/>
      <c r="J999" s="103"/>
      <c r="K999" s="103"/>
      <c r="L999" s="103"/>
      <c r="N999" s="103"/>
      <c r="O999" s="103"/>
      <c r="Q999" s="16"/>
      <c r="R999" s="16"/>
      <c r="S999" s="16"/>
      <c r="T999" s="103"/>
      <c r="U999" s="16"/>
      <c r="V999" s="16"/>
      <c r="W999" s="16"/>
      <c r="X999" s="103"/>
    </row>
    <row r="1000" spans="2:24" x14ac:dyDescent="0.25">
      <c r="B1000" s="103"/>
      <c r="C1000" s="103"/>
      <c r="D1000" s="103"/>
      <c r="E1000" s="103"/>
      <c r="F1000" s="103"/>
      <c r="H1000" s="103"/>
      <c r="I1000" s="103"/>
      <c r="J1000" s="103"/>
      <c r="K1000" s="103"/>
      <c r="L1000" s="103"/>
      <c r="N1000" s="103"/>
      <c r="O1000" s="103"/>
      <c r="Q1000" s="16"/>
      <c r="R1000" s="16"/>
      <c r="S1000" s="16"/>
      <c r="T1000" s="103"/>
      <c r="U1000" s="16"/>
      <c r="V1000" s="16"/>
      <c r="W1000" s="16"/>
      <c r="X1000" s="103"/>
    </row>
    <row r="1001" spans="2:24" x14ac:dyDescent="0.25">
      <c r="B1001" s="103"/>
      <c r="C1001" s="103"/>
      <c r="D1001" s="103"/>
      <c r="E1001" s="103"/>
      <c r="F1001" s="103"/>
      <c r="H1001" s="103"/>
      <c r="I1001" s="103"/>
      <c r="J1001" s="103"/>
      <c r="K1001" s="103"/>
      <c r="L1001" s="103"/>
      <c r="N1001" s="103"/>
      <c r="O1001" s="103"/>
      <c r="Q1001" s="16"/>
      <c r="R1001" s="16"/>
      <c r="S1001" s="16"/>
      <c r="T1001" s="103"/>
      <c r="U1001" s="16"/>
      <c r="V1001" s="16"/>
      <c r="W1001" s="16"/>
      <c r="X1001" s="103"/>
    </row>
    <row r="1002" spans="2:24" x14ac:dyDescent="0.25">
      <c r="B1002" s="103"/>
      <c r="C1002" s="103"/>
      <c r="D1002" s="103"/>
      <c r="E1002" s="103"/>
      <c r="F1002" s="103"/>
      <c r="H1002" s="103"/>
      <c r="I1002" s="103"/>
      <c r="J1002" s="103"/>
      <c r="K1002" s="103"/>
      <c r="L1002" s="103"/>
      <c r="N1002" s="103"/>
      <c r="O1002" s="103"/>
      <c r="Q1002" s="16"/>
      <c r="R1002" s="16"/>
      <c r="S1002" s="16"/>
      <c r="T1002" s="103"/>
      <c r="U1002" s="16"/>
      <c r="V1002" s="16"/>
      <c r="W1002" s="16"/>
      <c r="X1002" s="103"/>
    </row>
    <row r="1003" spans="2:24" x14ac:dyDescent="0.25">
      <c r="B1003" s="103"/>
      <c r="C1003" s="103"/>
      <c r="D1003" s="103"/>
      <c r="E1003" s="103"/>
      <c r="F1003" s="103"/>
      <c r="H1003" s="103"/>
      <c r="I1003" s="103"/>
      <c r="J1003" s="103"/>
      <c r="K1003" s="103"/>
      <c r="L1003" s="103"/>
      <c r="N1003" s="103"/>
      <c r="O1003" s="103"/>
      <c r="Q1003" s="16"/>
      <c r="R1003" s="16"/>
      <c r="S1003" s="16"/>
      <c r="T1003" s="103"/>
      <c r="U1003" s="16"/>
      <c r="V1003" s="16"/>
      <c r="W1003" s="16"/>
      <c r="X1003" s="103"/>
    </row>
    <row r="1004" spans="2:24" x14ac:dyDescent="0.25">
      <c r="B1004" s="103"/>
      <c r="C1004" s="103"/>
      <c r="D1004" s="103"/>
      <c r="E1004" s="103"/>
      <c r="F1004" s="103"/>
      <c r="H1004" s="103"/>
      <c r="I1004" s="103"/>
      <c r="J1004" s="103"/>
      <c r="K1004" s="103"/>
      <c r="L1004" s="103"/>
      <c r="N1004" s="103"/>
      <c r="O1004" s="103"/>
      <c r="Q1004" s="16"/>
      <c r="R1004" s="16"/>
      <c r="S1004" s="16"/>
      <c r="T1004" s="103"/>
      <c r="U1004" s="16"/>
      <c r="V1004" s="16"/>
      <c r="W1004" s="16"/>
      <c r="X1004" s="103"/>
    </row>
    <row r="1005" spans="2:24" x14ac:dyDescent="0.25">
      <c r="B1005" s="103"/>
      <c r="C1005" s="103"/>
      <c r="D1005" s="103"/>
      <c r="E1005" s="103"/>
      <c r="F1005" s="103"/>
      <c r="H1005" s="103"/>
      <c r="I1005" s="103"/>
      <c r="J1005" s="103"/>
      <c r="K1005" s="103"/>
      <c r="L1005" s="103"/>
      <c r="N1005" s="103"/>
      <c r="O1005" s="103"/>
      <c r="Q1005" s="16"/>
      <c r="R1005" s="16"/>
      <c r="S1005" s="16"/>
      <c r="T1005" s="103"/>
      <c r="U1005" s="16"/>
      <c r="V1005" s="16"/>
      <c r="W1005" s="16"/>
      <c r="X1005" s="103"/>
    </row>
    <row r="1006" spans="2:24" x14ac:dyDescent="0.25">
      <c r="B1006" s="103"/>
      <c r="C1006" s="103"/>
      <c r="D1006" s="103"/>
      <c r="E1006" s="103"/>
      <c r="F1006" s="103"/>
      <c r="H1006" s="103"/>
      <c r="I1006" s="103"/>
      <c r="J1006" s="103"/>
      <c r="K1006" s="103"/>
      <c r="L1006" s="103"/>
      <c r="N1006" s="103"/>
      <c r="O1006" s="103"/>
      <c r="Q1006" s="16"/>
      <c r="R1006" s="16"/>
      <c r="S1006" s="16"/>
      <c r="T1006" s="103"/>
      <c r="U1006" s="16"/>
      <c r="V1006" s="16"/>
      <c r="W1006" s="16"/>
      <c r="X1006" s="103"/>
    </row>
    <row r="1007" spans="2:24" x14ac:dyDescent="0.25">
      <c r="B1007" s="103"/>
      <c r="C1007" s="103"/>
      <c r="D1007" s="103"/>
      <c r="E1007" s="103"/>
      <c r="F1007" s="103"/>
      <c r="H1007" s="103"/>
      <c r="I1007" s="103"/>
      <c r="J1007" s="103"/>
      <c r="K1007" s="103"/>
      <c r="L1007" s="103"/>
      <c r="N1007" s="103"/>
      <c r="O1007" s="103"/>
      <c r="Q1007" s="16"/>
      <c r="R1007" s="16"/>
      <c r="S1007" s="16"/>
      <c r="T1007" s="103"/>
      <c r="U1007" s="16"/>
      <c r="V1007" s="16"/>
      <c r="W1007" s="16"/>
      <c r="X1007" s="103"/>
    </row>
    <row r="1008" spans="2:24" x14ac:dyDescent="0.25">
      <c r="B1008" s="103"/>
      <c r="C1008" s="103"/>
      <c r="D1008" s="103"/>
      <c r="E1008" s="103"/>
      <c r="F1008" s="103"/>
      <c r="H1008" s="103"/>
      <c r="I1008" s="103"/>
      <c r="J1008" s="103"/>
      <c r="K1008" s="103"/>
      <c r="L1008" s="103"/>
      <c r="N1008" s="103"/>
      <c r="O1008" s="103"/>
      <c r="Q1008" s="16"/>
      <c r="R1008" s="16"/>
      <c r="S1008" s="16"/>
      <c r="T1008" s="103"/>
      <c r="U1008" s="16"/>
      <c r="V1008" s="16"/>
      <c r="W1008" s="16"/>
      <c r="X1008" s="103"/>
    </row>
    <row r="1009" spans="2:24" x14ac:dyDescent="0.25">
      <c r="B1009" s="103"/>
      <c r="C1009" s="103"/>
      <c r="D1009" s="103"/>
      <c r="E1009" s="103"/>
      <c r="F1009" s="103"/>
      <c r="H1009" s="103"/>
      <c r="I1009" s="103"/>
      <c r="J1009" s="103"/>
      <c r="K1009" s="103"/>
      <c r="L1009" s="103"/>
      <c r="N1009" s="103"/>
      <c r="O1009" s="103"/>
      <c r="Q1009" s="16"/>
      <c r="R1009" s="16"/>
      <c r="S1009" s="16"/>
      <c r="T1009" s="103"/>
      <c r="U1009" s="16"/>
      <c r="V1009" s="16"/>
      <c r="W1009" s="16"/>
      <c r="X1009" s="103"/>
    </row>
    <row r="1010" spans="2:24" x14ac:dyDescent="0.25">
      <c r="B1010" s="103"/>
      <c r="C1010" s="103"/>
      <c r="D1010" s="103"/>
      <c r="E1010" s="103"/>
      <c r="F1010" s="103"/>
      <c r="H1010" s="103"/>
      <c r="I1010" s="103"/>
      <c r="J1010" s="103"/>
      <c r="K1010" s="103"/>
      <c r="L1010" s="103"/>
      <c r="N1010" s="103"/>
      <c r="O1010" s="103"/>
      <c r="Q1010" s="16"/>
      <c r="R1010" s="16"/>
      <c r="S1010" s="16"/>
      <c r="T1010" s="103"/>
      <c r="U1010" s="16"/>
      <c r="V1010" s="16"/>
      <c r="W1010" s="16"/>
      <c r="X1010" s="103"/>
    </row>
    <row r="1011" spans="2:24" x14ac:dyDescent="0.25">
      <c r="B1011" s="103"/>
      <c r="C1011" s="103"/>
      <c r="D1011" s="103"/>
      <c r="E1011" s="103"/>
      <c r="F1011" s="103"/>
      <c r="H1011" s="103"/>
      <c r="I1011" s="103"/>
      <c r="J1011" s="103"/>
      <c r="K1011" s="103"/>
      <c r="L1011" s="103"/>
      <c r="N1011" s="103"/>
      <c r="O1011" s="103"/>
      <c r="Q1011" s="16"/>
      <c r="R1011" s="16"/>
      <c r="S1011" s="16"/>
      <c r="T1011" s="103"/>
      <c r="U1011" s="16"/>
      <c r="V1011" s="16"/>
      <c r="W1011" s="16"/>
      <c r="X1011" s="103"/>
    </row>
    <row r="1012" spans="2:24" x14ac:dyDescent="0.25">
      <c r="B1012" s="103"/>
      <c r="C1012" s="103"/>
      <c r="D1012" s="103"/>
      <c r="E1012" s="103"/>
      <c r="F1012" s="103"/>
      <c r="H1012" s="103"/>
      <c r="I1012" s="103"/>
      <c r="J1012" s="103"/>
      <c r="K1012" s="103"/>
      <c r="L1012" s="103"/>
      <c r="N1012" s="103"/>
      <c r="O1012" s="103"/>
      <c r="Q1012" s="16"/>
      <c r="R1012" s="16"/>
      <c r="S1012" s="16"/>
      <c r="T1012" s="103"/>
      <c r="U1012" s="16"/>
      <c r="V1012" s="16"/>
      <c r="W1012" s="16"/>
      <c r="X1012" s="103"/>
    </row>
    <row r="1013" spans="2:24" x14ac:dyDescent="0.25">
      <c r="B1013" s="103"/>
      <c r="C1013" s="103"/>
      <c r="D1013" s="103"/>
      <c r="E1013" s="103"/>
      <c r="F1013" s="103"/>
      <c r="H1013" s="103"/>
      <c r="I1013" s="103"/>
      <c r="J1013" s="103"/>
      <c r="K1013" s="103"/>
      <c r="L1013" s="103"/>
      <c r="N1013" s="103"/>
      <c r="O1013" s="103"/>
      <c r="Q1013" s="16"/>
      <c r="R1013" s="16"/>
      <c r="S1013" s="16"/>
      <c r="T1013" s="103"/>
      <c r="U1013" s="16"/>
      <c r="V1013" s="16"/>
      <c r="W1013" s="16"/>
      <c r="X1013" s="103"/>
    </row>
    <row r="1014" spans="2:24" x14ac:dyDescent="0.25">
      <c r="B1014" s="103"/>
      <c r="C1014" s="103"/>
      <c r="D1014" s="103"/>
      <c r="E1014" s="103"/>
      <c r="F1014" s="103"/>
      <c r="H1014" s="103"/>
      <c r="I1014" s="103"/>
      <c r="J1014" s="103"/>
      <c r="K1014" s="103"/>
      <c r="L1014" s="103"/>
      <c r="N1014" s="103"/>
      <c r="O1014" s="103"/>
      <c r="Q1014" s="16"/>
      <c r="R1014" s="16"/>
      <c r="S1014" s="16"/>
      <c r="T1014" s="103"/>
      <c r="U1014" s="16"/>
      <c r="V1014" s="16"/>
      <c r="W1014" s="16"/>
      <c r="X1014" s="103"/>
    </row>
    <row r="1015" spans="2:24" x14ac:dyDescent="0.25">
      <c r="B1015" s="103"/>
      <c r="C1015" s="103"/>
      <c r="D1015" s="103"/>
      <c r="E1015" s="103"/>
      <c r="F1015" s="103"/>
      <c r="H1015" s="103"/>
      <c r="I1015" s="103"/>
      <c r="J1015" s="103"/>
      <c r="K1015" s="103"/>
      <c r="L1015" s="103"/>
      <c r="N1015" s="103"/>
      <c r="O1015" s="103"/>
      <c r="Q1015" s="16"/>
      <c r="R1015" s="16"/>
      <c r="S1015" s="16"/>
      <c r="T1015" s="103"/>
      <c r="U1015" s="16"/>
      <c r="V1015" s="16"/>
      <c r="W1015" s="16"/>
      <c r="X1015" s="103"/>
    </row>
    <row r="1016" spans="2:24" x14ac:dyDescent="0.25">
      <c r="B1016" s="103"/>
      <c r="C1016" s="103"/>
      <c r="D1016" s="103"/>
      <c r="E1016" s="103"/>
      <c r="F1016" s="103"/>
      <c r="H1016" s="103"/>
      <c r="I1016" s="103"/>
      <c r="J1016" s="103"/>
      <c r="K1016" s="103"/>
      <c r="L1016" s="103"/>
      <c r="N1016" s="103"/>
      <c r="O1016" s="103"/>
      <c r="Q1016" s="16"/>
      <c r="R1016" s="16"/>
      <c r="S1016" s="16"/>
      <c r="T1016" s="103"/>
      <c r="U1016" s="16"/>
      <c r="V1016" s="16"/>
      <c r="W1016" s="16"/>
      <c r="X1016" s="103"/>
    </row>
    <row r="1017" spans="2:24" x14ac:dyDescent="0.25">
      <c r="B1017" s="103"/>
      <c r="C1017" s="103"/>
      <c r="D1017" s="103"/>
      <c r="E1017" s="103"/>
      <c r="F1017" s="103"/>
      <c r="H1017" s="103"/>
      <c r="I1017" s="103"/>
      <c r="J1017" s="103"/>
      <c r="K1017" s="103"/>
      <c r="L1017" s="103"/>
      <c r="N1017" s="103"/>
      <c r="O1017" s="103"/>
      <c r="Q1017" s="16"/>
      <c r="R1017" s="16"/>
      <c r="S1017" s="16"/>
      <c r="T1017" s="103"/>
      <c r="U1017" s="16"/>
      <c r="V1017" s="16"/>
      <c r="W1017" s="16"/>
      <c r="X1017" s="103"/>
    </row>
    <row r="1018" spans="2:24" x14ac:dyDescent="0.25">
      <c r="B1018" s="103"/>
      <c r="C1018" s="103"/>
      <c r="D1018" s="103"/>
      <c r="E1018" s="103"/>
      <c r="F1018" s="103"/>
      <c r="H1018" s="103"/>
      <c r="I1018" s="103"/>
      <c r="J1018" s="103"/>
      <c r="K1018" s="103"/>
      <c r="L1018" s="103"/>
      <c r="N1018" s="103"/>
      <c r="O1018" s="103"/>
      <c r="Q1018" s="16"/>
      <c r="R1018" s="16"/>
      <c r="S1018" s="16"/>
      <c r="T1018" s="103"/>
      <c r="U1018" s="16"/>
      <c r="V1018" s="16"/>
      <c r="W1018" s="16"/>
      <c r="X1018" s="103"/>
    </row>
    <row r="1019" spans="2:24" x14ac:dyDescent="0.25">
      <c r="B1019" s="103"/>
      <c r="C1019" s="103"/>
      <c r="D1019" s="103"/>
      <c r="E1019" s="103"/>
      <c r="F1019" s="103"/>
      <c r="H1019" s="103"/>
      <c r="I1019" s="103"/>
      <c r="J1019" s="103"/>
      <c r="K1019" s="103"/>
      <c r="L1019" s="103"/>
      <c r="N1019" s="103"/>
      <c r="O1019" s="103"/>
      <c r="Q1019" s="16"/>
      <c r="R1019" s="16"/>
      <c r="S1019" s="16"/>
      <c r="T1019" s="103"/>
      <c r="U1019" s="16"/>
      <c r="V1019" s="16"/>
      <c r="W1019" s="16"/>
      <c r="X1019" s="103"/>
    </row>
    <row r="1020" spans="2:24" x14ac:dyDescent="0.25">
      <c r="B1020" s="103"/>
      <c r="C1020" s="103"/>
      <c r="D1020" s="103"/>
      <c r="E1020" s="103"/>
      <c r="F1020" s="103"/>
      <c r="H1020" s="103"/>
      <c r="I1020" s="103"/>
      <c r="J1020" s="103"/>
      <c r="K1020" s="103"/>
      <c r="L1020" s="103"/>
      <c r="N1020" s="103"/>
      <c r="O1020" s="103"/>
      <c r="Q1020" s="16"/>
      <c r="R1020" s="16"/>
      <c r="S1020" s="16"/>
      <c r="T1020" s="103"/>
      <c r="U1020" s="16"/>
      <c r="V1020" s="16"/>
      <c r="W1020" s="16"/>
      <c r="X1020" s="103"/>
    </row>
    <row r="1021" spans="2:24" x14ac:dyDescent="0.25">
      <c r="B1021" s="103"/>
      <c r="C1021" s="103"/>
      <c r="D1021" s="103"/>
      <c r="E1021" s="103"/>
      <c r="F1021" s="103"/>
      <c r="H1021" s="103"/>
      <c r="I1021" s="103"/>
      <c r="J1021" s="103"/>
      <c r="K1021" s="103"/>
      <c r="L1021" s="103"/>
      <c r="N1021" s="103"/>
      <c r="O1021" s="103"/>
      <c r="Q1021" s="16"/>
      <c r="R1021" s="16"/>
      <c r="S1021" s="16"/>
      <c r="T1021" s="103"/>
      <c r="U1021" s="16"/>
      <c r="V1021" s="16"/>
      <c r="W1021" s="16"/>
      <c r="X1021" s="103"/>
    </row>
    <row r="1022" spans="2:24" x14ac:dyDescent="0.25">
      <c r="B1022" s="103"/>
      <c r="C1022" s="103"/>
      <c r="D1022" s="103"/>
      <c r="E1022" s="103"/>
      <c r="F1022" s="103"/>
      <c r="H1022" s="103"/>
      <c r="I1022" s="103"/>
      <c r="J1022" s="103"/>
      <c r="K1022" s="103"/>
      <c r="L1022" s="103"/>
      <c r="N1022" s="103"/>
      <c r="O1022" s="103"/>
      <c r="Q1022" s="16"/>
      <c r="R1022" s="16"/>
      <c r="S1022" s="16"/>
      <c r="T1022" s="103"/>
      <c r="U1022" s="16"/>
      <c r="V1022" s="16"/>
      <c r="W1022" s="16"/>
      <c r="X1022" s="103"/>
    </row>
    <row r="1023" spans="2:24" x14ac:dyDescent="0.25">
      <c r="B1023" s="103"/>
      <c r="C1023" s="103"/>
      <c r="D1023" s="103"/>
      <c r="E1023" s="103"/>
      <c r="F1023" s="103"/>
      <c r="H1023" s="103"/>
      <c r="I1023" s="103"/>
      <c r="J1023" s="103"/>
      <c r="K1023" s="103"/>
      <c r="L1023" s="103"/>
      <c r="N1023" s="103"/>
      <c r="O1023" s="103"/>
      <c r="Q1023" s="16"/>
      <c r="R1023" s="16"/>
      <c r="S1023" s="16"/>
      <c r="T1023" s="103"/>
      <c r="U1023" s="16"/>
      <c r="V1023" s="16"/>
      <c r="W1023" s="16"/>
      <c r="X1023" s="103"/>
    </row>
    <row r="1024" spans="2:24" x14ac:dyDescent="0.25">
      <c r="B1024" s="103"/>
      <c r="C1024" s="103"/>
      <c r="D1024" s="103"/>
      <c r="E1024" s="103"/>
      <c r="F1024" s="103"/>
      <c r="H1024" s="103"/>
      <c r="I1024" s="103"/>
      <c r="J1024" s="103"/>
      <c r="K1024" s="103"/>
      <c r="L1024" s="103"/>
      <c r="N1024" s="103"/>
      <c r="O1024" s="103"/>
      <c r="Q1024" s="16"/>
      <c r="R1024" s="16"/>
      <c r="S1024" s="16"/>
      <c r="T1024" s="103"/>
      <c r="U1024" s="16"/>
      <c r="V1024" s="16"/>
      <c r="W1024" s="16"/>
      <c r="X1024" s="103"/>
    </row>
    <row r="1025" spans="2:24" x14ac:dyDescent="0.25">
      <c r="B1025" s="103"/>
      <c r="C1025" s="103"/>
      <c r="D1025" s="103"/>
      <c r="E1025" s="103"/>
      <c r="F1025" s="103"/>
      <c r="H1025" s="103"/>
      <c r="I1025" s="103"/>
      <c r="J1025" s="103"/>
      <c r="K1025" s="103"/>
      <c r="L1025" s="103"/>
      <c r="N1025" s="103"/>
      <c r="O1025" s="103"/>
      <c r="Q1025" s="16"/>
      <c r="R1025" s="16"/>
      <c r="S1025" s="16"/>
      <c r="T1025" s="103"/>
      <c r="U1025" s="16"/>
      <c r="V1025" s="16"/>
      <c r="W1025" s="16"/>
      <c r="X1025" s="103"/>
    </row>
    <row r="1026" spans="2:24" x14ac:dyDescent="0.25">
      <c r="B1026" s="103"/>
      <c r="C1026" s="103"/>
      <c r="D1026" s="103"/>
      <c r="E1026" s="103"/>
      <c r="F1026" s="103"/>
      <c r="H1026" s="103"/>
      <c r="I1026" s="103"/>
      <c r="J1026" s="103"/>
      <c r="K1026" s="103"/>
      <c r="L1026" s="103"/>
      <c r="N1026" s="103"/>
      <c r="O1026" s="103"/>
      <c r="Q1026" s="16"/>
      <c r="R1026" s="16"/>
      <c r="S1026" s="16"/>
      <c r="T1026" s="103"/>
      <c r="U1026" s="16"/>
      <c r="V1026" s="16"/>
      <c r="W1026" s="16"/>
      <c r="X1026" s="103"/>
    </row>
    <row r="1027" spans="2:24" x14ac:dyDescent="0.25">
      <c r="B1027" s="103"/>
      <c r="C1027" s="103"/>
      <c r="D1027" s="103"/>
      <c r="E1027" s="103"/>
      <c r="F1027" s="103"/>
      <c r="H1027" s="103"/>
      <c r="I1027" s="103"/>
      <c r="J1027" s="103"/>
      <c r="K1027" s="103"/>
      <c r="L1027" s="103"/>
      <c r="N1027" s="103"/>
      <c r="O1027" s="103"/>
      <c r="Q1027" s="16"/>
      <c r="R1027" s="16"/>
      <c r="S1027" s="16"/>
      <c r="T1027" s="103"/>
      <c r="U1027" s="16"/>
      <c r="V1027" s="16"/>
      <c r="W1027" s="16"/>
      <c r="X1027" s="103"/>
    </row>
    <row r="1028" spans="2:24" x14ac:dyDescent="0.25">
      <c r="B1028" s="103"/>
      <c r="C1028" s="103"/>
      <c r="D1028" s="103"/>
      <c r="E1028" s="103"/>
      <c r="F1028" s="103"/>
      <c r="H1028" s="103"/>
      <c r="I1028" s="103"/>
      <c r="J1028" s="103"/>
      <c r="K1028" s="103"/>
      <c r="L1028" s="103"/>
      <c r="N1028" s="103"/>
      <c r="O1028" s="103"/>
      <c r="Q1028" s="16"/>
      <c r="R1028" s="16"/>
      <c r="S1028" s="16"/>
      <c r="T1028" s="103"/>
      <c r="U1028" s="16"/>
      <c r="V1028" s="16"/>
      <c r="W1028" s="16"/>
      <c r="X1028" s="103"/>
    </row>
    <row r="1029" spans="2:24" x14ac:dyDescent="0.25">
      <c r="B1029" s="103"/>
      <c r="C1029" s="103"/>
      <c r="D1029" s="103"/>
      <c r="E1029" s="103"/>
      <c r="F1029" s="103"/>
      <c r="H1029" s="103"/>
      <c r="I1029" s="103"/>
      <c r="J1029" s="103"/>
      <c r="K1029" s="103"/>
      <c r="L1029" s="103"/>
      <c r="N1029" s="103"/>
      <c r="O1029" s="103"/>
      <c r="Q1029" s="16"/>
      <c r="R1029" s="16"/>
      <c r="S1029" s="16"/>
      <c r="T1029" s="103"/>
      <c r="U1029" s="16"/>
      <c r="V1029" s="16"/>
      <c r="W1029" s="16"/>
      <c r="X1029" s="103"/>
    </row>
    <row r="1030" spans="2:24" x14ac:dyDescent="0.25">
      <c r="B1030" s="103"/>
      <c r="C1030" s="103"/>
      <c r="D1030" s="103"/>
      <c r="E1030" s="103"/>
      <c r="F1030" s="103"/>
      <c r="H1030" s="103"/>
      <c r="I1030" s="103"/>
      <c r="J1030" s="103"/>
      <c r="K1030" s="103"/>
      <c r="L1030" s="103"/>
      <c r="N1030" s="103"/>
      <c r="O1030" s="103"/>
      <c r="Q1030" s="16"/>
      <c r="R1030" s="16"/>
      <c r="S1030" s="16"/>
      <c r="T1030" s="103"/>
      <c r="U1030" s="16"/>
      <c r="V1030" s="16"/>
      <c r="W1030" s="16"/>
      <c r="X1030" s="103"/>
    </row>
    <row r="1031" spans="2:24" x14ac:dyDescent="0.25">
      <c r="B1031" s="103"/>
      <c r="C1031" s="103"/>
      <c r="D1031" s="103"/>
      <c r="E1031" s="103"/>
      <c r="F1031" s="103"/>
      <c r="H1031" s="103"/>
      <c r="I1031" s="103"/>
      <c r="J1031" s="103"/>
      <c r="K1031" s="103"/>
      <c r="L1031" s="103"/>
      <c r="N1031" s="103"/>
      <c r="O1031" s="103"/>
      <c r="Q1031" s="16"/>
      <c r="R1031" s="16"/>
      <c r="S1031" s="16"/>
      <c r="T1031" s="103"/>
      <c r="U1031" s="16"/>
      <c r="V1031" s="16"/>
      <c r="W1031" s="16"/>
      <c r="X1031" s="103"/>
    </row>
    <row r="1032" spans="2:24" x14ac:dyDescent="0.25">
      <c r="B1032" s="103"/>
      <c r="C1032" s="103"/>
      <c r="D1032" s="103"/>
      <c r="E1032" s="103"/>
      <c r="F1032" s="103"/>
      <c r="H1032" s="103"/>
      <c r="I1032" s="103"/>
      <c r="J1032" s="103"/>
      <c r="K1032" s="103"/>
      <c r="L1032" s="103"/>
      <c r="N1032" s="103"/>
      <c r="O1032" s="103"/>
      <c r="Q1032" s="16"/>
      <c r="R1032" s="16"/>
      <c r="S1032" s="16"/>
      <c r="T1032" s="103"/>
      <c r="U1032" s="16"/>
      <c r="V1032" s="16"/>
      <c r="W1032" s="16"/>
      <c r="X1032" s="103"/>
    </row>
    <row r="1033" spans="2:24" x14ac:dyDescent="0.25">
      <c r="B1033" s="103"/>
      <c r="C1033" s="103"/>
      <c r="D1033" s="103"/>
      <c r="E1033" s="103"/>
      <c r="F1033" s="103"/>
      <c r="H1033" s="103"/>
      <c r="I1033" s="103"/>
      <c r="J1033" s="103"/>
      <c r="K1033" s="103"/>
      <c r="L1033" s="103"/>
      <c r="N1033" s="103"/>
      <c r="O1033" s="103"/>
      <c r="Q1033" s="16"/>
      <c r="R1033" s="16"/>
      <c r="S1033" s="16"/>
      <c r="T1033" s="103"/>
      <c r="U1033" s="16"/>
      <c r="V1033" s="16"/>
      <c r="W1033" s="16"/>
      <c r="X1033" s="103"/>
    </row>
    <row r="1034" spans="2:24" x14ac:dyDescent="0.25">
      <c r="B1034" s="103"/>
      <c r="C1034" s="103"/>
      <c r="D1034" s="103"/>
      <c r="E1034" s="103"/>
      <c r="F1034" s="103"/>
      <c r="H1034" s="103"/>
      <c r="I1034" s="103"/>
      <c r="J1034" s="103"/>
      <c r="K1034" s="103"/>
      <c r="L1034" s="103"/>
      <c r="N1034" s="103"/>
      <c r="O1034" s="103"/>
      <c r="Q1034" s="16"/>
      <c r="R1034" s="16"/>
      <c r="S1034" s="16"/>
      <c r="T1034" s="103"/>
      <c r="U1034" s="16"/>
      <c r="V1034" s="16"/>
      <c r="W1034" s="16"/>
      <c r="X1034" s="103"/>
    </row>
    <row r="1035" spans="2:24" x14ac:dyDescent="0.25">
      <c r="B1035" s="103"/>
      <c r="C1035" s="103"/>
      <c r="D1035" s="103"/>
      <c r="E1035" s="103"/>
      <c r="F1035" s="103"/>
      <c r="H1035" s="103"/>
      <c r="I1035" s="103"/>
      <c r="J1035" s="103"/>
      <c r="K1035" s="103"/>
      <c r="L1035" s="103"/>
      <c r="N1035" s="103"/>
      <c r="O1035" s="103"/>
      <c r="Q1035" s="16"/>
      <c r="R1035" s="16"/>
      <c r="S1035" s="16"/>
      <c r="T1035" s="103"/>
      <c r="U1035" s="16"/>
      <c r="V1035" s="16"/>
      <c r="W1035" s="16"/>
      <c r="X1035" s="103"/>
    </row>
    <row r="1036" spans="2:24" x14ac:dyDescent="0.25">
      <c r="B1036" s="103"/>
      <c r="C1036" s="103"/>
      <c r="D1036" s="103"/>
      <c r="E1036" s="103"/>
      <c r="F1036" s="103"/>
      <c r="H1036" s="103"/>
      <c r="I1036" s="103"/>
      <c r="J1036" s="103"/>
      <c r="K1036" s="103"/>
      <c r="L1036" s="103"/>
      <c r="N1036" s="103"/>
      <c r="O1036" s="103"/>
      <c r="Q1036" s="16"/>
      <c r="R1036" s="16"/>
      <c r="S1036" s="16"/>
      <c r="T1036" s="103"/>
      <c r="U1036" s="16"/>
      <c r="V1036" s="16"/>
      <c r="W1036" s="16"/>
      <c r="X1036" s="103"/>
    </row>
    <row r="1037" spans="2:24" x14ac:dyDescent="0.25">
      <c r="B1037" s="103"/>
      <c r="C1037" s="103"/>
      <c r="D1037" s="103"/>
      <c r="E1037" s="103"/>
      <c r="F1037" s="103"/>
      <c r="H1037" s="103"/>
      <c r="I1037" s="103"/>
      <c r="J1037" s="103"/>
      <c r="K1037" s="103"/>
      <c r="L1037" s="103"/>
      <c r="N1037" s="103"/>
      <c r="O1037" s="103"/>
      <c r="Q1037" s="16"/>
      <c r="R1037" s="16"/>
      <c r="S1037" s="16"/>
      <c r="T1037" s="103"/>
      <c r="U1037" s="16"/>
      <c r="V1037" s="16"/>
      <c r="W1037" s="16"/>
      <c r="X1037" s="103"/>
    </row>
    <row r="1038" spans="2:24" x14ac:dyDescent="0.25">
      <c r="B1038" s="103"/>
      <c r="C1038" s="103"/>
      <c r="D1038" s="103"/>
      <c r="E1038" s="103"/>
      <c r="F1038" s="103"/>
      <c r="H1038" s="103"/>
      <c r="I1038" s="103"/>
      <c r="J1038" s="103"/>
      <c r="K1038" s="103"/>
      <c r="L1038" s="103"/>
      <c r="N1038" s="103"/>
      <c r="O1038" s="103"/>
      <c r="Q1038" s="16"/>
      <c r="R1038" s="16"/>
      <c r="S1038" s="16"/>
      <c r="T1038" s="103"/>
      <c r="U1038" s="16"/>
      <c r="V1038" s="16"/>
      <c r="W1038" s="16"/>
      <c r="X1038" s="103"/>
    </row>
    <row r="1039" spans="2:24" x14ac:dyDescent="0.25">
      <c r="B1039" s="103"/>
      <c r="C1039" s="103"/>
      <c r="D1039" s="103"/>
      <c r="E1039" s="103"/>
      <c r="F1039" s="103"/>
      <c r="H1039" s="103"/>
      <c r="I1039" s="103"/>
      <c r="J1039" s="103"/>
      <c r="K1039" s="103"/>
      <c r="L1039" s="103"/>
      <c r="N1039" s="103"/>
      <c r="O1039" s="103"/>
      <c r="Q1039" s="16"/>
      <c r="R1039" s="16"/>
      <c r="S1039" s="16"/>
      <c r="T1039" s="103"/>
      <c r="U1039" s="16"/>
      <c r="V1039" s="16"/>
      <c r="W1039" s="16"/>
      <c r="X1039" s="103"/>
    </row>
    <row r="1040" spans="2:24" x14ac:dyDescent="0.25">
      <c r="B1040" s="103"/>
      <c r="C1040" s="103"/>
      <c r="D1040" s="103"/>
      <c r="E1040" s="103"/>
      <c r="F1040" s="103"/>
      <c r="H1040" s="103"/>
      <c r="I1040" s="103"/>
      <c r="J1040" s="103"/>
      <c r="K1040" s="103"/>
      <c r="L1040" s="103"/>
      <c r="N1040" s="103"/>
      <c r="O1040" s="103"/>
      <c r="Q1040" s="16"/>
      <c r="R1040" s="16"/>
      <c r="S1040" s="16"/>
      <c r="T1040" s="103"/>
      <c r="U1040" s="16"/>
      <c r="V1040" s="16"/>
      <c r="W1040" s="16"/>
      <c r="X1040" s="103"/>
    </row>
    <row r="1041" spans="2:24" x14ac:dyDescent="0.25">
      <c r="B1041" s="103"/>
      <c r="C1041" s="103"/>
      <c r="D1041" s="103"/>
      <c r="E1041" s="103"/>
      <c r="F1041" s="103"/>
      <c r="H1041" s="103"/>
      <c r="I1041" s="103"/>
      <c r="J1041" s="103"/>
      <c r="K1041" s="103"/>
      <c r="L1041" s="103"/>
      <c r="N1041" s="103"/>
      <c r="O1041" s="103"/>
      <c r="Q1041" s="16"/>
      <c r="R1041" s="16"/>
      <c r="S1041" s="16"/>
      <c r="T1041" s="103"/>
      <c r="U1041" s="16"/>
      <c r="V1041" s="16"/>
      <c r="W1041" s="16"/>
      <c r="X1041" s="103"/>
    </row>
    <row r="1042" spans="2:24" x14ac:dyDescent="0.25">
      <c r="B1042" s="103"/>
      <c r="C1042" s="103"/>
      <c r="D1042" s="103"/>
      <c r="E1042" s="103"/>
      <c r="F1042" s="103"/>
      <c r="H1042" s="103"/>
      <c r="I1042" s="103"/>
      <c r="J1042" s="103"/>
      <c r="K1042" s="103"/>
      <c r="L1042" s="103"/>
      <c r="N1042" s="103"/>
      <c r="O1042" s="103"/>
      <c r="Q1042" s="16"/>
      <c r="R1042" s="16"/>
      <c r="S1042" s="16"/>
      <c r="T1042" s="103"/>
      <c r="U1042" s="16"/>
      <c r="V1042" s="16"/>
      <c r="W1042" s="16"/>
      <c r="X1042" s="103"/>
    </row>
    <row r="1043" spans="2:24" x14ac:dyDescent="0.25">
      <c r="B1043" s="103"/>
      <c r="C1043" s="103"/>
      <c r="D1043" s="103"/>
      <c r="E1043" s="103"/>
      <c r="F1043" s="103"/>
      <c r="H1043" s="103"/>
      <c r="I1043" s="103"/>
      <c r="J1043" s="103"/>
      <c r="K1043" s="103"/>
      <c r="L1043" s="103"/>
      <c r="N1043" s="103"/>
      <c r="O1043" s="103"/>
      <c r="Q1043" s="16"/>
      <c r="R1043" s="16"/>
      <c r="S1043" s="16"/>
      <c r="T1043" s="103"/>
      <c r="U1043" s="16"/>
      <c r="V1043" s="16"/>
      <c r="W1043" s="16"/>
      <c r="X1043" s="103"/>
    </row>
    <row r="1044" spans="2:24" x14ac:dyDescent="0.25">
      <c r="B1044" s="103"/>
      <c r="C1044" s="103"/>
      <c r="D1044" s="103"/>
      <c r="E1044" s="103"/>
      <c r="F1044" s="103"/>
      <c r="H1044" s="103"/>
      <c r="I1044" s="103"/>
      <c r="J1044" s="103"/>
      <c r="K1044" s="103"/>
      <c r="L1044" s="103"/>
      <c r="N1044" s="103"/>
      <c r="O1044" s="103"/>
      <c r="Q1044" s="16"/>
      <c r="R1044" s="16"/>
      <c r="S1044" s="16"/>
      <c r="T1044" s="103"/>
      <c r="U1044" s="16"/>
      <c r="V1044" s="16"/>
      <c r="W1044" s="16"/>
      <c r="X1044" s="103"/>
    </row>
    <row r="1045" spans="2:24" x14ac:dyDescent="0.25">
      <c r="B1045" s="103"/>
      <c r="C1045" s="103"/>
      <c r="D1045" s="103"/>
      <c r="E1045" s="103"/>
      <c r="F1045" s="103"/>
      <c r="H1045" s="103"/>
      <c r="I1045" s="103"/>
      <c r="J1045" s="103"/>
      <c r="K1045" s="103"/>
      <c r="L1045" s="103"/>
      <c r="N1045" s="103"/>
      <c r="O1045" s="103"/>
      <c r="Q1045" s="16"/>
      <c r="R1045" s="16"/>
      <c r="S1045" s="16"/>
      <c r="T1045" s="103"/>
      <c r="U1045" s="16"/>
      <c r="V1045" s="16"/>
      <c r="W1045" s="16"/>
      <c r="X1045" s="103"/>
    </row>
    <row r="1046" spans="2:24" x14ac:dyDescent="0.25">
      <c r="B1046" s="103"/>
      <c r="C1046" s="103"/>
      <c r="D1046" s="103"/>
      <c r="E1046" s="103"/>
      <c r="F1046" s="103"/>
      <c r="H1046" s="103"/>
      <c r="I1046" s="103"/>
      <c r="J1046" s="103"/>
      <c r="K1046" s="103"/>
      <c r="L1046" s="103"/>
      <c r="N1046" s="103"/>
      <c r="O1046" s="103"/>
      <c r="Q1046" s="16"/>
      <c r="R1046" s="16"/>
      <c r="S1046" s="16"/>
      <c r="T1046" s="103"/>
      <c r="U1046" s="16"/>
      <c r="V1046" s="16"/>
      <c r="W1046" s="16"/>
      <c r="X1046" s="103"/>
    </row>
    <row r="1047" spans="2:24" x14ac:dyDescent="0.25">
      <c r="B1047" s="103"/>
      <c r="C1047" s="103"/>
      <c r="D1047" s="103"/>
      <c r="E1047" s="103"/>
      <c r="F1047" s="103"/>
      <c r="H1047" s="103"/>
      <c r="I1047" s="103"/>
      <c r="J1047" s="103"/>
      <c r="K1047" s="103"/>
      <c r="L1047" s="103"/>
      <c r="N1047" s="103"/>
      <c r="O1047" s="103"/>
      <c r="Q1047" s="16"/>
      <c r="R1047" s="16"/>
      <c r="S1047" s="16"/>
      <c r="T1047" s="103"/>
      <c r="U1047" s="16"/>
      <c r="V1047" s="16"/>
      <c r="W1047" s="16"/>
      <c r="X1047" s="103"/>
    </row>
    <row r="1048" spans="2:24" x14ac:dyDescent="0.25">
      <c r="B1048" s="103"/>
      <c r="C1048" s="103"/>
      <c r="D1048" s="103"/>
      <c r="E1048" s="103"/>
      <c r="F1048" s="103"/>
      <c r="H1048" s="103"/>
      <c r="I1048" s="103"/>
      <c r="J1048" s="103"/>
      <c r="K1048" s="103"/>
      <c r="L1048" s="103"/>
      <c r="N1048" s="103"/>
      <c r="O1048" s="103"/>
      <c r="Q1048" s="16"/>
      <c r="R1048" s="16"/>
      <c r="S1048" s="16"/>
      <c r="T1048" s="103"/>
      <c r="U1048" s="16"/>
      <c r="V1048" s="16"/>
      <c r="W1048" s="16"/>
      <c r="X1048" s="103"/>
    </row>
    <row r="1049" spans="2:24" x14ac:dyDescent="0.25">
      <c r="B1049" s="103"/>
      <c r="C1049" s="103"/>
      <c r="D1049" s="103"/>
      <c r="E1049" s="103"/>
      <c r="F1049" s="103"/>
      <c r="H1049" s="103"/>
      <c r="I1049" s="103"/>
      <c r="J1049" s="103"/>
      <c r="K1049" s="103"/>
      <c r="L1049" s="103"/>
      <c r="N1049" s="103"/>
      <c r="O1049" s="103"/>
      <c r="Q1049" s="16"/>
      <c r="R1049" s="16"/>
      <c r="S1049" s="16"/>
      <c r="T1049" s="103"/>
      <c r="U1049" s="16"/>
      <c r="V1049" s="16"/>
      <c r="W1049" s="16"/>
      <c r="X1049" s="103"/>
    </row>
    <row r="1050" spans="2:24" x14ac:dyDescent="0.25">
      <c r="B1050" s="103"/>
      <c r="C1050" s="103"/>
      <c r="D1050" s="103"/>
      <c r="E1050" s="103"/>
      <c r="F1050" s="103"/>
      <c r="H1050" s="103"/>
      <c r="I1050" s="103"/>
      <c r="J1050" s="103"/>
      <c r="K1050" s="103"/>
      <c r="L1050" s="103"/>
      <c r="N1050" s="103"/>
      <c r="O1050" s="103"/>
      <c r="Q1050" s="16"/>
      <c r="R1050" s="16"/>
      <c r="S1050" s="16"/>
      <c r="T1050" s="103"/>
      <c r="U1050" s="16"/>
      <c r="V1050" s="16"/>
      <c r="W1050" s="16"/>
      <c r="X1050" s="103"/>
    </row>
    <row r="1051" spans="2:24" x14ac:dyDescent="0.25">
      <c r="B1051" s="103"/>
      <c r="C1051" s="103"/>
      <c r="D1051" s="103"/>
      <c r="E1051" s="103"/>
      <c r="F1051" s="103"/>
      <c r="H1051" s="103"/>
      <c r="I1051" s="103"/>
      <c r="J1051" s="103"/>
      <c r="K1051" s="103"/>
      <c r="L1051" s="103"/>
      <c r="N1051" s="103"/>
      <c r="O1051" s="103"/>
      <c r="Q1051" s="16"/>
      <c r="R1051" s="16"/>
      <c r="S1051" s="16"/>
      <c r="T1051" s="103"/>
      <c r="U1051" s="16"/>
      <c r="V1051" s="16"/>
      <c r="W1051" s="16"/>
      <c r="X1051" s="103"/>
    </row>
    <row r="1052" spans="2:24" x14ac:dyDescent="0.25">
      <c r="B1052" s="103"/>
      <c r="C1052" s="103"/>
      <c r="D1052" s="103"/>
      <c r="E1052" s="103"/>
      <c r="F1052" s="103"/>
      <c r="H1052" s="103"/>
      <c r="I1052" s="103"/>
      <c r="J1052" s="103"/>
      <c r="K1052" s="103"/>
      <c r="L1052" s="103"/>
      <c r="N1052" s="103"/>
      <c r="O1052" s="103"/>
      <c r="Q1052" s="16"/>
      <c r="R1052" s="16"/>
      <c r="S1052" s="16"/>
      <c r="T1052" s="103"/>
      <c r="U1052" s="16"/>
      <c r="V1052" s="16"/>
      <c r="W1052" s="16"/>
      <c r="X1052" s="103"/>
    </row>
    <row r="1053" spans="2:24" x14ac:dyDescent="0.25">
      <c r="B1053" s="103"/>
      <c r="C1053" s="103"/>
      <c r="D1053" s="103"/>
      <c r="E1053" s="103"/>
      <c r="F1053" s="103"/>
      <c r="H1053" s="103"/>
      <c r="I1053" s="103"/>
      <c r="J1053" s="103"/>
      <c r="K1053" s="103"/>
      <c r="L1053" s="103"/>
      <c r="N1053" s="103"/>
      <c r="O1053" s="103"/>
      <c r="Q1053" s="16"/>
      <c r="R1053" s="16"/>
      <c r="S1053" s="16"/>
      <c r="T1053" s="103"/>
      <c r="U1053" s="16"/>
      <c r="V1053" s="16"/>
      <c r="W1053" s="16"/>
      <c r="X1053" s="103"/>
    </row>
    <row r="1054" spans="2:24" x14ac:dyDescent="0.25">
      <c r="B1054" s="103"/>
      <c r="C1054" s="103"/>
      <c r="D1054" s="103"/>
      <c r="E1054" s="103"/>
      <c r="F1054" s="103"/>
      <c r="H1054" s="103"/>
      <c r="I1054" s="103"/>
      <c r="J1054" s="103"/>
      <c r="K1054" s="103"/>
      <c r="L1054" s="103"/>
      <c r="N1054" s="103"/>
      <c r="O1054" s="103"/>
      <c r="Q1054" s="16"/>
      <c r="R1054" s="16"/>
      <c r="S1054" s="16"/>
      <c r="T1054" s="103"/>
      <c r="U1054" s="16"/>
      <c r="V1054" s="16"/>
      <c r="W1054" s="16"/>
      <c r="X1054" s="103"/>
    </row>
    <row r="1055" spans="2:24" x14ac:dyDescent="0.25">
      <c r="B1055" s="103"/>
      <c r="C1055" s="103"/>
      <c r="D1055" s="103"/>
      <c r="E1055" s="103"/>
      <c r="F1055" s="103"/>
      <c r="H1055" s="103"/>
      <c r="I1055" s="103"/>
      <c r="J1055" s="103"/>
      <c r="K1055" s="103"/>
      <c r="L1055" s="103"/>
      <c r="N1055" s="103"/>
      <c r="O1055" s="103"/>
      <c r="Q1055" s="16"/>
      <c r="R1055" s="16"/>
      <c r="S1055" s="16"/>
      <c r="T1055" s="103"/>
      <c r="U1055" s="16"/>
      <c r="V1055" s="16"/>
      <c r="W1055" s="16"/>
      <c r="X1055" s="103"/>
    </row>
    <row r="1056" spans="2:24" x14ac:dyDescent="0.25">
      <c r="B1056" s="103"/>
      <c r="C1056" s="103"/>
      <c r="D1056" s="103"/>
      <c r="E1056" s="103"/>
      <c r="F1056" s="103"/>
      <c r="H1056" s="103"/>
      <c r="I1056" s="103"/>
      <c r="J1056" s="103"/>
      <c r="K1056" s="103"/>
      <c r="L1056" s="103"/>
      <c r="N1056" s="103"/>
      <c r="O1056" s="103"/>
      <c r="Q1056" s="16"/>
      <c r="R1056" s="16"/>
      <c r="S1056" s="16"/>
      <c r="T1056" s="103"/>
      <c r="U1056" s="16"/>
      <c r="V1056" s="16"/>
      <c r="W1056" s="16"/>
      <c r="X1056" s="103"/>
    </row>
    <row r="1057" spans="2:24" x14ac:dyDescent="0.25">
      <c r="B1057" s="103"/>
      <c r="C1057" s="103"/>
      <c r="D1057" s="103"/>
      <c r="E1057" s="103"/>
      <c r="F1057" s="103"/>
      <c r="H1057" s="103"/>
      <c r="I1057" s="103"/>
      <c r="J1057" s="103"/>
      <c r="K1057" s="103"/>
      <c r="L1057" s="103"/>
      <c r="N1057" s="103"/>
      <c r="O1057" s="103"/>
      <c r="Q1057" s="16"/>
      <c r="R1057" s="16"/>
      <c r="S1057" s="16"/>
      <c r="T1057" s="103"/>
      <c r="U1057" s="16"/>
      <c r="V1057" s="16"/>
      <c r="W1057" s="16"/>
      <c r="X1057" s="103"/>
    </row>
    <row r="1058" spans="2:24" x14ac:dyDescent="0.25">
      <c r="B1058" s="103"/>
      <c r="C1058" s="103"/>
      <c r="D1058" s="103"/>
      <c r="E1058" s="103"/>
      <c r="F1058" s="103"/>
      <c r="H1058" s="103"/>
      <c r="I1058" s="103"/>
      <c r="J1058" s="103"/>
      <c r="K1058" s="103"/>
      <c r="L1058" s="103"/>
      <c r="N1058" s="103"/>
      <c r="O1058" s="103"/>
      <c r="Q1058" s="16"/>
      <c r="R1058" s="16"/>
      <c r="S1058" s="16"/>
      <c r="T1058" s="103"/>
      <c r="U1058" s="16"/>
      <c r="V1058" s="16"/>
      <c r="W1058" s="16"/>
      <c r="X1058" s="103"/>
    </row>
    <row r="1059" spans="2:24" x14ac:dyDescent="0.25">
      <c r="B1059" s="103"/>
      <c r="C1059" s="103"/>
      <c r="D1059" s="103"/>
      <c r="E1059" s="103"/>
      <c r="F1059" s="103"/>
      <c r="H1059" s="103"/>
      <c r="I1059" s="103"/>
      <c r="J1059" s="103"/>
      <c r="K1059" s="103"/>
      <c r="L1059" s="103"/>
      <c r="N1059" s="103"/>
      <c r="O1059" s="103"/>
      <c r="Q1059" s="16"/>
      <c r="R1059" s="16"/>
      <c r="S1059" s="16"/>
      <c r="T1059" s="103"/>
      <c r="U1059" s="16"/>
      <c r="V1059" s="16"/>
      <c r="W1059" s="16"/>
      <c r="X1059" s="103"/>
    </row>
    <row r="1060" spans="2:24" x14ac:dyDescent="0.25">
      <c r="B1060" s="103"/>
      <c r="C1060" s="103"/>
      <c r="D1060" s="103"/>
      <c r="E1060" s="103"/>
      <c r="F1060" s="103"/>
      <c r="H1060" s="103"/>
      <c r="I1060" s="103"/>
      <c r="J1060" s="103"/>
      <c r="K1060" s="103"/>
      <c r="L1060" s="103"/>
      <c r="N1060" s="103"/>
      <c r="O1060" s="103"/>
      <c r="Q1060" s="16"/>
      <c r="R1060" s="16"/>
      <c r="S1060" s="16"/>
      <c r="T1060" s="103"/>
      <c r="U1060" s="16"/>
      <c r="V1060" s="16"/>
      <c r="W1060" s="16"/>
      <c r="X1060" s="103"/>
    </row>
    <row r="1061" spans="2:24" x14ac:dyDescent="0.25">
      <c r="B1061" s="103"/>
      <c r="C1061" s="103"/>
      <c r="D1061" s="103"/>
      <c r="E1061" s="103"/>
      <c r="F1061" s="103"/>
      <c r="H1061" s="103"/>
      <c r="I1061" s="103"/>
      <c r="J1061" s="103"/>
      <c r="K1061" s="103"/>
      <c r="L1061" s="103"/>
      <c r="N1061" s="103"/>
      <c r="O1061" s="103"/>
      <c r="Q1061" s="16"/>
      <c r="R1061" s="16"/>
      <c r="S1061" s="16"/>
      <c r="T1061" s="103"/>
      <c r="U1061" s="16"/>
      <c r="V1061" s="16"/>
      <c r="W1061" s="16"/>
      <c r="X1061" s="103"/>
    </row>
    <row r="1062" spans="2:24" x14ac:dyDescent="0.25">
      <c r="B1062" s="103"/>
      <c r="C1062" s="103"/>
      <c r="D1062" s="103"/>
      <c r="E1062" s="103"/>
      <c r="F1062" s="103"/>
      <c r="H1062" s="103"/>
      <c r="I1062" s="103"/>
      <c r="J1062" s="103"/>
      <c r="K1062" s="103"/>
      <c r="L1062" s="103"/>
      <c r="N1062" s="103"/>
      <c r="O1062" s="103"/>
      <c r="Q1062" s="16"/>
      <c r="R1062" s="16"/>
      <c r="S1062" s="16"/>
      <c r="T1062" s="103"/>
      <c r="U1062" s="16"/>
      <c r="V1062" s="16"/>
      <c r="W1062" s="16"/>
      <c r="X1062" s="103"/>
    </row>
    <row r="1063" spans="2:24" x14ac:dyDescent="0.25">
      <c r="B1063" s="103"/>
      <c r="C1063" s="103"/>
      <c r="D1063" s="103"/>
      <c r="E1063" s="103"/>
      <c r="F1063" s="103"/>
      <c r="H1063" s="103"/>
      <c r="I1063" s="103"/>
      <c r="J1063" s="103"/>
      <c r="K1063" s="103"/>
      <c r="L1063" s="103"/>
      <c r="N1063" s="103"/>
      <c r="O1063" s="103"/>
      <c r="Q1063" s="16"/>
      <c r="R1063" s="16"/>
      <c r="S1063" s="16"/>
      <c r="T1063" s="103"/>
      <c r="U1063" s="16"/>
      <c r="V1063" s="16"/>
      <c r="W1063" s="16"/>
      <c r="X1063" s="103"/>
    </row>
    <row r="1064" spans="2:24" x14ac:dyDescent="0.25">
      <c r="B1064" s="103"/>
      <c r="C1064" s="103"/>
      <c r="D1064" s="103"/>
      <c r="E1064" s="103"/>
      <c r="F1064" s="103"/>
      <c r="H1064" s="103"/>
      <c r="I1064" s="103"/>
      <c r="J1064" s="103"/>
      <c r="K1064" s="103"/>
      <c r="L1064" s="103"/>
      <c r="N1064" s="103"/>
      <c r="O1064" s="103"/>
      <c r="Q1064" s="16"/>
      <c r="R1064" s="16"/>
      <c r="S1064" s="16"/>
      <c r="T1064" s="103"/>
      <c r="U1064" s="16"/>
      <c r="V1064" s="16"/>
      <c r="W1064" s="16"/>
      <c r="X1064" s="103"/>
    </row>
    <row r="1065" spans="2:24" x14ac:dyDescent="0.25">
      <c r="B1065" s="103"/>
      <c r="C1065" s="103"/>
      <c r="D1065" s="103"/>
      <c r="E1065" s="103"/>
      <c r="F1065" s="103"/>
      <c r="H1065" s="103"/>
      <c r="I1065" s="103"/>
      <c r="J1065" s="103"/>
      <c r="K1065" s="103"/>
      <c r="L1065" s="103"/>
      <c r="N1065" s="103"/>
      <c r="O1065" s="103"/>
      <c r="Q1065" s="16"/>
      <c r="R1065" s="16"/>
      <c r="S1065" s="16"/>
      <c r="T1065" s="103"/>
      <c r="U1065" s="16"/>
      <c r="V1065" s="16"/>
      <c r="W1065" s="16"/>
      <c r="X1065" s="103"/>
    </row>
    <row r="1066" spans="2:24" x14ac:dyDescent="0.25">
      <c r="B1066" s="103"/>
      <c r="C1066" s="103"/>
      <c r="D1066" s="103"/>
      <c r="E1066" s="103"/>
      <c r="F1066" s="103"/>
      <c r="H1066" s="103"/>
      <c r="I1066" s="103"/>
      <c r="J1066" s="103"/>
      <c r="K1066" s="103"/>
      <c r="L1066" s="103"/>
      <c r="N1066" s="103"/>
      <c r="O1066" s="103"/>
      <c r="Q1066" s="16"/>
      <c r="R1066" s="16"/>
      <c r="S1066" s="16"/>
      <c r="T1066" s="103"/>
      <c r="U1066" s="16"/>
      <c r="V1066" s="16"/>
      <c r="W1066" s="16"/>
      <c r="X1066" s="103"/>
    </row>
    <row r="1067" spans="2:24" x14ac:dyDescent="0.25">
      <c r="B1067" s="103"/>
      <c r="C1067" s="103"/>
      <c r="D1067" s="103"/>
      <c r="E1067" s="103"/>
      <c r="F1067" s="103"/>
      <c r="H1067" s="103"/>
      <c r="I1067" s="103"/>
      <c r="J1067" s="103"/>
      <c r="K1067" s="103"/>
      <c r="L1067" s="103"/>
      <c r="N1067" s="103"/>
      <c r="O1067" s="103"/>
      <c r="Q1067" s="16"/>
      <c r="R1067" s="16"/>
      <c r="S1067" s="16"/>
      <c r="T1067" s="103"/>
      <c r="U1067" s="16"/>
      <c r="V1067" s="16"/>
      <c r="W1067" s="16"/>
      <c r="X1067" s="103"/>
    </row>
    <row r="1068" spans="2:24" x14ac:dyDescent="0.25">
      <c r="B1068" s="103"/>
      <c r="C1068" s="103"/>
      <c r="D1068" s="103"/>
      <c r="E1068" s="103"/>
      <c r="F1068" s="103"/>
      <c r="H1068" s="103"/>
      <c r="I1068" s="103"/>
      <c r="J1068" s="103"/>
      <c r="K1068" s="103"/>
      <c r="L1068" s="103"/>
      <c r="N1068" s="103"/>
      <c r="O1068" s="103"/>
      <c r="Q1068" s="16"/>
      <c r="R1068" s="16"/>
      <c r="S1068" s="16"/>
      <c r="T1068" s="103"/>
      <c r="U1068" s="16"/>
      <c r="V1068" s="16"/>
      <c r="W1068" s="16"/>
      <c r="X1068" s="103"/>
    </row>
    <row r="1069" spans="2:24" x14ac:dyDescent="0.25">
      <c r="B1069" s="103"/>
      <c r="C1069" s="103"/>
      <c r="D1069" s="103"/>
      <c r="E1069" s="103"/>
      <c r="F1069" s="103"/>
      <c r="H1069" s="103"/>
      <c r="I1069" s="103"/>
      <c r="J1069" s="103"/>
      <c r="K1069" s="103"/>
      <c r="L1069" s="103"/>
      <c r="N1069" s="103"/>
      <c r="O1069" s="103"/>
      <c r="Q1069" s="16"/>
      <c r="R1069" s="16"/>
      <c r="S1069" s="16"/>
      <c r="T1069" s="103"/>
      <c r="U1069" s="16"/>
      <c r="V1069" s="16"/>
      <c r="W1069" s="16"/>
      <c r="X1069" s="103"/>
    </row>
    <row r="1070" spans="2:24" x14ac:dyDescent="0.25">
      <c r="B1070" s="103"/>
      <c r="C1070" s="103"/>
      <c r="D1070" s="103"/>
      <c r="E1070" s="103"/>
      <c r="F1070" s="103"/>
      <c r="H1070" s="103"/>
      <c r="I1070" s="103"/>
      <c r="J1070" s="103"/>
      <c r="K1070" s="103"/>
      <c r="L1070" s="103"/>
      <c r="N1070" s="103"/>
      <c r="O1070" s="103"/>
      <c r="Q1070" s="16"/>
      <c r="R1070" s="16"/>
      <c r="S1070" s="16"/>
      <c r="T1070" s="103"/>
      <c r="U1070" s="16"/>
      <c r="V1070" s="16"/>
      <c r="W1070" s="16"/>
      <c r="X1070" s="103"/>
    </row>
    <row r="1071" spans="2:24" x14ac:dyDescent="0.25">
      <c r="B1071" s="103"/>
      <c r="C1071" s="103"/>
      <c r="D1071" s="103"/>
      <c r="E1071" s="103"/>
      <c r="F1071" s="103"/>
      <c r="H1071" s="103"/>
      <c r="I1071" s="103"/>
      <c r="J1071" s="103"/>
      <c r="K1071" s="103"/>
      <c r="L1071" s="103"/>
      <c r="N1071" s="103"/>
      <c r="O1071" s="103"/>
      <c r="Q1071" s="16"/>
      <c r="R1071" s="16"/>
      <c r="S1071" s="16"/>
      <c r="T1071" s="103"/>
      <c r="U1071" s="16"/>
      <c r="V1071" s="16"/>
      <c r="W1071" s="16"/>
      <c r="X1071" s="103"/>
    </row>
    <row r="1072" spans="2:24" x14ac:dyDescent="0.25">
      <c r="B1072" s="103"/>
      <c r="C1072" s="103"/>
      <c r="D1072" s="103"/>
      <c r="E1072" s="103"/>
      <c r="F1072" s="103"/>
      <c r="H1072" s="103"/>
      <c r="I1072" s="103"/>
      <c r="J1072" s="103"/>
      <c r="K1072" s="103"/>
      <c r="L1072" s="103"/>
      <c r="N1072" s="103"/>
      <c r="O1072" s="103"/>
      <c r="Q1072" s="16"/>
      <c r="R1072" s="16"/>
      <c r="S1072" s="16"/>
      <c r="T1072" s="103"/>
      <c r="U1072" s="16"/>
      <c r="V1072" s="16"/>
      <c r="W1072" s="16"/>
      <c r="X1072" s="103"/>
    </row>
    <row r="1073" spans="2:24" x14ac:dyDescent="0.25">
      <c r="B1073" s="103"/>
      <c r="C1073" s="103"/>
      <c r="D1073" s="103"/>
      <c r="E1073" s="103"/>
      <c r="F1073" s="103"/>
      <c r="H1073" s="103"/>
      <c r="I1073" s="103"/>
      <c r="J1073" s="103"/>
      <c r="K1073" s="103"/>
      <c r="L1073" s="103"/>
      <c r="N1073" s="103"/>
      <c r="O1073" s="103"/>
      <c r="Q1073" s="16"/>
      <c r="R1073" s="16"/>
      <c r="S1073" s="16"/>
      <c r="T1073" s="103"/>
      <c r="U1073" s="16"/>
      <c r="V1073" s="16"/>
      <c r="W1073" s="16"/>
      <c r="X1073" s="103"/>
    </row>
    <row r="1074" spans="2:24" x14ac:dyDescent="0.25">
      <c r="B1074" s="103"/>
      <c r="C1074" s="103"/>
      <c r="D1074" s="103"/>
      <c r="E1074" s="103"/>
      <c r="F1074" s="103"/>
      <c r="H1074" s="103"/>
      <c r="I1074" s="103"/>
      <c r="J1074" s="103"/>
      <c r="K1074" s="103"/>
      <c r="L1074" s="103"/>
      <c r="N1074" s="103"/>
      <c r="O1074" s="103"/>
      <c r="Q1074" s="16"/>
      <c r="R1074" s="16"/>
      <c r="S1074" s="16"/>
      <c r="T1074" s="103"/>
      <c r="U1074" s="16"/>
      <c r="V1074" s="16"/>
      <c r="W1074" s="16"/>
      <c r="X1074" s="103"/>
    </row>
    <row r="1075" spans="2:24" x14ac:dyDescent="0.25">
      <c r="B1075" s="103"/>
      <c r="C1075" s="103"/>
      <c r="D1075" s="103"/>
      <c r="E1075" s="103"/>
      <c r="F1075" s="103"/>
      <c r="H1075" s="103"/>
      <c r="I1075" s="103"/>
      <c r="J1075" s="103"/>
      <c r="K1075" s="103"/>
      <c r="L1075" s="103"/>
      <c r="N1075" s="103"/>
      <c r="O1075" s="103"/>
      <c r="Q1075" s="16"/>
      <c r="R1075" s="16"/>
      <c r="S1075" s="16"/>
      <c r="T1075" s="103"/>
      <c r="U1075" s="16"/>
      <c r="V1075" s="16"/>
      <c r="W1075" s="16"/>
      <c r="X1075" s="103"/>
    </row>
    <row r="1076" spans="2:24" x14ac:dyDescent="0.25">
      <c r="B1076" s="103"/>
      <c r="C1076" s="103"/>
      <c r="D1076" s="103"/>
      <c r="E1076" s="103"/>
      <c r="F1076" s="103"/>
      <c r="H1076" s="103"/>
      <c r="I1076" s="103"/>
      <c r="J1076" s="103"/>
      <c r="K1076" s="103"/>
      <c r="L1076" s="103"/>
      <c r="N1076" s="103"/>
      <c r="O1076" s="103"/>
      <c r="Q1076" s="16"/>
      <c r="R1076" s="16"/>
      <c r="S1076" s="16"/>
      <c r="T1076" s="103"/>
      <c r="U1076" s="16"/>
      <c r="V1076" s="16"/>
      <c r="W1076" s="16"/>
      <c r="X1076" s="103"/>
    </row>
    <row r="1077" spans="2:24" x14ac:dyDescent="0.25">
      <c r="B1077" s="103"/>
      <c r="C1077" s="103"/>
      <c r="D1077" s="103"/>
      <c r="E1077" s="103"/>
      <c r="F1077" s="103"/>
      <c r="H1077" s="103"/>
      <c r="I1077" s="103"/>
      <c r="J1077" s="103"/>
      <c r="K1077" s="103"/>
      <c r="L1077" s="103"/>
      <c r="N1077" s="103"/>
      <c r="O1077" s="103"/>
      <c r="Q1077" s="16"/>
      <c r="R1077" s="16"/>
      <c r="S1077" s="16"/>
      <c r="T1077" s="103"/>
      <c r="U1077" s="16"/>
      <c r="V1077" s="16"/>
      <c r="W1077" s="16"/>
      <c r="X1077" s="103"/>
    </row>
    <row r="1078" spans="2:24" x14ac:dyDescent="0.25">
      <c r="B1078" s="103"/>
      <c r="C1078" s="103"/>
      <c r="D1078" s="103"/>
      <c r="E1078" s="103"/>
      <c r="F1078" s="103"/>
      <c r="H1078" s="103"/>
      <c r="I1078" s="103"/>
      <c r="J1078" s="103"/>
      <c r="K1078" s="103"/>
      <c r="L1078" s="103"/>
      <c r="N1078" s="103"/>
      <c r="O1078" s="103"/>
      <c r="Q1078" s="16"/>
      <c r="R1078" s="16"/>
      <c r="S1078" s="16"/>
      <c r="T1078" s="103"/>
      <c r="U1078" s="16"/>
      <c r="V1078" s="16"/>
      <c r="W1078" s="16"/>
      <c r="X1078" s="103"/>
    </row>
    <row r="1079" spans="2:24" x14ac:dyDescent="0.25">
      <c r="B1079" s="103"/>
      <c r="C1079" s="103"/>
      <c r="D1079" s="103"/>
      <c r="E1079" s="103"/>
      <c r="F1079" s="103"/>
      <c r="H1079" s="103"/>
      <c r="I1079" s="103"/>
      <c r="J1079" s="103"/>
      <c r="K1079" s="103"/>
      <c r="L1079" s="103"/>
      <c r="N1079" s="103"/>
      <c r="O1079" s="103"/>
      <c r="Q1079" s="16"/>
      <c r="R1079" s="16"/>
      <c r="S1079" s="16"/>
      <c r="T1079" s="103"/>
      <c r="U1079" s="16"/>
      <c r="V1079" s="16"/>
      <c r="W1079" s="16"/>
      <c r="X1079" s="103"/>
    </row>
    <row r="1080" spans="2:24" x14ac:dyDescent="0.25">
      <c r="B1080" s="103"/>
      <c r="C1080" s="103"/>
      <c r="D1080" s="103"/>
      <c r="E1080" s="103"/>
      <c r="F1080" s="103"/>
      <c r="H1080" s="103"/>
      <c r="I1080" s="103"/>
      <c r="J1080" s="103"/>
      <c r="K1080" s="103"/>
      <c r="L1080" s="103"/>
      <c r="N1080" s="103"/>
      <c r="O1080" s="103"/>
      <c r="Q1080" s="16"/>
      <c r="R1080" s="16"/>
      <c r="S1080" s="16"/>
      <c r="T1080" s="103"/>
      <c r="U1080" s="16"/>
      <c r="V1080" s="16"/>
      <c r="W1080" s="16"/>
      <c r="X1080" s="103"/>
    </row>
    <row r="1081" spans="2:24" x14ac:dyDescent="0.25">
      <c r="B1081" s="103"/>
      <c r="C1081" s="103"/>
      <c r="D1081" s="103"/>
      <c r="E1081" s="103"/>
      <c r="F1081" s="103"/>
      <c r="H1081" s="103"/>
      <c r="I1081" s="103"/>
      <c r="J1081" s="103"/>
      <c r="K1081" s="103"/>
      <c r="L1081" s="103"/>
      <c r="N1081" s="103"/>
      <c r="O1081" s="103"/>
      <c r="Q1081" s="16"/>
      <c r="R1081" s="16"/>
      <c r="S1081" s="16"/>
      <c r="T1081" s="103"/>
      <c r="U1081" s="16"/>
      <c r="V1081" s="16"/>
      <c r="W1081" s="16"/>
      <c r="X1081" s="103"/>
    </row>
    <row r="1082" spans="2:24" x14ac:dyDescent="0.25">
      <c r="B1082" s="103"/>
      <c r="C1082" s="103"/>
      <c r="D1082" s="103"/>
      <c r="E1082" s="103"/>
      <c r="F1082" s="103"/>
      <c r="H1082" s="103"/>
      <c r="I1082" s="103"/>
      <c r="J1082" s="103"/>
      <c r="K1082" s="103"/>
      <c r="L1082" s="103"/>
      <c r="N1082" s="103"/>
      <c r="O1082" s="103"/>
      <c r="Q1082" s="16"/>
      <c r="R1082" s="16"/>
      <c r="S1082" s="16"/>
      <c r="T1082" s="103"/>
      <c r="U1082" s="16"/>
      <c r="V1082" s="16"/>
      <c r="W1082" s="16"/>
      <c r="X1082" s="103"/>
    </row>
    <row r="1083" spans="2:24" x14ac:dyDescent="0.25">
      <c r="B1083" s="103"/>
      <c r="C1083" s="103"/>
      <c r="D1083" s="103"/>
      <c r="E1083" s="103"/>
      <c r="F1083" s="103"/>
      <c r="H1083" s="103"/>
      <c r="I1083" s="103"/>
      <c r="J1083" s="103"/>
      <c r="K1083" s="103"/>
      <c r="L1083" s="103"/>
      <c r="N1083" s="103"/>
      <c r="O1083" s="103"/>
      <c r="Q1083" s="16"/>
      <c r="R1083" s="16"/>
      <c r="S1083" s="16"/>
      <c r="T1083" s="103"/>
      <c r="U1083" s="16"/>
      <c r="V1083" s="16"/>
      <c r="W1083" s="16"/>
      <c r="X1083" s="103"/>
    </row>
    <row r="1084" spans="2:24" x14ac:dyDescent="0.25">
      <c r="B1084" s="103"/>
      <c r="C1084" s="103"/>
      <c r="D1084" s="103"/>
      <c r="E1084" s="103"/>
      <c r="F1084" s="103"/>
      <c r="H1084" s="103"/>
      <c r="I1084" s="103"/>
      <c r="J1084" s="103"/>
      <c r="K1084" s="103"/>
      <c r="L1084" s="103"/>
      <c r="N1084" s="103"/>
      <c r="O1084" s="103"/>
      <c r="Q1084" s="16"/>
      <c r="R1084" s="16"/>
      <c r="S1084" s="16"/>
      <c r="T1084" s="103"/>
      <c r="U1084" s="16"/>
      <c r="V1084" s="16"/>
      <c r="W1084" s="16"/>
      <c r="X1084" s="103"/>
    </row>
    <row r="1085" spans="2:24" x14ac:dyDescent="0.25">
      <c r="B1085" s="103"/>
      <c r="C1085" s="103"/>
      <c r="D1085" s="103"/>
      <c r="E1085" s="103"/>
      <c r="F1085" s="103"/>
      <c r="H1085" s="103"/>
      <c r="I1085" s="103"/>
      <c r="J1085" s="103"/>
      <c r="K1085" s="103"/>
      <c r="L1085" s="103"/>
      <c r="N1085" s="103"/>
      <c r="O1085" s="103"/>
      <c r="Q1085" s="16"/>
      <c r="R1085" s="16"/>
      <c r="S1085" s="16"/>
      <c r="T1085" s="103"/>
      <c r="U1085" s="16"/>
      <c r="V1085" s="16"/>
      <c r="W1085" s="16"/>
      <c r="X1085" s="103"/>
    </row>
    <row r="1086" spans="2:24" x14ac:dyDescent="0.25">
      <c r="B1086" s="103"/>
      <c r="C1086" s="103"/>
      <c r="D1086" s="103"/>
      <c r="E1086" s="103"/>
      <c r="F1086" s="103"/>
      <c r="H1086" s="103"/>
      <c r="I1086" s="103"/>
      <c r="J1086" s="103"/>
      <c r="K1086" s="103"/>
      <c r="L1086" s="103"/>
      <c r="N1086" s="103"/>
      <c r="O1086" s="103"/>
      <c r="Q1086" s="16"/>
      <c r="R1086" s="16"/>
      <c r="S1086" s="16"/>
      <c r="T1086" s="103"/>
      <c r="U1086" s="16"/>
      <c r="V1086" s="16"/>
      <c r="W1086" s="16"/>
      <c r="X1086" s="103"/>
    </row>
    <row r="1087" spans="2:24" x14ac:dyDescent="0.25">
      <c r="B1087" s="103"/>
      <c r="C1087" s="103"/>
      <c r="D1087" s="103"/>
      <c r="E1087" s="103"/>
      <c r="F1087" s="103"/>
      <c r="H1087" s="103"/>
      <c r="I1087" s="103"/>
      <c r="J1087" s="103"/>
      <c r="K1087" s="103"/>
      <c r="L1087" s="103"/>
      <c r="N1087" s="103"/>
      <c r="O1087" s="103"/>
      <c r="Q1087" s="16"/>
      <c r="R1087" s="16"/>
      <c r="S1087" s="16"/>
      <c r="T1087" s="103"/>
      <c r="U1087" s="16"/>
      <c r="V1087" s="16"/>
      <c r="W1087" s="16"/>
      <c r="X1087" s="103"/>
    </row>
    <row r="1088" spans="2:24" x14ac:dyDescent="0.25">
      <c r="B1088" s="103"/>
      <c r="C1088" s="103"/>
      <c r="D1088" s="103"/>
      <c r="E1088" s="103"/>
      <c r="F1088" s="103"/>
      <c r="H1088" s="103"/>
      <c r="I1088" s="103"/>
      <c r="J1088" s="103"/>
      <c r="K1088" s="103"/>
      <c r="L1088" s="103"/>
      <c r="N1088" s="103"/>
      <c r="O1088" s="103"/>
      <c r="Q1088" s="16"/>
      <c r="R1088" s="16"/>
      <c r="S1088" s="16"/>
      <c r="T1088" s="103"/>
      <c r="U1088" s="16"/>
      <c r="V1088" s="16"/>
      <c r="W1088" s="16"/>
      <c r="X1088" s="103"/>
    </row>
    <row r="1089" spans="2:24" x14ac:dyDescent="0.25">
      <c r="B1089" s="103"/>
      <c r="C1089" s="103"/>
      <c r="D1089" s="103"/>
      <c r="E1089" s="103"/>
      <c r="F1089" s="103"/>
      <c r="H1089" s="103"/>
      <c r="I1089" s="103"/>
      <c r="J1089" s="103"/>
      <c r="K1089" s="103"/>
      <c r="L1089" s="103"/>
      <c r="N1089" s="103"/>
      <c r="O1089" s="103"/>
      <c r="Q1089" s="16"/>
      <c r="R1089" s="16"/>
      <c r="S1089" s="16"/>
      <c r="T1089" s="103"/>
      <c r="U1089" s="16"/>
      <c r="V1089" s="16"/>
      <c r="W1089" s="16"/>
      <c r="X1089" s="103"/>
    </row>
    <row r="1090" spans="2:24" x14ac:dyDescent="0.25">
      <c r="B1090" s="103"/>
      <c r="C1090" s="103"/>
      <c r="D1090" s="103"/>
      <c r="E1090" s="103"/>
      <c r="F1090" s="103"/>
      <c r="H1090" s="103"/>
      <c r="I1090" s="103"/>
      <c r="J1090" s="103"/>
      <c r="K1090" s="103"/>
      <c r="L1090" s="103"/>
      <c r="N1090" s="103"/>
      <c r="O1090" s="103"/>
      <c r="Q1090" s="16"/>
      <c r="R1090" s="16"/>
      <c r="S1090" s="16"/>
      <c r="T1090" s="103"/>
      <c r="U1090" s="16"/>
      <c r="V1090" s="16"/>
      <c r="W1090" s="16"/>
      <c r="X1090" s="103"/>
    </row>
    <row r="1091" spans="2:24" x14ac:dyDescent="0.25">
      <c r="B1091" s="103"/>
      <c r="C1091" s="103"/>
      <c r="D1091" s="103"/>
      <c r="E1091" s="103"/>
      <c r="F1091" s="103"/>
      <c r="H1091" s="103"/>
      <c r="I1091" s="103"/>
      <c r="J1091" s="103"/>
      <c r="K1091" s="103"/>
      <c r="L1091" s="103"/>
      <c r="N1091" s="103"/>
      <c r="O1091" s="103"/>
      <c r="Q1091" s="16"/>
      <c r="R1091" s="16"/>
      <c r="S1091" s="16"/>
      <c r="T1091" s="103"/>
      <c r="U1091" s="16"/>
      <c r="V1091" s="16"/>
      <c r="W1091" s="16"/>
      <c r="X1091" s="103"/>
    </row>
    <row r="1092" spans="2:24" x14ac:dyDescent="0.25">
      <c r="B1092" s="103"/>
      <c r="C1092" s="103"/>
      <c r="D1092" s="103"/>
      <c r="E1092" s="103"/>
      <c r="F1092" s="103"/>
      <c r="H1092" s="103"/>
      <c r="I1092" s="103"/>
      <c r="J1092" s="103"/>
      <c r="K1092" s="103"/>
      <c r="L1092" s="103"/>
      <c r="N1092" s="103"/>
      <c r="O1092" s="103"/>
      <c r="Q1092" s="16"/>
      <c r="R1092" s="16"/>
      <c r="S1092" s="16"/>
      <c r="T1092" s="103"/>
      <c r="U1092" s="16"/>
      <c r="V1092" s="16"/>
      <c r="W1092" s="16"/>
      <c r="X1092" s="103"/>
    </row>
    <row r="1093" spans="2:24" x14ac:dyDescent="0.25">
      <c r="B1093" s="103"/>
      <c r="C1093" s="103"/>
      <c r="D1093" s="103"/>
      <c r="E1093" s="103"/>
      <c r="F1093" s="103"/>
      <c r="H1093" s="103"/>
      <c r="I1093" s="103"/>
      <c r="J1093" s="103"/>
      <c r="K1093" s="103"/>
      <c r="L1093" s="103"/>
      <c r="N1093" s="103"/>
      <c r="O1093" s="103"/>
      <c r="Q1093" s="16"/>
      <c r="R1093" s="16"/>
      <c r="S1093" s="16"/>
      <c r="T1093" s="103"/>
      <c r="U1093" s="16"/>
      <c r="V1093" s="16"/>
      <c r="W1093" s="16"/>
      <c r="X1093" s="103"/>
    </row>
    <row r="1094" spans="2:24" x14ac:dyDescent="0.25">
      <c r="B1094" s="103"/>
      <c r="C1094" s="103"/>
      <c r="D1094" s="103"/>
      <c r="E1094" s="103"/>
      <c r="F1094" s="103"/>
      <c r="H1094" s="103"/>
      <c r="I1094" s="103"/>
      <c r="J1094" s="103"/>
      <c r="K1094" s="103"/>
      <c r="L1094" s="103"/>
      <c r="N1094" s="103"/>
      <c r="O1094" s="103"/>
      <c r="Q1094" s="16"/>
      <c r="R1094" s="16"/>
      <c r="S1094" s="16"/>
      <c r="T1094" s="103"/>
      <c r="U1094" s="16"/>
      <c r="V1094" s="16"/>
      <c r="W1094" s="16"/>
      <c r="X1094" s="103"/>
    </row>
    <row r="1095" spans="2:24" x14ac:dyDescent="0.25">
      <c r="B1095" s="103"/>
      <c r="C1095" s="103"/>
      <c r="D1095" s="103"/>
      <c r="E1095" s="103"/>
      <c r="F1095" s="103"/>
      <c r="H1095" s="103"/>
      <c r="I1095" s="103"/>
      <c r="J1095" s="103"/>
      <c r="K1095" s="103"/>
      <c r="L1095" s="103"/>
      <c r="N1095" s="103"/>
      <c r="O1095" s="103"/>
      <c r="Q1095" s="16"/>
      <c r="R1095" s="16"/>
      <c r="S1095" s="16"/>
      <c r="T1095" s="103"/>
      <c r="U1095" s="16"/>
      <c r="V1095" s="16"/>
      <c r="W1095" s="16"/>
      <c r="X1095" s="103"/>
    </row>
    <row r="1096" spans="2:24" x14ac:dyDescent="0.25">
      <c r="B1096" s="103"/>
      <c r="C1096" s="103"/>
      <c r="D1096" s="103"/>
      <c r="E1096" s="103"/>
      <c r="F1096" s="103"/>
      <c r="H1096" s="103"/>
      <c r="I1096" s="103"/>
      <c r="J1096" s="103"/>
      <c r="K1096" s="103"/>
      <c r="L1096" s="103"/>
      <c r="N1096" s="103"/>
      <c r="O1096" s="103"/>
      <c r="Q1096" s="16"/>
      <c r="R1096" s="16"/>
      <c r="S1096" s="16"/>
      <c r="T1096" s="103"/>
      <c r="U1096" s="16"/>
      <c r="V1096" s="16"/>
      <c r="W1096" s="16"/>
      <c r="X1096" s="103"/>
    </row>
    <row r="1097" spans="2:24" x14ac:dyDescent="0.25">
      <c r="B1097" s="103"/>
      <c r="C1097" s="103"/>
      <c r="D1097" s="103"/>
      <c r="E1097" s="103"/>
      <c r="F1097" s="103"/>
      <c r="H1097" s="103"/>
      <c r="I1097" s="103"/>
      <c r="J1097" s="103"/>
      <c r="K1097" s="103"/>
      <c r="L1097" s="103"/>
      <c r="N1097" s="103"/>
      <c r="O1097" s="103"/>
      <c r="Q1097" s="16"/>
      <c r="R1097" s="16"/>
      <c r="S1097" s="16"/>
      <c r="T1097" s="103"/>
      <c r="U1097" s="16"/>
      <c r="V1097" s="16"/>
      <c r="W1097" s="16"/>
      <c r="X1097" s="103"/>
    </row>
    <row r="1098" spans="2:24" x14ac:dyDescent="0.25">
      <c r="B1098" s="103"/>
      <c r="C1098" s="103"/>
      <c r="D1098" s="103"/>
      <c r="E1098" s="103"/>
      <c r="F1098" s="103"/>
      <c r="H1098" s="103"/>
      <c r="I1098" s="103"/>
      <c r="J1098" s="103"/>
      <c r="K1098" s="103"/>
      <c r="L1098" s="103"/>
      <c r="N1098" s="103"/>
      <c r="O1098" s="103"/>
      <c r="Q1098" s="16"/>
      <c r="R1098" s="16"/>
      <c r="S1098" s="16"/>
      <c r="T1098" s="103"/>
      <c r="U1098" s="16"/>
      <c r="V1098" s="16"/>
      <c r="W1098" s="16"/>
      <c r="X1098" s="103"/>
    </row>
    <row r="1099" spans="2:24" x14ac:dyDescent="0.25">
      <c r="B1099" s="103"/>
      <c r="C1099" s="103"/>
      <c r="D1099" s="103"/>
      <c r="E1099" s="103"/>
      <c r="F1099" s="103"/>
      <c r="H1099" s="103"/>
      <c r="I1099" s="103"/>
      <c r="J1099" s="103"/>
      <c r="K1099" s="103"/>
      <c r="L1099" s="103"/>
      <c r="N1099" s="103"/>
      <c r="O1099" s="103"/>
      <c r="Q1099" s="16"/>
      <c r="R1099" s="16"/>
      <c r="S1099" s="16"/>
      <c r="T1099" s="103"/>
      <c r="U1099" s="16"/>
      <c r="V1099" s="16"/>
      <c r="W1099" s="16"/>
      <c r="X1099" s="103"/>
    </row>
    <row r="1100" spans="2:24" x14ac:dyDescent="0.25">
      <c r="B1100" s="103"/>
      <c r="C1100" s="103"/>
      <c r="D1100" s="103"/>
      <c r="E1100" s="103"/>
      <c r="F1100" s="103"/>
      <c r="H1100" s="103"/>
      <c r="I1100" s="103"/>
      <c r="J1100" s="103"/>
      <c r="K1100" s="103"/>
      <c r="L1100" s="103"/>
      <c r="N1100" s="103"/>
      <c r="O1100" s="103"/>
      <c r="Q1100" s="16"/>
      <c r="R1100" s="16"/>
      <c r="S1100" s="16"/>
      <c r="T1100" s="103"/>
      <c r="U1100" s="16"/>
      <c r="V1100" s="16"/>
      <c r="W1100" s="16"/>
      <c r="X1100" s="103"/>
    </row>
    <row r="1101" spans="2:24" x14ac:dyDescent="0.25">
      <c r="B1101" s="103"/>
      <c r="C1101" s="103"/>
      <c r="D1101" s="103"/>
      <c r="E1101" s="103"/>
      <c r="F1101" s="103"/>
      <c r="H1101" s="103"/>
      <c r="I1101" s="103"/>
      <c r="J1101" s="103"/>
      <c r="K1101" s="103"/>
      <c r="L1101" s="103"/>
      <c r="N1101" s="103"/>
      <c r="O1101" s="103"/>
      <c r="Q1101" s="16"/>
      <c r="R1101" s="16"/>
      <c r="S1101" s="16"/>
      <c r="T1101" s="103"/>
      <c r="U1101" s="16"/>
      <c r="V1101" s="16"/>
      <c r="W1101" s="16"/>
      <c r="X1101" s="103"/>
    </row>
    <row r="1102" spans="2:24" x14ac:dyDescent="0.25">
      <c r="B1102" s="103"/>
      <c r="C1102" s="103"/>
      <c r="D1102" s="103"/>
      <c r="E1102" s="103"/>
      <c r="F1102" s="103"/>
      <c r="H1102" s="103"/>
      <c r="I1102" s="103"/>
      <c r="J1102" s="103"/>
      <c r="K1102" s="103"/>
      <c r="L1102" s="103"/>
      <c r="N1102" s="103"/>
      <c r="O1102" s="103"/>
      <c r="Q1102" s="16"/>
      <c r="R1102" s="16"/>
      <c r="S1102" s="16"/>
      <c r="T1102" s="103"/>
      <c r="U1102" s="16"/>
      <c r="V1102" s="16"/>
      <c r="W1102" s="16"/>
      <c r="X1102" s="103"/>
    </row>
    <row r="1103" spans="2:24" x14ac:dyDescent="0.25">
      <c r="B1103" s="103"/>
      <c r="C1103" s="103"/>
      <c r="D1103" s="103"/>
      <c r="E1103" s="103"/>
      <c r="F1103" s="103"/>
      <c r="H1103" s="103"/>
      <c r="I1103" s="103"/>
      <c r="J1103" s="103"/>
      <c r="K1103" s="103"/>
      <c r="L1103" s="103"/>
      <c r="N1103" s="103"/>
      <c r="O1103" s="103"/>
      <c r="Q1103" s="16"/>
      <c r="R1103" s="16"/>
      <c r="S1103" s="16"/>
      <c r="T1103" s="103"/>
      <c r="U1103" s="16"/>
      <c r="V1103" s="16"/>
      <c r="W1103" s="16"/>
      <c r="X1103" s="103"/>
    </row>
    <row r="1104" spans="2:24" x14ac:dyDescent="0.25">
      <c r="B1104" s="103"/>
      <c r="C1104" s="103"/>
      <c r="D1104" s="103"/>
      <c r="E1104" s="103"/>
      <c r="F1104" s="103"/>
      <c r="H1104" s="103"/>
      <c r="I1104" s="103"/>
      <c r="J1104" s="103"/>
      <c r="K1104" s="103"/>
      <c r="L1104" s="103"/>
      <c r="N1104" s="103"/>
      <c r="O1104" s="103"/>
      <c r="Q1104" s="16"/>
      <c r="R1104" s="16"/>
      <c r="S1104" s="16"/>
      <c r="T1104" s="103"/>
      <c r="U1104" s="16"/>
      <c r="V1104" s="16"/>
      <c r="W1104" s="16"/>
      <c r="X1104" s="103"/>
    </row>
    <row r="1105" spans="2:24" x14ac:dyDescent="0.25">
      <c r="B1105" s="103"/>
      <c r="C1105" s="103"/>
      <c r="D1105" s="103"/>
      <c r="E1105" s="103"/>
      <c r="F1105" s="103"/>
      <c r="H1105" s="103"/>
      <c r="I1105" s="103"/>
      <c r="J1105" s="103"/>
      <c r="K1105" s="103"/>
      <c r="L1105" s="103"/>
      <c r="N1105" s="103"/>
      <c r="O1105" s="103"/>
      <c r="Q1105" s="16"/>
      <c r="R1105" s="16"/>
      <c r="S1105" s="16"/>
      <c r="T1105" s="103"/>
      <c r="U1105" s="16"/>
      <c r="V1105" s="16"/>
      <c r="W1105" s="16"/>
      <c r="X1105" s="103"/>
    </row>
    <row r="1106" spans="2:24" x14ac:dyDescent="0.25">
      <c r="B1106" s="103"/>
      <c r="C1106" s="103"/>
      <c r="D1106" s="103"/>
      <c r="E1106" s="103"/>
      <c r="F1106" s="103"/>
      <c r="H1106" s="103"/>
      <c r="I1106" s="103"/>
      <c r="J1106" s="103"/>
      <c r="K1106" s="103"/>
      <c r="L1106" s="103"/>
      <c r="N1106" s="103"/>
      <c r="O1106" s="103"/>
      <c r="Q1106" s="16"/>
      <c r="R1106" s="16"/>
      <c r="S1106" s="16"/>
      <c r="T1106" s="103"/>
      <c r="U1106" s="16"/>
      <c r="V1106" s="16"/>
      <c r="W1106" s="16"/>
      <c r="X1106" s="103"/>
    </row>
    <row r="1107" spans="2:24" x14ac:dyDescent="0.25">
      <c r="B1107" s="103"/>
      <c r="C1107" s="103"/>
      <c r="D1107" s="103"/>
      <c r="E1107" s="103"/>
      <c r="F1107" s="103"/>
      <c r="H1107" s="103"/>
      <c r="I1107" s="103"/>
      <c r="J1107" s="103"/>
      <c r="K1107" s="103"/>
      <c r="L1107" s="103"/>
      <c r="N1107" s="103"/>
      <c r="O1107" s="103"/>
      <c r="Q1107" s="16"/>
      <c r="R1107" s="16"/>
      <c r="S1107" s="16"/>
      <c r="T1107" s="103"/>
      <c r="U1107" s="16"/>
      <c r="V1107" s="16"/>
      <c r="W1107" s="16"/>
      <c r="X1107" s="103"/>
    </row>
    <row r="1108" spans="2:24" x14ac:dyDescent="0.25">
      <c r="B1108" s="103"/>
      <c r="C1108" s="103"/>
      <c r="D1108" s="103"/>
      <c r="E1108" s="103"/>
      <c r="F1108" s="103"/>
      <c r="H1108" s="103"/>
      <c r="I1108" s="103"/>
      <c r="J1108" s="103"/>
      <c r="K1108" s="103"/>
      <c r="L1108" s="103"/>
      <c r="N1108" s="103"/>
      <c r="O1108" s="103"/>
      <c r="Q1108" s="16"/>
      <c r="R1108" s="16"/>
      <c r="S1108" s="16"/>
      <c r="T1108" s="103"/>
      <c r="U1108" s="16"/>
      <c r="V1108" s="16"/>
      <c r="W1108" s="16"/>
      <c r="X1108" s="103"/>
    </row>
    <row r="1109" spans="2:24" x14ac:dyDescent="0.25">
      <c r="B1109" s="103"/>
      <c r="C1109" s="103"/>
      <c r="D1109" s="103"/>
      <c r="E1109" s="103"/>
      <c r="F1109" s="103"/>
      <c r="H1109" s="103"/>
      <c r="I1109" s="103"/>
      <c r="J1109" s="103"/>
      <c r="K1109" s="103"/>
      <c r="L1109" s="103"/>
      <c r="N1109" s="103"/>
      <c r="O1109" s="103"/>
      <c r="Q1109" s="16"/>
      <c r="R1109" s="16"/>
      <c r="S1109" s="16"/>
      <c r="T1109" s="103"/>
      <c r="U1109" s="16"/>
      <c r="V1109" s="16"/>
      <c r="W1109" s="16"/>
      <c r="X1109" s="103"/>
    </row>
    <row r="1110" spans="2:24" x14ac:dyDescent="0.25">
      <c r="B1110" s="103"/>
      <c r="C1110" s="103"/>
      <c r="D1110" s="103"/>
      <c r="E1110" s="103"/>
      <c r="F1110" s="103"/>
      <c r="H1110" s="103"/>
      <c r="I1110" s="103"/>
      <c r="J1110" s="103"/>
      <c r="K1110" s="103"/>
      <c r="L1110" s="103"/>
      <c r="N1110" s="103"/>
      <c r="O1110" s="103"/>
      <c r="Q1110" s="16"/>
      <c r="R1110" s="16"/>
      <c r="S1110" s="16"/>
      <c r="T1110" s="103"/>
      <c r="U1110" s="16"/>
      <c r="V1110" s="16"/>
      <c r="W1110" s="16"/>
      <c r="X1110" s="103"/>
    </row>
    <row r="1111" spans="2:24" x14ac:dyDescent="0.25">
      <c r="B1111" s="103"/>
      <c r="C1111" s="103"/>
      <c r="D1111" s="103"/>
      <c r="E1111" s="103"/>
      <c r="F1111" s="103"/>
      <c r="H1111" s="103"/>
      <c r="I1111" s="103"/>
      <c r="J1111" s="103"/>
      <c r="K1111" s="103"/>
      <c r="L1111" s="103"/>
      <c r="N1111" s="103"/>
      <c r="O1111" s="103"/>
      <c r="Q1111" s="16"/>
      <c r="R1111" s="16"/>
      <c r="S1111" s="16"/>
      <c r="T1111" s="103"/>
      <c r="U1111" s="16"/>
      <c r="V1111" s="16"/>
      <c r="W1111" s="16"/>
      <c r="X1111" s="103"/>
    </row>
    <row r="1112" spans="2:24" x14ac:dyDescent="0.25">
      <c r="B1112" s="103"/>
      <c r="C1112" s="103"/>
      <c r="D1112" s="103"/>
      <c r="E1112" s="103"/>
      <c r="F1112" s="103"/>
      <c r="H1112" s="103"/>
      <c r="I1112" s="103"/>
      <c r="J1112" s="103"/>
      <c r="K1112" s="103"/>
      <c r="L1112" s="103"/>
      <c r="N1112" s="103"/>
      <c r="O1112" s="103"/>
      <c r="Q1112" s="16"/>
      <c r="R1112" s="16"/>
      <c r="S1112" s="16"/>
      <c r="T1112" s="103"/>
      <c r="U1112" s="16"/>
      <c r="V1112" s="16"/>
      <c r="W1112" s="16"/>
      <c r="X1112" s="103"/>
    </row>
    <row r="1113" spans="2:24" x14ac:dyDescent="0.25">
      <c r="B1113" s="103"/>
      <c r="C1113" s="103"/>
      <c r="D1113" s="103"/>
      <c r="E1113" s="103"/>
      <c r="F1113" s="103"/>
      <c r="H1113" s="103"/>
      <c r="I1113" s="103"/>
      <c r="J1113" s="103"/>
      <c r="K1113" s="103"/>
      <c r="L1113" s="103"/>
      <c r="N1113" s="103"/>
      <c r="O1113" s="103"/>
      <c r="Q1113" s="16"/>
      <c r="R1113" s="16"/>
      <c r="S1113" s="16"/>
      <c r="T1113" s="103"/>
      <c r="U1113" s="16"/>
      <c r="V1113" s="16"/>
      <c r="W1113" s="16"/>
      <c r="X1113" s="103"/>
    </row>
    <row r="1114" spans="2:24" x14ac:dyDescent="0.25">
      <c r="B1114" s="103"/>
      <c r="C1114" s="103"/>
      <c r="D1114" s="103"/>
      <c r="E1114" s="103"/>
      <c r="F1114" s="103"/>
      <c r="H1114" s="103"/>
      <c r="I1114" s="103"/>
      <c r="J1114" s="103"/>
      <c r="K1114" s="103"/>
      <c r="L1114" s="103"/>
      <c r="N1114" s="103"/>
      <c r="O1114" s="103"/>
      <c r="Q1114" s="16"/>
      <c r="R1114" s="16"/>
      <c r="S1114" s="16"/>
      <c r="T1114" s="103"/>
      <c r="U1114" s="16"/>
      <c r="V1114" s="16"/>
      <c r="W1114" s="16"/>
      <c r="X1114" s="103"/>
    </row>
    <row r="1115" spans="2:24" x14ac:dyDescent="0.25">
      <c r="B1115" s="103"/>
      <c r="C1115" s="103"/>
      <c r="D1115" s="103"/>
      <c r="E1115" s="103"/>
      <c r="F1115" s="103"/>
      <c r="H1115" s="103"/>
      <c r="I1115" s="103"/>
      <c r="J1115" s="103"/>
      <c r="K1115" s="103"/>
      <c r="L1115" s="103"/>
      <c r="N1115" s="103"/>
      <c r="O1115" s="103"/>
      <c r="Q1115" s="16"/>
      <c r="R1115" s="16"/>
      <c r="S1115" s="16"/>
      <c r="T1115" s="103"/>
      <c r="U1115" s="16"/>
      <c r="V1115" s="16"/>
      <c r="W1115" s="16"/>
      <c r="X1115" s="103"/>
    </row>
    <row r="1116" spans="2:24" x14ac:dyDescent="0.25">
      <c r="B1116" s="103"/>
      <c r="C1116" s="103"/>
      <c r="D1116" s="103"/>
      <c r="E1116" s="103"/>
      <c r="F1116" s="103"/>
      <c r="H1116" s="103"/>
      <c r="I1116" s="103"/>
      <c r="J1116" s="103"/>
      <c r="K1116" s="103"/>
      <c r="L1116" s="103"/>
      <c r="N1116" s="103"/>
      <c r="O1116" s="103"/>
      <c r="Q1116" s="16"/>
      <c r="R1116" s="16"/>
      <c r="S1116" s="16"/>
      <c r="T1116" s="103"/>
      <c r="U1116" s="16"/>
      <c r="V1116" s="16"/>
      <c r="W1116" s="16"/>
      <c r="X1116" s="103"/>
    </row>
    <row r="1117" spans="2:24" x14ac:dyDescent="0.25">
      <c r="B1117" s="103"/>
      <c r="C1117" s="103"/>
      <c r="D1117" s="103"/>
      <c r="E1117" s="103"/>
      <c r="F1117" s="103"/>
      <c r="H1117" s="103"/>
      <c r="I1117" s="103"/>
      <c r="J1117" s="103"/>
      <c r="K1117" s="103"/>
      <c r="L1117" s="103"/>
      <c r="N1117" s="103"/>
      <c r="O1117" s="103"/>
      <c r="Q1117" s="16"/>
      <c r="R1117" s="16"/>
      <c r="S1117" s="16"/>
      <c r="T1117" s="103"/>
      <c r="U1117" s="16"/>
      <c r="V1117" s="16"/>
      <c r="W1117" s="16"/>
      <c r="X1117" s="103"/>
    </row>
    <row r="1118" spans="2:24" x14ac:dyDescent="0.25">
      <c r="B1118" s="103"/>
      <c r="C1118" s="103"/>
      <c r="D1118" s="103"/>
      <c r="E1118" s="103"/>
      <c r="F1118" s="103"/>
      <c r="H1118" s="103"/>
      <c r="I1118" s="103"/>
      <c r="J1118" s="103"/>
      <c r="K1118" s="103"/>
      <c r="L1118" s="103"/>
      <c r="N1118" s="103"/>
      <c r="O1118" s="103"/>
      <c r="Q1118" s="16"/>
      <c r="R1118" s="16"/>
      <c r="S1118" s="16"/>
      <c r="T1118" s="103"/>
      <c r="U1118" s="16"/>
      <c r="V1118" s="16"/>
      <c r="W1118" s="16"/>
      <c r="X1118" s="103"/>
    </row>
    <row r="1119" spans="2:24" x14ac:dyDescent="0.25">
      <c r="B1119" s="103"/>
      <c r="C1119" s="103"/>
      <c r="D1119" s="103"/>
      <c r="E1119" s="103"/>
      <c r="F1119" s="103"/>
      <c r="H1119" s="103"/>
      <c r="I1119" s="103"/>
      <c r="J1119" s="103"/>
      <c r="K1119" s="103"/>
      <c r="L1119" s="103"/>
      <c r="N1119" s="103"/>
      <c r="O1119" s="103"/>
      <c r="Q1119" s="16"/>
      <c r="R1119" s="16"/>
      <c r="S1119" s="16"/>
      <c r="T1119" s="103"/>
      <c r="U1119" s="16"/>
      <c r="V1119" s="16"/>
      <c r="W1119" s="16"/>
      <c r="X1119" s="103"/>
    </row>
    <row r="1120" spans="2:24" x14ac:dyDescent="0.25">
      <c r="B1120" s="103"/>
      <c r="C1120" s="103"/>
      <c r="D1120" s="103"/>
      <c r="E1120" s="103"/>
      <c r="F1120" s="103"/>
      <c r="H1120" s="103"/>
      <c r="I1120" s="103"/>
      <c r="J1120" s="103"/>
      <c r="K1120" s="103"/>
      <c r="L1120" s="103"/>
      <c r="N1120" s="103"/>
      <c r="O1120" s="103"/>
      <c r="Q1120" s="16"/>
      <c r="R1120" s="16"/>
      <c r="S1120" s="16"/>
      <c r="T1120" s="103"/>
      <c r="U1120" s="16"/>
      <c r="V1120" s="16"/>
      <c r="W1120" s="16"/>
      <c r="X1120" s="103"/>
    </row>
    <row r="1121" spans="2:24" x14ac:dyDescent="0.25">
      <c r="B1121" s="103"/>
      <c r="C1121" s="103"/>
      <c r="D1121" s="103"/>
      <c r="E1121" s="103"/>
      <c r="F1121" s="103"/>
      <c r="H1121" s="103"/>
      <c r="I1121" s="103"/>
      <c r="J1121" s="103"/>
      <c r="K1121" s="103"/>
      <c r="L1121" s="103"/>
      <c r="N1121" s="103"/>
      <c r="O1121" s="103"/>
      <c r="Q1121" s="16"/>
      <c r="R1121" s="16"/>
      <c r="S1121" s="16"/>
      <c r="T1121" s="103"/>
      <c r="U1121" s="16"/>
      <c r="V1121" s="16"/>
      <c r="W1121" s="16"/>
      <c r="X1121" s="103"/>
    </row>
    <row r="1122" spans="2:24" x14ac:dyDescent="0.25">
      <c r="B1122" s="103"/>
      <c r="C1122" s="103"/>
      <c r="D1122" s="103"/>
      <c r="E1122" s="103"/>
      <c r="F1122" s="103"/>
      <c r="H1122" s="103"/>
      <c r="I1122" s="103"/>
      <c r="J1122" s="103"/>
      <c r="K1122" s="103"/>
      <c r="L1122" s="103"/>
      <c r="N1122" s="103"/>
      <c r="O1122" s="103"/>
      <c r="Q1122" s="16"/>
      <c r="R1122" s="16"/>
      <c r="S1122" s="16"/>
      <c r="T1122" s="103"/>
      <c r="U1122" s="16"/>
      <c r="V1122" s="16"/>
      <c r="W1122" s="16"/>
      <c r="X1122" s="103"/>
    </row>
    <row r="1123" spans="2:24" x14ac:dyDescent="0.25">
      <c r="B1123" s="103"/>
      <c r="C1123" s="103"/>
      <c r="D1123" s="103"/>
      <c r="E1123" s="103"/>
      <c r="F1123" s="103"/>
      <c r="H1123" s="103"/>
      <c r="I1123" s="103"/>
      <c r="J1123" s="103"/>
      <c r="K1123" s="103"/>
      <c r="L1123" s="103"/>
      <c r="N1123" s="103"/>
      <c r="O1123" s="103"/>
      <c r="Q1123" s="16"/>
      <c r="R1123" s="16"/>
      <c r="S1123" s="16"/>
      <c r="T1123" s="103"/>
      <c r="U1123" s="16"/>
      <c r="V1123" s="16"/>
      <c r="W1123" s="16"/>
      <c r="X1123" s="103"/>
    </row>
    <row r="1124" spans="2:24" x14ac:dyDescent="0.25">
      <c r="B1124" s="103"/>
      <c r="C1124" s="103"/>
      <c r="D1124" s="103"/>
      <c r="E1124" s="103"/>
      <c r="F1124" s="103"/>
      <c r="H1124" s="103"/>
      <c r="I1124" s="103"/>
      <c r="J1124" s="103"/>
      <c r="K1124" s="103"/>
      <c r="L1124" s="103"/>
      <c r="N1124" s="103"/>
      <c r="O1124" s="103"/>
      <c r="Q1124" s="16"/>
      <c r="R1124" s="16"/>
      <c r="S1124" s="16"/>
      <c r="T1124" s="103"/>
      <c r="U1124" s="16"/>
      <c r="V1124" s="16"/>
      <c r="W1124" s="16"/>
      <c r="X1124" s="103"/>
    </row>
    <row r="1125" spans="2:24" x14ac:dyDescent="0.25">
      <c r="B1125" s="103"/>
      <c r="C1125" s="103"/>
      <c r="D1125" s="103"/>
      <c r="E1125" s="103"/>
      <c r="F1125" s="103"/>
      <c r="H1125" s="103"/>
      <c r="I1125" s="103"/>
      <c r="J1125" s="103"/>
      <c r="K1125" s="103"/>
      <c r="L1125" s="103"/>
      <c r="N1125" s="103"/>
      <c r="O1125" s="103"/>
      <c r="Q1125" s="16"/>
      <c r="R1125" s="16"/>
      <c r="S1125" s="16"/>
      <c r="T1125" s="103"/>
      <c r="U1125" s="16"/>
      <c r="V1125" s="16"/>
      <c r="W1125" s="16"/>
      <c r="X1125" s="103"/>
    </row>
    <row r="1126" spans="2:24" x14ac:dyDescent="0.25">
      <c r="B1126" s="103"/>
      <c r="C1126" s="103"/>
      <c r="D1126" s="103"/>
      <c r="E1126" s="103"/>
      <c r="F1126" s="103"/>
      <c r="H1126" s="103"/>
      <c r="I1126" s="103"/>
      <c r="J1126" s="103"/>
      <c r="K1126" s="103"/>
      <c r="L1126" s="103"/>
      <c r="N1126" s="103"/>
      <c r="O1126" s="103"/>
      <c r="Q1126" s="16"/>
      <c r="R1126" s="16"/>
      <c r="S1126" s="16"/>
      <c r="T1126" s="103"/>
      <c r="U1126" s="16"/>
      <c r="V1126" s="16"/>
      <c r="W1126" s="16"/>
      <c r="X1126" s="103"/>
    </row>
    <row r="1127" spans="2:24" x14ac:dyDescent="0.25">
      <c r="B1127" s="103"/>
      <c r="C1127" s="103"/>
      <c r="D1127" s="103"/>
      <c r="E1127" s="103"/>
      <c r="F1127" s="103"/>
      <c r="H1127" s="103"/>
      <c r="I1127" s="103"/>
      <c r="J1127" s="103"/>
      <c r="K1127" s="103"/>
      <c r="L1127" s="103"/>
      <c r="N1127" s="103"/>
      <c r="O1127" s="103"/>
      <c r="Q1127" s="16"/>
      <c r="R1127" s="16"/>
      <c r="S1127" s="16"/>
      <c r="T1127" s="103"/>
      <c r="U1127" s="16"/>
      <c r="V1127" s="16"/>
      <c r="W1127" s="16"/>
      <c r="X1127" s="103"/>
    </row>
    <row r="1128" spans="2:24" x14ac:dyDescent="0.25">
      <c r="B1128" s="103"/>
      <c r="C1128" s="103"/>
      <c r="D1128" s="103"/>
      <c r="E1128" s="103"/>
      <c r="F1128" s="103"/>
      <c r="H1128" s="103"/>
      <c r="I1128" s="103"/>
      <c r="J1128" s="103"/>
      <c r="K1128" s="103"/>
      <c r="L1128" s="103"/>
      <c r="N1128" s="103"/>
      <c r="O1128" s="103"/>
      <c r="Q1128" s="16"/>
      <c r="R1128" s="16"/>
      <c r="S1128" s="16"/>
      <c r="T1128" s="103"/>
      <c r="U1128" s="16"/>
      <c r="V1128" s="16"/>
      <c r="W1128" s="16"/>
      <c r="X1128" s="103"/>
    </row>
    <row r="1129" spans="2:24" x14ac:dyDescent="0.25">
      <c r="B1129" s="103"/>
      <c r="C1129" s="103"/>
      <c r="D1129" s="103"/>
      <c r="E1129" s="103"/>
      <c r="F1129" s="103"/>
      <c r="H1129" s="103"/>
      <c r="I1129" s="103"/>
      <c r="J1129" s="103"/>
      <c r="K1129" s="103"/>
      <c r="L1129" s="103"/>
      <c r="N1129" s="103"/>
      <c r="O1129" s="103"/>
      <c r="Q1129" s="16"/>
      <c r="R1129" s="16"/>
      <c r="S1129" s="16"/>
      <c r="T1129" s="103"/>
      <c r="U1129" s="16"/>
      <c r="V1129" s="16"/>
      <c r="W1129" s="16"/>
      <c r="X1129" s="103"/>
    </row>
    <row r="1130" spans="2:24" x14ac:dyDescent="0.25">
      <c r="B1130" s="103"/>
      <c r="C1130" s="103"/>
      <c r="D1130" s="103"/>
      <c r="E1130" s="103"/>
      <c r="F1130" s="103"/>
      <c r="H1130" s="103"/>
      <c r="I1130" s="103"/>
      <c r="J1130" s="103"/>
      <c r="K1130" s="103"/>
      <c r="L1130" s="103"/>
      <c r="N1130" s="103"/>
      <c r="O1130" s="103"/>
      <c r="Q1130" s="16"/>
      <c r="R1130" s="16"/>
      <c r="S1130" s="16"/>
      <c r="T1130" s="103"/>
      <c r="U1130" s="16"/>
      <c r="V1130" s="16"/>
      <c r="W1130" s="16"/>
      <c r="X1130" s="103"/>
    </row>
    <row r="1131" spans="2:24" x14ac:dyDescent="0.25">
      <c r="B1131" s="103"/>
      <c r="C1131" s="103"/>
      <c r="D1131" s="103"/>
      <c r="E1131" s="103"/>
      <c r="F1131" s="103"/>
      <c r="H1131" s="103"/>
      <c r="I1131" s="103"/>
      <c r="J1131" s="103"/>
      <c r="K1131" s="103"/>
      <c r="L1131" s="103"/>
      <c r="N1131" s="103"/>
      <c r="O1131" s="103"/>
      <c r="Q1131" s="16"/>
      <c r="R1131" s="16"/>
      <c r="S1131" s="16"/>
      <c r="T1131" s="103"/>
      <c r="U1131" s="16"/>
      <c r="V1131" s="16"/>
      <c r="W1131" s="16"/>
      <c r="X1131" s="103"/>
    </row>
    <row r="1132" spans="2:24" x14ac:dyDescent="0.25">
      <c r="B1132" s="103"/>
      <c r="C1132" s="103"/>
      <c r="D1132" s="103"/>
      <c r="E1132" s="103"/>
      <c r="F1132" s="103"/>
      <c r="H1132" s="103"/>
      <c r="I1132" s="103"/>
      <c r="J1132" s="103"/>
      <c r="K1132" s="103"/>
      <c r="L1132" s="103"/>
      <c r="N1132" s="103"/>
      <c r="O1132" s="103"/>
      <c r="Q1132" s="16"/>
      <c r="R1132" s="16"/>
      <c r="S1132" s="16"/>
      <c r="T1132" s="103"/>
      <c r="U1132" s="16"/>
      <c r="V1132" s="16"/>
      <c r="W1132" s="16"/>
      <c r="X1132" s="103"/>
    </row>
    <row r="1133" spans="2:24" x14ac:dyDescent="0.25">
      <c r="B1133" s="103"/>
      <c r="C1133" s="103"/>
      <c r="D1133" s="103"/>
      <c r="E1133" s="103"/>
      <c r="F1133" s="103"/>
      <c r="H1133" s="103"/>
      <c r="I1133" s="103"/>
      <c r="J1133" s="103"/>
      <c r="K1133" s="103"/>
      <c r="L1133" s="103"/>
      <c r="N1133" s="103"/>
      <c r="O1133" s="103"/>
      <c r="Q1133" s="16"/>
      <c r="R1133" s="16"/>
      <c r="S1133" s="16"/>
      <c r="T1133" s="103"/>
      <c r="U1133" s="16"/>
      <c r="V1133" s="16"/>
      <c r="W1133" s="16"/>
      <c r="X1133" s="103"/>
    </row>
    <row r="1134" spans="2:24" x14ac:dyDescent="0.25">
      <c r="B1134" s="103"/>
      <c r="C1134" s="103"/>
      <c r="D1134" s="103"/>
      <c r="E1134" s="103"/>
      <c r="F1134" s="103"/>
      <c r="H1134" s="103"/>
      <c r="I1134" s="103"/>
      <c r="J1134" s="103"/>
      <c r="K1134" s="103"/>
      <c r="L1134" s="103"/>
      <c r="N1134" s="103"/>
      <c r="O1134" s="103"/>
      <c r="Q1134" s="16"/>
      <c r="R1134" s="16"/>
      <c r="S1134" s="16"/>
      <c r="T1134" s="103"/>
      <c r="U1134" s="16"/>
      <c r="V1134" s="16"/>
      <c r="W1134" s="16"/>
      <c r="X1134" s="103"/>
    </row>
    <row r="1135" spans="2:24" x14ac:dyDescent="0.25">
      <c r="B1135" s="103"/>
      <c r="C1135" s="103"/>
      <c r="D1135" s="103"/>
      <c r="E1135" s="103"/>
      <c r="F1135" s="103"/>
      <c r="H1135" s="103"/>
      <c r="I1135" s="103"/>
      <c r="J1135" s="103"/>
      <c r="K1135" s="103"/>
      <c r="L1135" s="103"/>
      <c r="N1135" s="103"/>
      <c r="O1135" s="103"/>
      <c r="Q1135" s="16"/>
      <c r="R1135" s="16"/>
      <c r="S1135" s="16"/>
      <c r="T1135" s="103"/>
      <c r="U1135" s="16"/>
      <c r="V1135" s="16"/>
      <c r="W1135" s="16"/>
      <c r="X1135" s="103"/>
    </row>
    <row r="1136" spans="2:24" x14ac:dyDescent="0.25">
      <c r="B1136" s="103"/>
      <c r="C1136" s="103"/>
      <c r="D1136" s="103"/>
      <c r="E1136" s="103"/>
      <c r="F1136" s="103"/>
      <c r="H1136" s="103"/>
      <c r="I1136" s="103"/>
      <c r="J1136" s="103"/>
      <c r="K1136" s="103"/>
      <c r="L1136" s="103"/>
      <c r="N1136" s="103"/>
      <c r="O1136" s="103"/>
      <c r="Q1136" s="16"/>
      <c r="R1136" s="16"/>
      <c r="S1136" s="16"/>
      <c r="T1136" s="103"/>
      <c r="U1136" s="16"/>
      <c r="V1136" s="16"/>
      <c r="W1136" s="16"/>
      <c r="X1136" s="103"/>
    </row>
    <row r="1137" spans="2:24" x14ac:dyDescent="0.25">
      <c r="B1137" s="103"/>
      <c r="C1137" s="103"/>
      <c r="D1137" s="103"/>
      <c r="E1137" s="103"/>
      <c r="F1137" s="103"/>
      <c r="H1137" s="103"/>
      <c r="I1137" s="103"/>
      <c r="J1137" s="103"/>
      <c r="K1137" s="103"/>
      <c r="L1137" s="103"/>
      <c r="N1137" s="103"/>
      <c r="O1137" s="103"/>
      <c r="Q1137" s="16"/>
      <c r="R1137" s="16"/>
      <c r="S1137" s="16"/>
      <c r="T1137" s="103"/>
      <c r="U1137" s="16"/>
      <c r="V1137" s="16"/>
      <c r="W1137" s="16"/>
      <c r="X1137" s="103"/>
    </row>
    <row r="1138" spans="2:24" x14ac:dyDescent="0.25">
      <c r="B1138" s="103"/>
      <c r="C1138" s="103"/>
      <c r="D1138" s="103"/>
      <c r="E1138" s="103"/>
      <c r="F1138" s="103"/>
      <c r="H1138" s="103"/>
      <c r="I1138" s="103"/>
      <c r="J1138" s="103"/>
      <c r="K1138" s="103"/>
      <c r="L1138" s="103"/>
      <c r="N1138" s="103"/>
      <c r="O1138" s="103"/>
      <c r="Q1138" s="16"/>
      <c r="R1138" s="16"/>
      <c r="S1138" s="16"/>
      <c r="T1138" s="103"/>
      <c r="U1138" s="16"/>
      <c r="V1138" s="16"/>
      <c r="W1138" s="16"/>
      <c r="X1138" s="103"/>
    </row>
    <row r="1139" spans="2:24" x14ac:dyDescent="0.25">
      <c r="B1139" s="103"/>
      <c r="C1139" s="103"/>
      <c r="D1139" s="103"/>
      <c r="E1139" s="103"/>
      <c r="F1139" s="103"/>
      <c r="H1139" s="103"/>
      <c r="I1139" s="103"/>
      <c r="J1139" s="103"/>
      <c r="K1139" s="103"/>
      <c r="L1139" s="103"/>
      <c r="N1139" s="103"/>
      <c r="O1139" s="103"/>
      <c r="Q1139" s="16"/>
      <c r="R1139" s="16"/>
      <c r="S1139" s="16"/>
      <c r="T1139" s="103"/>
      <c r="U1139" s="16"/>
      <c r="V1139" s="16"/>
      <c r="W1139" s="16"/>
      <c r="X1139" s="103"/>
    </row>
    <row r="1140" spans="2:24" x14ac:dyDescent="0.25">
      <c r="B1140" s="103"/>
      <c r="C1140" s="103"/>
      <c r="D1140" s="103"/>
      <c r="E1140" s="103"/>
      <c r="F1140" s="103"/>
      <c r="H1140" s="103"/>
      <c r="I1140" s="103"/>
      <c r="J1140" s="103"/>
      <c r="K1140" s="103"/>
      <c r="L1140" s="103"/>
      <c r="N1140" s="103"/>
      <c r="O1140" s="103"/>
      <c r="Q1140" s="16"/>
      <c r="R1140" s="16"/>
      <c r="S1140" s="16"/>
      <c r="T1140" s="103"/>
      <c r="U1140" s="16"/>
      <c r="V1140" s="16"/>
      <c r="W1140" s="16"/>
      <c r="X1140" s="103"/>
    </row>
    <row r="1141" spans="2:24" x14ac:dyDescent="0.25">
      <c r="B1141" s="103"/>
      <c r="C1141" s="103"/>
      <c r="D1141" s="103"/>
      <c r="E1141" s="103"/>
      <c r="F1141" s="103"/>
      <c r="H1141" s="103"/>
      <c r="I1141" s="103"/>
      <c r="J1141" s="103"/>
      <c r="K1141" s="103"/>
      <c r="L1141" s="103"/>
      <c r="N1141" s="103"/>
      <c r="O1141" s="103"/>
      <c r="Q1141" s="16"/>
      <c r="R1141" s="16"/>
      <c r="S1141" s="16"/>
      <c r="T1141" s="103"/>
      <c r="U1141" s="16"/>
      <c r="V1141" s="16"/>
      <c r="W1141" s="16"/>
      <c r="X1141" s="103"/>
    </row>
    <row r="1142" spans="2:24" x14ac:dyDescent="0.25">
      <c r="B1142" s="103"/>
      <c r="C1142" s="103"/>
      <c r="D1142" s="103"/>
      <c r="E1142" s="103"/>
      <c r="F1142" s="103"/>
      <c r="H1142" s="103"/>
      <c r="I1142" s="103"/>
      <c r="J1142" s="103"/>
      <c r="K1142" s="103"/>
      <c r="L1142" s="103"/>
      <c r="N1142" s="103"/>
      <c r="O1142" s="103"/>
      <c r="Q1142" s="16"/>
      <c r="R1142" s="16"/>
      <c r="S1142" s="16"/>
      <c r="T1142" s="103"/>
      <c r="U1142" s="16"/>
      <c r="V1142" s="16"/>
      <c r="W1142" s="16"/>
      <c r="X1142" s="103"/>
    </row>
    <row r="1143" spans="2:24" x14ac:dyDescent="0.25">
      <c r="B1143" s="103"/>
      <c r="C1143" s="103"/>
      <c r="D1143" s="103"/>
      <c r="E1143" s="103"/>
      <c r="F1143" s="103"/>
      <c r="H1143" s="103"/>
      <c r="I1143" s="103"/>
      <c r="J1143" s="103"/>
      <c r="K1143" s="103"/>
      <c r="L1143" s="103"/>
      <c r="N1143" s="103"/>
      <c r="O1143" s="103"/>
      <c r="Q1143" s="16"/>
      <c r="R1143" s="16"/>
      <c r="S1143" s="16"/>
      <c r="T1143" s="103"/>
      <c r="U1143" s="16"/>
      <c r="V1143" s="16"/>
      <c r="W1143" s="16"/>
      <c r="X1143" s="103"/>
    </row>
    <row r="1144" spans="2:24" x14ac:dyDescent="0.25">
      <c r="B1144" s="103"/>
      <c r="C1144" s="103"/>
      <c r="D1144" s="103"/>
      <c r="E1144" s="103"/>
      <c r="F1144" s="103"/>
      <c r="H1144" s="103"/>
      <c r="I1144" s="103"/>
      <c r="J1144" s="103"/>
      <c r="K1144" s="103"/>
      <c r="L1144" s="103"/>
      <c r="N1144" s="103"/>
      <c r="O1144" s="103"/>
      <c r="Q1144" s="16"/>
      <c r="R1144" s="16"/>
      <c r="S1144" s="16"/>
      <c r="T1144" s="103"/>
      <c r="U1144" s="16"/>
      <c r="V1144" s="16"/>
      <c r="W1144" s="16"/>
      <c r="X1144" s="103"/>
    </row>
    <row r="1145" spans="2:24" x14ac:dyDescent="0.25">
      <c r="B1145" s="103"/>
      <c r="C1145" s="103"/>
      <c r="D1145" s="103"/>
      <c r="E1145" s="103"/>
      <c r="F1145" s="103"/>
      <c r="H1145" s="103"/>
      <c r="I1145" s="103"/>
      <c r="J1145" s="103"/>
      <c r="K1145" s="103"/>
      <c r="L1145" s="103"/>
      <c r="N1145" s="103"/>
      <c r="O1145" s="103"/>
      <c r="Q1145" s="16"/>
      <c r="R1145" s="16"/>
      <c r="S1145" s="16"/>
      <c r="T1145" s="103"/>
      <c r="U1145" s="16"/>
      <c r="V1145" s="16"/>
      <c r="W1145" s="16"/>
      <c r="X1145" s="103"/>
    </row>
    <row r="1146" spans="2:24" x14ac:dyDescent="0.25">
      <c r="B1146" s="103"/>
      <c r="C1146" s="103"/>
      <c r="D1146" s="103"/>
      <c r="E1146" s="103"/>
      <c r="F1146" s="103"/>
      <c r="H1146" s="103"/>
      <c r="I1146" s="103"/>
      <c r="J1146" s="103"/>
      <c r="K1146" s="103"/>
      <c r="L1146" s="103"/>
      <c r="N1146" s="103"/>
      <c r="O1146" s="103"/>
      <c r="Q1146" s="16"/>
      <c r="R1146" s="16"/>
      <c r="S1146" s="16"/>
      <c r="T1146" s="103"/>
      <c r="U1146" s="16"/>
      <c r="V1146" s="16"/>
      <c r="W1146" s="16"/>
      <c r="X1146" s="103"/>
    </row>
    <row r="1147" spans="2:24" x14ac:dyDescent="0.25">
      <c r="B1147" s="103"/>
      <c r="C1147" s="103"/>
      <c r="D1147" s="103"/>
      <c r="E1147" s="103"/>
      <c r="F1147" s="103"/>
      <c r="H1147" s="103"/>
      <c r="I1147" s="103"/>
      <c r="J1147" s="103"/>
      <c r="K1147" s="103"/>
      <c r="L1147" s="103"/>
      <c r="N1147" s="103"/>
      <c r="O1147" s="103"/>
      <c r="Q1147" s="16"/>
      <c r="R1147" s="16"/>
      <c r="S1147" s="16"/>
      <c r="T1147" s="103"/>
      <c r="U1147" s="16"/>
      <c r="V1147" s="16"/>
      <c r="W1147" s="16"/>
      <c r="X1147" s="103"/>
    </row>
    <row r="1148" spans="2:24" x14ac:dyDescent="0.25">
      <c r="B1148" s="103"/>
      <c r="C1148" s="103"/>
      <c r="D1148" s="103"/>
      <c r="E1148" s="103"/>
      <c r="F1148" s="103"/>
      <c r="H1148" s="103"/>
      <c r="I1148" s="103"/>
      <c r="J1148" s="103"/>
      <c r="K1148" s="103"/>
      <c r="L1148" s="103"/>
      <c r="N1148" s="103"/>
      <c r="O1148" s="103"/>
      <c r="Q1148" s="16"/>
      <c r="R1148" s="16"/>
      <c r="S1148" s="16"/>
      <c r="T1148" s="103"/>
      <c r="U1148" s="16"/>
      <c r="V1148" s="16"/>
      <c r="W1148" s="16"/>
      <c r="X1148" s="103"/>
    </row>
    <row r="1149" spans="2:24" x14ac:dyDescent="0.25">
      <c r="B1149" s="103"/>
      <c r="C1149" s="103"/>
      <c r="D1149" s="103"/>
      <c r="E1149" s="103"/>
      <c r="F1149" s="103"/>
      <c r="H1149" s="103"/>
      <c r="I1149" s="103"/>
      <c r="J1149" s="103"/>
      <c r="K1149" s="103"/>
      <c r="L1149" s="103"/>
      <c r="N1149" s="103"/>
      <c r="O1149" s="103"/>
      <c r="Q1149" s="16"/>
      <c r="R1149" s="16"/>
      <c r="S1149" s="16"/>
      <c r="T1149" s="103"/>
      <c r="U1149" s="16"/>
      <c r="V1149" s="16"/>
      <c r="W1149" s="16"/>
      <c r="X1149" s="103"/>
    </row>
    <row r="1150" spans="2:24" x14ac:dyDescent="0.25">
      <c r="B1150" s="103"/>
      <c r="C1150" s="103"/>
      <c r="D1150" s="103"/>
      <c r="E1150" s="103"/>
      <c r="F1150" s="103"/>
      <c r="H1150" s="103"/>
      <c r="I1150" s="103"/>
      <c r="J1150" s="103"/>
      <c r="K1150" s="103"/>
      <c r="L1150" s="103"/>
      <c r="N1150" s="103"/>
      <c r="O1150" s="103"/>
      <c r="Q1150" s="16"/>
      <c r="R1150" s="16"/>
      <c r="S1150" s="16"/>
      <c r="T1150" s="103"/>
      <c r="U1150" s="16"/>
      <c r="V1150" s="16"/>
      <c r="W1150" s="16"/>
      <c r="X1150" s="103"/>
    </row>
    <row r="1151" spans="2:24" x14ac:dyDescent="0.25">
      <c r="B1151" s="103"/>
      <c r="C1151" s="103"/>
      <c r="D1151" s="103"/>
      <c r="E1151" s="103"/>
      <c r="F1151" s="103"/>
      <c r="H1151" s="103"/>
      <c r="I1151" s="103"/>
      <c r="J1151" s="103"/>
      <c r="K1151" s="103"/>
      <c r="L1151" s="103"/>
      <c r="N1151" s="103"/>
      <c r="O1151" s="103"/>
      <c r="Q1151" s="16"/>
      <c r="R1151" s="16"/>
      <c r="S1151" s="16"/>
      <c r="T1151" s="103"/>
      <c r="U1151" s="16"/>
      <c r="V1151" s="16"/>
      <c r="W1151" s="16"/>
      <c r="X1151" s="103"/>
    </row>
    <row r="1152" spans="2:24" x14ac:dyDescent="0.25">
      <c r="B1152" s="103"/>
      <c r="C1152" s="103"/>
      <c r="D1152" s="103"/>
      <c r="E1152" s="103"/>
      <c r="F1152" s="103"/>
      <c r="H1152" s="103"/>
      <c r="I1152" s="103"/>
      <c r="J1152" s="103"/>
      <c r="K1152" s="103"/>
      <c r="L1152" s="103"/>
      <c r="N1152" s="103"/>
      <c r="O1152" s="103"/>
      <c r="Q1152" s="16"/>
      <c r="R1152" s="16"/>
      <c r="S1152" s="16"/>
      <c r="T1152" s="103"/>
      <c r="U1152" s="16"/>
      <c r="V1152" s="16"/>
      <c r="W1152" s="16"/>
      <c r="X1152" s="103"/>
    </row>
    <row r="1153" spans="2:24" x14ac:dyDescent="0.25">
      <c r="B1153" s="103"/>
      <c r="C1153" s="103"/>
      <c r="D1153" s="103"/>
      <c r="E1153" s="103"/>
      <c r="F1153" s="103"/>
      <c r="H1153" s="103"/>
      <c r="I1153" s="103"/>
      <c r="J1153" s="103"/>
      <c r="K1153" s="103"/>
      <c r="L1153" s="103"/>
      <c r="N1153" s="103"/>
      <c r="O1153" s="103"/>
      <c r="Q1153" s="16"/>
      <c r="R1153" s="16"/>
      <c r="S1153" s="16"/>
      <c r="T1153" s="103"/>
      <c r="U1153" s="16"/>
      <c r="V1153" s="16"/>
      <c r="W1153" s="16"/>
      <c r="X1153" s="103"/>
    </row>
    <row r="1154" spans="2:24" x14ac:dyDescent="0.25">
      <c r="B1154" s="103"/>
      <c r="C1154" s="103"/>
      <c r="D1154" s="103"/>
      <c r="E1154" s="103"/>
      <c r="F1154" s="103"/>
      <c r="H1154" s="103"/>
      <c r="I1154" s="103"/>
      <c r="J1154" s="103"/>
      <c r="K1154" s="103"/>
      <c r="L1154" s="103"/>
      <c r="N1154" s="103"/>
      <c r="O1154" s="103"/>
      <c r="Q1154" s="16"/>
      <c r="R1154" s="16"/>
      <c r="S1154" s="16"/>
      <c r="T1154" s="103"/>
      <c r="U1154" s="16"/>
      <c r="V1154" s="16"/>
      <c r="W1154" s="16"/>
      <c r="X1154" s="103"/>
    </row>
    <row r="1155" spans="2:24" x14ac:dyDescent="0.25">
      <c r="B1155" s="103"/>
      <c r="C1155" s="103"/>
      <c r="D1155" s="103"/>
      <c r="E1155" s="103"/>
      <c r="F1155" s="103"/>
      <c r="H1155" s="103"/>
      <c r="I1155" s="103"/>
      <c r="J1155" s="103"/>
      <c r="K1155" s="103"/>
      <c r="L1155" s="103"/>
      <c r="N1155" s="103"/>
      <c r="O1155" s="103"/>
      <c r="Q1155" s="16"/>
      <c r="R1155" s="16"/>
      <c r="S1155" s="16"/>
      <c r="T1155" s="103"/>
      <c r="U1155" s="16"/>
      <c r="V1155" s="16"/>
      <c r="W1155" s="16"/>
      <c r="X1155" s="103"/>
    </row>
    <row r="1156" spans="2:24" x14ac:dyDescent="0.25">
      <c r="B1156" s="103"/>
      <c r="C1156" s="103"/>
      <c r="D1156" s="103"/>
      <c r="E1156" s="103"/>
      <c r="F1156" s="103"/>
      <c r="H1156" s="103"/>
      <c r="I1156" s="103"/>
      <c r="J1156" s="103"/>
      <c r="K1156" s="103"/>
      <c r="L1156" s="103"/>
      <c r="N1156" s="103"/>
      <c r="O1156" s="103"/>
      <c r="Q1156" s="16"/>
      <c r="R1156" s="16"/>
      <c r="S1156" s="16"/>
      <c r="T1156" s="103"/>
      <c r="U1156" s="16"/>
      <c r="V1156" s="16"/>
      <c r="W1156" s="16"/>
      <c r="X1156" s="103"/>
    </row>
    <row r="1157" spans="2:24" x14ac:dyDescent="0.25">
      <c r="B1157" s="103"/>
      <c r="C1157" s="103"/>
      <c r="D1157" s="103"/>
      <c r="E1157" s="103"/>
      <c r="F1157" s="103"/>
      <c r="H1157" s="103"/>
      <c r="I1157" s="103"/>
      <c r="J1157" s="103"/>
      <c r="K1157" s="103"/>
      <c r="L1157" s="103"/>
      <c r="N1157" s="103"/>
      <c r="O1157" s="103"/>
      <c r="Q1157" s="16"/>
      <c r="R1157" s="16"/>
      <c r="S1157" s="16"/>
      <c r="T1157" s="103"/>
      <c r="U1157" s="16"/>
      <c r="V1157" s="16"/>
      <c r="W1157" s="16"/>
      <c r="X1157" s="103"/>
    </row>
    <row r="1158" spans="2:24" x14ac:dyDescent="0.25">
      <c r="B1158" s="103"/>
      <c r="C1158" s="103"/>
      <c r="D1158" s="103"/>
      <c r="E1158" s="103"/>
      <c r="F1158" s="103"/>
      <c r="H1158" s="103"/>
      <c r="I1158" s="103"/>
      <c r="J1158" s="103"/>
      <c r="K1158" s="103"/>
      <c r="L1158" s="103"/>
      <c r="N1158" s="103"/>
      <c r="O1158" s="103"/>
      <c r="Q1158" s="16"/>
      <c r="R1158" s="16"/>
      <c r="S1158" s="16"/>
      <c r="T1158" s="103"/>
      <c r="U1158" s="16"/>
      <c r="V1158" s="16"/>
      <c r="W1158" s="16"/>
      <c r="X1158" s="103"/>
    </row>
    <row r="1159" spans="2:24" x14ac:dyDescent="0.25">
      <c r="B1159" s="103"/>
      <c r="C1159" s="103"/>
      <c r="D1159" s="103"/>
      <c r="E1159" s="103"/>
      <c r="F1159" s="103"/>
      <c r="H1159" s="103"/>
      <c r="I1159" s="103"/>
      <c r="J1159" s="103"/>
      <c r="K1159" s="103"/>
      <c r="L1159" s="103"/>
      <c r="N1159" s="103"/>
      <c r="O1159" s="103"/>
      <c r="Q1159" s="16"/>
      <c r="R1159" s="16"/>
      <c r="S1159" s="16"/>
      <c r="T1159" s="103"/>
      <c r="U1159" s="16"/>
      <c r="V1159" s="16"/>
      <c r="W1159" s="16"/>
      <c r="X1159" s="103"/>
    </row>
    <row r="1160" spans="2:24" x14ac:dyDescent="0.25">
      <c r="B1160" s="103"/>
      <c r="C1160" s="103"/>
      <c r="D1160" s="103"/>
      <c r="E1160" s="103"/>
      <c r="F1160" s="103"/>
      <c r="H1160" s="103"/>
      <c r="I1160" s="103"/>
      <c r="J1160" s="103"/>
      <c r="K1160" s="103"/>
      <c r="L1160" s="103"/>
      <c r="N1160" s="103"/>
      <c r="O1160" s="103"/>
      <c r="Q1160" s="16"/>
      <c r="R1160" s="16"/>
      <c r="S1160" s="16"/>
      <c r="T1160" s="103"/>
      <c r="U1160" s="16"/>
      <c r="V1160" s="16"/>
      <c r="W1160" s="16"/>
      <c r="X1160" s="103"/>
    </row>
    <row r="1161" spans="2:24" x14ac:dyDescent="0.25">
      <c r="B1161" s="103"/>
      <c r="C1161" s="103"/>
      <c r="D1161" s="103"/>
      <c r="E1161" s="103"/>
      <c r="F1161" s="103"/>
      <c r="H1161" s="103"/>
      <c r="I1161" s="103"/>
      <c r="J1161" s="103"/>
      <c r="K1161" s="103"/>
      <c r="L1161" s="103"/>
      <c r="N1161" s="103"/>
      <c r="O1161" s="103"/>
      <c r="Q1161" s="16"/>
      <c r="R1161" s="16"/>
      <c r="S1161" s="16"/>
      <c r="T1161" s="103"/>
      <c r="U1161" s="16"/>
      <c r="V1161" s="16"/>
      <c r="W1161" s="16"/>
      <c r="X1161" s="103"/>
    </row>
    <row r="1162" spans="2:24" x14ac:dyDescent="0.25">
      <c r="B1162" s="103"/>
      <c r="C1162" s="103"/>
      <c r="D1162" s="103"/>
      <c r="E1162" s="103"/>
      <c r="F1162" s="103"/>
      <c r="H1162" s="103"/>
      <c r="I1162" s="103"/>
      <c r="J1162" s="103"/>
      <c r="K1162" s="103"/>
      <c r="L1162" s="103"/>
      <c r="N1162" s="103"/>
      <c r="O1162" s="103"/>
      <c r="Q1162" s="16"/>
      <c r="R1162" s="16"/>
      <c r="S1162" s="16"/>
      <c r="T1162" s="103"/>
      <c r="U1162" s="16"/>
      <c r="V1162" s="16"/>
      <c r="W1162" s="16"/>
      <c r="X1162" s="103"/>
    </row>
    <row r="1163" spans="2:24" x14ac:dyDescent="0.25">
      <c r="B1163" s="103"/>
      <c r="C1163" s="103"/>
      <c r="D1163" s="103"/>
      <c r="E1163" s="103"/>
      <c r="F1163" s="103"/>
      <c r="H1163" s="103"/>
      <c r="I1163" s="103"/>
      <c r="J1163" s="103"/>
      <c r="K1163" s="103"/>
      <c r="L1163" s="103"/>
      <c r="N1163" s="103"/>
      <c r="O1163" s="103"/>
      <c r="Q1163" s="16"/>
      <c r="R1163" s="16"/>
      <c r="S1163" s="16"/>
      <c r="T1163" s="103"/>
      <c r="U1163" s="16"/>
      <c r="V1163" s="16"/>
      <c r="W1163" s="16"/>
      <c r="X1163" s="103"/>
    </row>
    <row r="1164" spans="2:24" x14ac:dyDescent="0.25">
      <c r="B1164" s="103"/>
      <c r="C1164" s="103"/>
      <c r="D1164" s="103"/>
      <c r="E1164" s="103"/>
      <c r="F1164" s="103"/>
      <c r="H1164" s="103"/>
      <c r="I1164" s="103"/>
      <c r="J1164" s="103"/>
      <c r="K1164" s="103"/>
      <c r="L1164" s="103"/>
      <c r="N1164" s="103"/>
      <c r="O1164" s="103"/>
      <c r="Q1164" s="16"/>
      <c r="R1164" s="16"/>
      <c r="S1164" s="16"/>
      <c r="T1164" s="103"/>
      <c r="U1164" s="16"/>
      <c r="V1164" s="16"/>
      <c r="W1164" s="16"/>
      <c r="X1164" s="103"/>
    </row>
    <row r="1165" spans="2:24" x14ac:dyDescent="0.25">
      <c r="B1165" s="103"/>
      <c r="C1165" s="103"/>
      <c r="D1165" s="103"/>
      <c r="E1165" s="103"/>
      <c r="F1165" s="103"/>
      <c r="H1165" s="103"/>
      <c r="I1165" s="103"/>
      <c r="J1165" s="103"/>
      <c r="K1165" s="103"/>
      <c r="L1165" s="103"/>
      <c r="N1165" s="103"/>
      <c r="O1165" s="103"/>
      <c r="Q1165" s="16"/>
      <c r="R1165" s="16"/>
      <c r="S1165" s="16"/>
      <c r="T1165" s="103"/>
      <c r="U1165" s="16"/>
      <c r="V1165" s="16"/>
      <c r="W1165" s="16"/>
      <c r="X1165" s="103"/>
    </row>
    <row r="1166" spans="2:24" x14ac:dyDescent="0.25">
      <c r="B1166" s="103"/>
      <c r="C1166" s="103"/>
      <c r="D1166" s="103"/>
      <c r="E1166" s="103"/>
      <c r="F1166" s="103"/>
      <c r="H1166" s="103"/>
      <c r="I1166" s="103"/>
      <c r="J1166" s="103"/>
      <c r="K1166" s="103"/>
      <c r="L1166" s="103"/>
      <c r="N1166" s="103"/>
      <c r="O1166" s="103"/>
      <c r="Q1166" s="16"/>
      <c r="R1166" s="16"/>
      <c r="S1166" s="16"/>
      <c r="T1166" s="103"/>
      <c r="U1166" s="16"/>
      <c r="V1166" s="16"/>
      <c r="W1166" s="16"/>
      <c r="X1166" s="103"/>
    </row>
    <row r="1167" spans="2:24" x14ac:dyDescent="0.25">
      <c r="B1167" s="103"/>
      <c r="C1167" s="103"/>
      <c r="D1167" s="103"/>
      <c r="E1167" s="103"/>
      <c r="F1167" s="103"/>
      <c r="H1167" s="103"/>
      <c r="I1167" s="103"/>
      <c r="J1167" s="103"/>
      <c r="K1167" s="103"/>
      <c r="L1167" s="103"/>
      <c r="N1167" s="103"/>
      <c r="O1167" s="103"/>
      <c r="Q1167" s="16"/>
      <c r="R1167" s="16"/>
      <c r="S1167" s="16"/>
      <c r="T1167" s="103"/>
      <c r="U1167" s="16"/>
      <c r="V1167" s="16"/>
      <c r="W1167" s="16"/>
      <c r="X1167" s="103"/>
    </row>
    <row r="1168" spans="2:24" x14ac:dyDescent="0.25">
      <c r="B1168" s="103"/>
      <c r="C1168" s="103"/>
      <c r="D1168" s="103"/>
      <c r="E1168" s="103"/>
      <c r="F1168" s="103"/>
      <c r="H1168" s="103"/>
      <c r="I1168" s="103"/>
      <c r="J1168" s="103"/>
      <c r="K1168" s="103"/>
      <c r="L1168" s="103"/>
      <c r="N1168" s="103"/>
      <c r="O1168" s="103"/>
      <c r="Q1168" s="16"/>
      <c r="R1168" s="16"/>
      <c r="S1168" s="16"/>
      <c r="T1168" s="103"/>
      <c r="U1168" s="16"/>
      <c r="V1168" s="16"/>
      <c r="W1168" s="16"/>
      <c r="X1168" s="103"/>
    </row>
    <row r="1169" spans="2:24" x14ac:dyDescent="0.25">
      <c r="B1169" s="103"/>
      <c r="C1169" s="103"/>
      <c r="D1169" s="103"/>
      <c r="E1169" s="103"/>
      <c r="F1169" s="103"/>
      <c r="H1169" s="103"/>
      <c r="I1169" s="103"/>
      <c r="J1169" s="103"/>
      <c r="K1169" s="103"/>
      <c r="L1169" s="103"/>
      <c r="N1169" s="103"/>
      <c r="O1169" s="103"/>
      <c r="Q1169" s="16"/>
      <c r="R1169" s="16"/>
      <c r="S1169" s="16"/>
      <c r="T1169" s="103"/>
      <c r="U1169" s="16"/>
      <c r="V1169" s="16"/>
      <c r="W1169" s="16"/>
      <c r="X1169" s="103"/>
    </row>
    <row r="1170" spans="2:24" x14ac:dyDescent="0.25">
      <c r="B1170" s="103"/>
      <c r="C1170" s="103"/>
      <c r="D1170" s="103"/>
      <c r="E1170" s="103"/>
      <c r="F1170" s="103"/>
      <c r="H1170" s="103"/>
      <c r="I1170" s="103"/>
      <c r="J1170" s="103"/>
      <c r="K1170" s="103"/>
      <c r="L1170" s="103"/>
      <c r="N1170" s="103"/>
      <c r="O1170" s="103"/>
      <c r="Q1170" s="16"/>
      <c r="R1170" s="16"/>
      <c r="S1170" s="16"/>
      <c r="T1170" s="103"/>
      <c r="U1170" s="16"/>
      <c r="V1170" s="16"/>
      <c r="W1170" s="16"/>
      <c r="X1170" s="103"/>
    </row>
    <row r="1171" spans="2:24" x14ac:dyDescent="0.25">
      <c r="B1171" s="103"/>
      <c r="C1171" s="103"/>
      <c r="D1171" s="103"/>
      <c r="E1171" s="103"/>
      <c r="F1171" s="103"/>
      <c r="H1171" s="103"/>
      <c r="I1171" s="103"/>
      <c r="J1171" s="103"/>
      <c r="K1171" s="103"/>
      <c r="L1171" s="103"/>
      <c r="N1171" s="103"/>
      <c r="O1171" s="103"/>
      <c r="Q1171" s="16"/>
      <c r="R1171" s="16"/>
      <c r="S1171" s="16"/>
      <c r="T1171" s="103"/>
      <c r="U1171" s="16"/>
      <c r="V1171" s="16"/>
      <c r="W1171" s="16"/>
      <c r="X1171" s="103"/>
    </row>
    <row r="1172" spans="2:24" x14ac:dyDescent="0.25">
      <c r="B1172" s="103"/>
      <c r="C1172" s="103"/>
      <c r="D1172" s="103"/>
      <c r="E1172" s="103"/>
      <c r="F1172" s="103"/>
      <c r="H1172" s="103"/>
      <c r="I1172" s="103"/>
      <c r="J1172" s="103"/>
      <c r="K1172" s="103"/>
      <c r="L1172" s="103"/>
      <c r="N1172" s="103"/>
      <c r="O1172" s="103"/>
      <c r="Q1172" s="16"/>
      <c r="R1172" s="16"/>
      <c r="S1172" s="16"/>
      <c r="T1172" s="103"/>
      <c r="U1172" s="16"/>
      <c r="V1172" s="16"/>
      <c r="W1172" s="16"/>
      <c r="X1172" s="103"/>
    </row>
    <row r="1173" spans="2:24" x14ac:dyDescent="0.25">
      <c r="B1173" s="103"/>
      <c r="C1173" s="103"/>
      <c r="D1173" s="103"/>
      <c r="E1173" s="103"/>
      <c r="F1173" s="103"/>
      <c r="H1173" s="103"/>
      <c r="I1173" s="103"/>
      <c r="J1173" s="103"/>
      <c r="K1173" s="103"/>
      <c r="L1173" s="103"/>
      <c r="N1173" s="103"/>
      <c r="O1173" s="103"/>
      <c r="Q1173" s="16"/>
      <c r="R1173" s="16"/>
      <c r="S1173" s="16"/>
      <c r="T1173" s="103"/>
      <c r="U1173" s="16"/>
      <c r="V1173" s="16"/>
      <c r="W1173" s="16"/>
      <c r="X1173" s="103"/>
    </row>
    <row r="1174" spans="2:24" x14ac:dyDescent="0.25">
      <c r="B1174" s="103"/>
      <c r="C1174" s="103"/>
      <c r="D1174" s="103"/>
      <c r="E1174" s="103"/>
      <c r="F1174" s="103"/>
      <c r="H1174" s="103"/>
      <c r="I1174" s="103"/>
      <c r="J1174" s="103"/>
      <c r="K1174" s="103"/>
      <c r="L1174" s="103"/>
      <c r="N1174" s="103"/>
      <c r="O1174" s="103"/>
      <c r="Q1174" s="16"/>
      <c r="R1174" s="16"/>
      <c r="S1174" s="16"/>
      <c r="T1174" s="103"/>
      <c r="U1174" s="16"/>
      <c r="V1174" s="16"/>
      <c r="W1174" s="16"/>
      <c r="X1174" s="103"/>
    </row>
    <row r="1175" spans="2:24" x14ac:dyDescent="0.25">
      <c r="B1175" s="103"/>
      <c r="C1175" s="103"/>
      <c r="D1175" s="103"/>
      <c r="E1175" s="103"/>
      <c r="F1175" s="103"/>
      <c r="H1175" s="103"/>
      <c r="I1175" s="103"/>
      <c r="J1175" s="103"/>
      <c r="K1175" s="103"/>
      <c r="L1175" s="103"/>
      <c r="N1175" s="103"/>
      <c r="O1175" s="103"/>
      <c r="Q1175" s="16"/>
      <c r="R1175" s="16"/>
      <c r="S1175" s="16"/>
      <c r="T1175" s="103"/>
      <c r="U1175" s="16"/>
      <c r="V1175" s="16"/>
      <c r="W1175" s="16"/>
      <c r="X1175" s="103"/>
    </row>
    <row r="1176" spans="2:24" x14ac:dyDescent="0.25">
      <c r="B1176" s="103"/>
      <c r="C1176" s="103"/>
      <c r="D1176" s="103"/>
      <c r="E1176" s="103"/>
      <c r="F1176" s="103"/>
      <c r="H1176" s="103"/>
      <c r="I1176" s="103"/>
      <c r="J1176" s="103"/>
      <c r="K1176" s="103"/>
      <c r="L1176" s="103"/>
      <c r="N1176" s="103"/>
      <c r="O1176" s="103"/>
      <c r="Q1176" s="16"/>
      <c r="R1176" s="16"/>
      <c r="S1176" s="16"/>
      <c r="T1176" s="103"/>
      <c r="U1176" s="16"/>
      <c r="V1176" s="16"/>
      <c r="W1176" s="16"/>
      <c r="X1176" s="103"/>
    </row>
    <row r="1177" spans="2:24" x14ac:dyDescent="0.25">
      <c r="B1177" s="103"/>
      <c r="C1177" s="103"/>
      <c r="D1177" s="103"/>
      <c r="E1177" s="103"/>
      <c r="F1177" s="103"/>
      <c r="H1177" s="103"/>
      <c r="I1177" s="103"/>
      <c r="J1177" s="103"/>
      <c r="K1177" s="103"/>
      <c r="L1177" s="103"/>
      <c r="N1177" s="103"/>
      <c r="O1177" s="103"/>
      <c r="Q1177" s="16"/>
      <c r="R1177" s="16"/>
      <c r="S1177" s="16"/>
      <c r="T1177" s="103"/>
      <c r="U1177" s="16"/>
      <c r="V1177" s="16"/>
      <c r="W1177" s="16"/>
      <c r="X1177" s="103"/>
    </row>
    <row r="1178" spans="2:24" x14ac:dyDescent="0.25">
      <c r="B1178" s="103"/>
      <c r="C1178" s="103"/>
      <c r="D1178" s="103"/>
      <c r="E1178" s="103"/>
      <c r="F1178" s="103"/>
      <c r="H1178" s="103"/>
      <c r="I1178" s="103"/>
      <c r="J1178" s="103"/>
      <c r="K1178" s="103"/>
      <c r="L1178" s="103"/>
      <c r="N1178" s="103"/>
      <c r="O1178" s="103"/>
      <c r="Q1178" s="16"/>
      <c r="R1178" s="16"/>
      <c r="S1178" s="16"/>
      <c r="T1178" s="103"/>
      <c r="U1178" s="16"/>
      <c r="V1178" s="16"/>
      <c r="W1178" s="16"/>
      <c r="X1178" s="103"/>
    </row>
    <row r="1179" spans="2:24" x14ac:dyDescent="0.25">
      <c r="B1179" s="103"/>
      <c r="C1179" s="103"/>
      <c r="D1179" s="103"/>
      <c r="E1179" s="103"/>
      <c r="F1179" s="103"/>
      <c r="H1179" s="103"/>
      <c r="I1179" s="103"/>
      <c r="J1179" s="103"/>
      <c r="K1179" s="103"/>
      <c r="L1179" s="103"/>
      <c r="N1179" s="103"/>
      <c r="O1179" s="103"/>
      <c r="Q1179" s="16"/>
      <c r="R1179" s="16"/>
      <c r="S1179" s="16"/>
      <c r="T1179" s="103"/>
      <c r="U1179" s="16"/>
      <c r="V1179" s="16"/>
      <c r="W1179" s="16"/>
      <c r="X1179" s="103"/>
    </row>
    <row r="1180" spans="2:24" x14ac:dyDescent="0.25">
      <c r="B1180" s="103"/>
      <c r="C1180" s="103"/>
      <c r="D1180" s="103"/>
      <c r="E1180" s="103"/>
      <c r="F1180" s="103"/>
      <c r="H1180" s="103"/>
      <c r="I1180" s="103"/>
      <c r="J1180" s="103"/>
      <c r="K1180" s="103"/>
      <c r="L1180" s="103"/>
      <c r="N1180" s="103"/>
      <c r="O1180" s="103"/>
      <c r="Q1180" s="16"/>
      <c r="R1180" s="16"/>
      <c r="S1180" s="16"/>
      <c r="T1180" s="103"/>
      <c r="U1180" s="16"/>
      <c r="V1180" s="16"/>
      <c r="W1180" s="16"/>
      <c r="X1180" s="103"/>
    </row>
    <row r="1181" spans="2:24" x14ac:dyDescent="0.25">
      <c r="B1181" s="103"/>
      <c r="C1181" s="103"/>
      <c r="D1181" s="103"/>
      <c r="E1181" s="103"/>
      <c r="F1181" s="103"/>
      <c r="H1181" s="103"/>
      <c r="I1181" s="103"/>
      <c r="J1181" s="103"/>
      <c r="K1181" s="103"/>
      <c r="L1181" s="103"/>
      <c r="N1181" s="103"/>
      <c r="O1181" s="103"/>
      <c r="Q1181" s="16"/>
      <c r="R1181" s="16"/>
      <c r="S1181" s="16"/>
      <c r="T1181" s="103"/>
      <c r="U1181" s="16"/>
      <c r="V1181" s="16"/>
      <c r="W1181" s="16"/>
      <c r="X1181" s="103"/>
    </row>
    <row r="1182" spans="2:24" x14ac:dyDescent="0.25">
      <c r="B1182" s="103"/>
      <c r="C1182" s="103"/>
      <c r="D1182" s="103"/>
      <c r="E1182" s="103"/>
      <c r="F1182" s="103"/>
      <c r="H1182" s="103"/>
      <c r="I1182" s="103"/>
      <c r="J1182" s="103"/>
      <c r="K1182" s="103"/>
      <c r="L1182" s="103"/>
      <c r="N1182" s="103"/>
      <c r="O1182" s="103"/>
      <c r="Q1182" s="16"/>
      <c r="R1182" s="16"/>
      <c r="S1182" s="16"/>
      <c r="T1182" s="103"/>
      <c r="U1182" s="16"/>
      <c r="V1182" s="16"/>
      <c r="W1182" s="16"/>
      <c r="X1182" s="103"/>
    </row>
    <row r="1183" spans="2:24" x14ac:dyDescent="0.25">
      <c r="B1183" s="103"/>
      <c r="C1183" s="103"/>
      <c r="D1183" s="103"/>
      <c r="E1183" s="103"/>
      <c r="F1183" s="103"/>
      <c r="H1183" s="103"/>
      <c r="I1183" s="103"/>
      <c r="J1183" s="103"/>
      <c r="K1183" s="103"/>
      <c r="L1183" s="103"/>
      <c r="N1183" s="103"/>
      <c r="O1183" s="103"/>
      <c r="Q1183" s="16"/>
      <c r="R1183" s="16"/>
      <c r="S1183" s="16"/>
      <c r="T1183" s="103"/>
      <c r="U1183" s="16"/>
      <c r="V1183" s="16"/>
      <c r="W1183" s="16"/>
      <c r="X1183" s="103"/>
    </row>
    <row r="1184" spans="2:24" x14ac:dyDescent="0.25">
      <c r="B1184" s="103"/>
      <c r="C1184" s="103"/>
      <c r="D1184" s="103"/>
      <c r="E1184" s="103"/>
      <c r="F1184" s="103"/>
      <c r="H1184" s="103"/>
      <c r="I1184" s="103"/>
      <c r="J1184" s="103"/>
      <c r="K1184" s="103"/>
      <c r="L1184" s="103"/>
      <c r="N1184" s="103"/>
      <c r="O1184" s="103"/>
      <c r="Q1184" s="16"/>
      <c r="R1184" s="16"/>
      <c r="S1184" s="16"/>
      <c r="T1184" s="103"/>
      <c r="U1184" s="16"/>
      <c r="V1184" s="16"/>
      <c r="W1184" s="16"/>
      <c r="X1184" s="103"/>
    </row>
    <row r="1185" spans="2:24" x14ac:dyDescent="0.25">
      <c r="B1185" s="103"/>
      <c r="C1185" s="103"/>
      <c r="D1185" s="103"/>
      <c r="E1185" s="103"/>
      <c r="F1185" s="103"/>
      <c r="H1185" s="103"/>
      <c r="I1185" s="103"/>
      <c r="J1185" s="103"/>
      <c r="K1185" s="103"/>
      <c r="L1185" s="103"/>
      <c r="N1185" s="103"/>
      <c r="O1185" s="103"/>
      <c r="Q1185" s="16"/>
      <c r="R1185" s="16"/>
      <c r="S1185" s="16"/>
      <c r="T1185" s="103"/>
      <c r="U1185" s="16"/>
      <c r="V1185" s="16"/>
      <c r="W1185" s="16"/>
      <c r="X1185" s="103"/>
    </row>
    <row r="1186" spans="2:24" x14ac:dyDescent="0.25">
      <c r="B1186" s="103"/>
      <c r="C1186" s="103"/>
      <c r="D1186" s="103"/>
      <c r="E1186" s="103"/>
      <c r="F1186" s="103"/>
      <c r="H1186" s="103"/>
      <c r="I1186" s="103"/>
      <c r="J1186" s="103"/>
      <c r="K1186" s="103"/>
      <c r="L1186" s="103"/>
      <c r="N1186" s="103"/>
      <c r="O1186" s="103"/>
      <c r="Q1186" s="16"/>
      <c r="R1186" s="16"/>
      <c r="S1186" s="16"/>
      <c r="T1186" s="103"/>
      <c r="U1186" s="16"/>
      <c r="V1186" s="16"/>
      <c r="W1186" s="16"/>
      <c r="X1186" s="103"/>
    </row>
    <row r="1187" spans="2:24" x14ac:dyDescent="0.25">
      <c r="B1187" s="103"/>
      <c r="C1187" s="103"/>
      <c r="D1187" s="103"/>
      <c r="E1187" s="103"/>
      <c r="F1187" s="103"/>
      <c r="H1187" s="103"/>
      <c r="I1187" s="103"/>
      <c r="J1187" s="103"/>
      <c r="K1187" s="103"/>
      <c r="L1187" s="103"/>
      <c r="N1187" s="103"/>
      <c r="O1187" s="103"/>
      <c r="Q1187" s="16"/>
      <c r="R1187" s="16"/>
      <c r="S1187" s="16"/>
      <c r="T1187" s="103"/>
      <c r="U1187" s="16"/>
      <c r="V1187" s="16"/>
      <c r="W1187" s="16"/>
      <c r="X1187" s="103"/>
    </row>
    <row r="1188" spans="2:24" x14ac:dyDescent="0.25">
      <c r="B1188" s="103"/>
      <c r="C1188" s="103"/>
      <c r="D1188" s="103"/>
      <c r="E1188" s="103"/>
      <c r="F1188" s="103"/>
      <c r="H1188" s="103"/>
      <c r="I1188" s="103"/>
      <c r="J1188" s="103"/>
      <c r="K1188" s="103"/>
      <c r="L1188" s="103"/>
      <c r="N1188" s="103"/>
      <c r="O1188" s="103"/>
      <c r="Q1188" s="16"/>
      <c r="R1188" s="16"/>
      <c r="S1188" s="16"/>
      <c r="T1188" s="103"/>
      <c r="U1188" s="16"/>
      <c r="V1188" s="16"/>
      <c r="W1188" s="16"/>
      <c r="X1188" s="103"/>
    </row>
    <row r="1189" spans="2:24" x14ac:dyDescent="0.25">
      <c r="B1189" s="103"/>
      <c r="C1189" s="103"/>
      <c r="D1189" s="103"/>
      <c r="E1189" s="103"/>
      <c r="F1189" s="103"/>
      <c r="H1189" s="103"/>
      <c r="I1189" s="103"/>
      <c r="J1189" s="103"/>
      <c r="K1189" s="103"/>
      <c r="L1189" s="103"/>
      <c r="N1189" s="103"/>
      <c r="O1189" s="103"/>
      <c r="Q1189" s="16"/>
      <c r="R1189" s="16"/>
      <c r="S1189" s="16"/>
      <c r="T1189" s="103"/>
      <c r="U1189" s="16"/>
      <c r="V1189" s="16"/>
      <c r="W1189" s="16"/>
      <c r="X1189" s="103"/>
    </row>
    <row r="1190" spans="2:24" x14ac:dyDescent="0.25">
      <c r="B1190" s="103"/>
      <c r="C1190" s="103"/>
      <c r="D1190" s="103"/>
      <c r="E1190" s="103"/>
      <c r="F1190" s="103"/>
      <c r="H1190" s="103"/>
      <c r="I1190" s="103"/>
      <c r="J1190" s="103"/>
      <c r="K1190" s="103"/>
      <c r="L1190" s="103"/>
      <c r="N1190" s="103"/>
      <c r="O1190" s="103"/>
      <c r="Q1190" s="16"/>
      <c r="R1190" s="16"/>
      <c r="S1190" s="16"/>
      <c r="T1190" s="103"/>
      <c r="U1190" s="16"/>
      <c r="V1190" s="16"/>
      <c r="W1190" s="16"/>
      <c r="X1190" s="103"/>
    </row>
    <row r="1191" spans="2:24" x14ac:dyDescent="0.25">
      <c r="B1191" s="103"/>
      <c r="C1191" s="103"/>
      <c r="D1191" s="103"/>
      <c r="E1191" s="103"/>
      <c r="F1191" s="103"/>
      <c r="H1191" s="103"/>
      <c r="I1191" s="103"/>
      <c r="J1191" s="103"/>
      <c r="K1191" s="103"/>
      <c r="L1191" s="103"/>
      <c r="N1191" s="103"/>
      <c r="O1191" s="103"/>
      <c r="Q1191" s="16"/>
      <c r="R1191" s="16"/>
      <c r="S1191" s="16"/>
      <c r="T1191" s="103"/>
      <c r="U1191" s="16"/>
      <c r="V1191" s="16"/>
      <c r="W1191" s="16"/>
      <c r="X1191" s="103"/>
    </row>
    <row r="1192" spans="2:24" x14ac:dyDescent="0.25">
      <c r="B1192" s="103"/>
      <c r="C1192" s="103"/>
      <c r="D1192" s="103"/>
      <c r="E1192" s="103"/>
      <c r="F1192" s="103"/>
      <c r="H1192" s="103"/>
      <c r="I1192" s="103"/>
      <c r="J1192" s="103"/>
      <c r="K1192" s="103"/>
      <c r="L1192" s="103"/>
      <c r="N1192" s="103"/>
      <c r="O1192" s="103"/>
      <c r="Q1192" s="16"/>
      <c r="R1192" s="16"/>
      <c r="S1192" s="16"/>
      <c r="T1192" s="103"/>
      <c r="U1192" s="16"/>
      <c r="V1192" s="16"/>
      <c r="W1192" s="16"/>
      <c r="X1192" s="103"/>
    </row>
    <row r="1193" spans="2:24" x14ac:dyDescent="0.25">
      <c r="B1193" s="103"/>
      <c r="C1193" s="103"/>
      <c r="D1193" s="103"/>
      <c r="E1193" s="103"/>
      <c r="F1193" s="103"/>
      <c r="H1193" s="103"/>
      <c r="I1193" s="103"/>
      <c r="J1193" s="103"/>
      <c r="K1193" s="103"/>
      <c r="L1193" s="103"/>
      <c r="N1193" s="103"/>
      <c r="O1193" s="103"/>
      <c r="Q1193" s="16"/>
      <c r="R1193" s="16"/>
      <c r="S1193" s="16"/>
      <c r="T1193" s="103"/>
      <c r="U1193" s="16"/>
      <c r="V1193" s="16"/>
      <c r="W1193" s="16"/>
      <c r="X1193" s="103"/>
    </row>
    <row r="1194" spans="2:24" x14ac:dyDescent="0.25">
      <c r="B1194" s="103"/>
      <c r="C1194" s="103"/>
      <c r="D1194" s="103"/>
      <c r="E1194" s="103"/>
      <c r="F1194" s="103"/>
      <c r="H1194" s="103"/>
      <c r="I1194" s="103"/>
      <c r="J1194" s="103"/>
      <c r="K1194" s="103"/>
      <c r="L1194" s="103"/>
      <c r="N1194" s="103"/>
      <c r="O1194" s="103"/>
      <c r="Q1194" s="16"/>
      <c r="R1194" s="16"/>
      <c r="S1194" s="16"/>
      <c r="T1194" s="103"/>
      <c r="U1194" s="16"/>
      <c r="V1194" s="16"/>
      <c r="W1194" s="16"/>
      <c r="X1194" s="103"/>
    </row>
    <row r="1195" spans="2:24" x14ac:dyDescent="0.25">
      <c r="B1195" s="103"/>
      <c r="C1195" s="103"/>
      <c r="D1195" s="103"/>
      <c r="E1195" s="103"/>
      <c r="F1195" s="103"/>
      <c r="H1195" s="103"/>
      <c r="I1195" s="103"/>
      <c r="J1195" s="103"/>
      <c r="K1195" s="103"/>
      <c r="L1195" s="103"/>
      <c r="N1195" s="103"/>
      <c r="O1195" s="103"/>
      <c r="Q1195" s="16"/>
      <c r="R1195" s="16"/>
      <c r="S1195" s="16"/>
      <c r="T1195" s="103"/>
      <c r="U1195" s="16"/>
      <c r="V1195" s="16"/>
      <c r="W1195" s="16"/>
      <c r="X1195" s="103"/>
    </row>
    <row r="1196" spans="2:24" x14ac:dyDescent="0.25">
      <c r="B1196" s="103"/>
      <c r="C1196" s="103"/>
      <c r="D1196" s="103"/>
      <c r="E1196" s="103"/>
      <c r="F1196" s="103"/>
      <c r="H1196" s="103"/>
      <c r="I1196" s="103"/>
      <c r="J1196" s="103"/>
      <c r="K1196" s="103"/>
      <c r="L1196" s="103"/>
      <c r="N1196" s="103"/>
      <c r="O1196" s="103"/>
      <c r="Q1196" s="16"/>
      <c r="R1196" s="16"/>
      <c r="S1196" s="16"/>
      <c r="T1196" s="103"/>
      <c r="U1196" s="16"/>
      <c r="V1196" s="16"/>
      <c r="W1196" s="16"/>
      <c r="X1196" s="103"/>
    </row>
    <row r="1197" spans="2:24" x14ac:dyDescent="0.25">
      <c r="B1197" s="103"/>
      <c r="C1197" s="103"/>
      <c r="D1197" s="103"/>
      <c r="E1197" s="103"/>
      <c r="F1197" s="103"/>
      <c r="H1197" s="103"/>
      <c r="I1197" s="103"/>
      <c r="J1197" s="103"/>
      <c r="K1197" s="103"/>
      <c r="L1197" s="103"/>
      <c r="N1197" s="103"/>
      <c r="O1197" s="103"/>
      <c r="Q1197" s="16"/>
      <c r="R1197" s="16"/>
      <c r="S1197" s="16"/>
      <c r="T1197" s="103"/>
      <c r="U1197" s="16"/>
      <c r="V1197" s="16"/>
      <c r="W1197" s="16"/>
      <c r="X1197" s="103"/>
    </row>
    <row r="1198" spans="2:24" x14ac:dyDescent="0.25">
      <c r="B1198" s="103"/>
      <c r="C1198" s="103"/>
      <c r="D1198" s="103"/>
      <c r="E1198" s="103"/>
      <c r="F1198" s="103"/>
      <c r="H1198" s="103"/>
      <c r="I1198" s="103"/>
      <c r="J1198" s="103"/>
      <c r="K1198" s="103"/>
      <c r="L1198" s="103"/>
      <c r="N1198" s="103"/>
      <c r="O1198" s="103"/>
      <c r="Q1198" s="16"/>
      <c r="R1198" s="16"/>
      <c r="S1198" s="16"/>
      <c r="T1198" s="103"/>
      <c r="U1198" s="16"/>
      <c r="V1198" s="16"/>
      <c r="W1198" s="16"/>
      <c r="X1198" s="103"/>
    </row>
    <row r="1199" spans="2:24" x14ac:dyDescent="0.25">
      <c r="B1199" s="103"/>
      <c r="C1199" s="103"/>
      <c r="D1199" s="103"/>
      <c r="E1199" s="103"/>
      <c r="F1199" s="103"/>
      <c r="H1199" s="103"/>
      <c r="I1199" s="103"/>
      <c r="J1199" s="103"/>
      <c r="K1199" s="103"/>
      <c r="L1199" s="103"/>
      <c r="N1199" s="103"/>
      <c r="O1199" s="103"/>
      <c r="Q1199" s="16"/>
      <c r="R1199" s="16"/>
      <c r="S1199" s="16"/>
      <c r="T1199" s="103"/>
      <c r="U1199" s="16"/>
      <c r="V1199" s="16"/>
      <c r="W1199" s="16"/>
      <c r="X1199" s="103"/>
    </row>
    <row r="1200" spans="2:24" x14ac:dyDescent="0.25">
      <c r="B1200" s="103"/>
      <c r="C1200" s="103"/>
      <c r="D1200" s="103"/>
      <c r="E1200" s="103"/>
      <c r="F1200" s="103"/>
      <c r="H1200" s="103"/>
      <c r="I1200" s="103"/>
      <c r="J1200" s="103"/>
      <c r="K1200" s="103"/>
      <c r="L1200" s="103"/>
      <c r="N1200" s="103"/>
      <c r="O1200" s="103"/>
      <c r="Q1200" s="16"/>
      <c r="R1200" s="16"/>
      <c r="S1200" s="16"/>
      <c r="T1200" s="103"/>
      <c r="U1200" s="16"/>
      <c r="V1200" s="16"/>
      <c r="W1200" s="16"/>
      <c r="X1200" s="103"/>
    </row>
    <row r="1201" spans="2:24" x14ac:dyDescent="0.25">
      <c r="B1201" s="103"/>
      <c r="C1201" s="103"/>
      <c r="D1201" s="103"/>
      <c r="E1201" s="103"/>
      <c r="F1201" s="103"/>
      <c r="H1201" s="103"/>
      <c r="I1201" s="103"/>
      <c r="J1201" s="103"/>
      <c r="K1201" s="103"/>
      <c r="L1201" s="103"/>
      <c r="N1201" s="103"/>
      <c r="O1201" s="103"/>
      <c r="Q1201" s="16"/>
      <c r="R1201" s="16"/>
      <c r="S1201" s="16"/>
      <c r="T1201" s="103"/>
      <c r="U1201" s="16"/>
      <c r="V1201" s="16"/>
      <c r="W1201" s="16"/>
      <c r="X1201" s="103"/>
    </row>
    <row r="1202" spans="2:24" x14ac:dyDescent="0.25">
      <c r="B1202" s="103"/>
      <c r="C1202" s="103"/>
      <c r="D1202" s="103"/>
      <c r="E1202" s="103"/>
      <c r="F1202" s="103"/>
      <c r="H1202" s="103"/>
      <c r="I1202" s="103"/>
      <c r="J1202" s="103"/>
      <c r="K1202" s="103"/>
      <c r="L1202" s="103"/>
      <c r="N1202" s="103"/>
      <c r="O1202" s="103"/>
      <c r="Q1202" s="16"/>
      <c r="R1202" s="16"/>
      <c r="S1202" s="16"/>
      <c r="T1202" s="103"/>
      <c r="U1202" s="16"/>
      <c r="V1202" s="16"/>
      <c r="W1202" s="16"/>
      <c r="X1202" s="103"/>
    </row>
    <row r="1203" spans="2:24" x14ac:dyDescent="0.25">
      <c r="B1203" s="103"/>
      <c r="C1203" s="103"/>
      <c r="D1203" s="103"/>
      <c r="E1203" s="103"/>
      <c r="F1203" s="103"/>
      <c r="H1203" s="103"/>
      <c r="I1203" s="103"/>
      <c r="J1203" s="103"/>
      <c r="K1203" s="103"/>
      <c r="L1203" s="103"/>
      <c r="N1203" s="103"/>
      <c r="O1203" s="103"/>
      <c r="Q1203" s="16"/>
      <c r="R1203" s="16"/>
      <c r="S1203" s="16"/>
      <c r="T1203" s="103"/>
      <c r="U1203" s="16"/>
      <c r="V1203" s="16"/>
      <c r="W1203" s="16"/>
      <c r="X1203" s="103"/>
    </row>
    <row r="1204" spans="2:24" x14ac:dyDescent="0.25">
      <c r="B1204" s="103"/>
      <c r="C1204" s="103"/>
      <c r="D1204" s="103"/>
      <c r="E1204" s="103"/>
      <c r="F1204" s="103"/>
      <c r="H1204" s="103"/>
      <c r="I1204" s="103"/>
      <c r="J1204" s="103"/>
      <c r="K1204" s="103"/>
      <c r="L1204" s="103"/>
      <c r="N1204" s="103"/>
      <c r="O1204" s="103"/>
      <c r="Q1204" s="16"/>
      <c r="R1204" s="16"/>
      <c r="S1204" s="16"/>
      <c r="T1204" s="103"/>
      <c r="U1204" s="16"/>
      <c r="V1204" s="16"/>
      <c r="W1204" s="16"/>
      <c r="X1204" s="103"/>
    </row>
    <row r="1205" spans="2:24" x14ac:dyDescent="0.25">
      <c r="B1205" s="103"/>
      <c r="C1205" s="103"/>
      <c r="D1205" s="103"/>
      <c r="E1205" s="103"/>
      <c r="F1205" s="103"/>
      <c r="H1205" s="103"/>
      <c r="I1205" s="103"/>
      <c r="J1205" s="103"/>
      <c r="K1205" s="103"/>
      <c r="L1205" s="103"/>
      <c r="N1205" s="103"/>
      <c r="O1205" s="103"/>
      <c r="Q1205" s="16"/>
      <c r="R1205" s="16"/>
      <c r="S1205" s="16"/>
      <c r="T1205" s="103"/>
      <c r="U1205" s="16"/>
      <c r="V1205" s="16"/>
      <c r="W1205" s="16"/>
      <c r="X1205" s="103"/>
    </row>
    <row r="1206" spans="2:24" x14ac:dyDescent="0.25">
      <c r="B1206" s="103"/>
      <c r="C1206" s="103"/>
      <c r="D1206" s="103"/>
      <c r="E1206" s="103"/>
      <c r="F1206" s="103"/>
      <c r="H1206" s="103"/>
      <c r="I1206" s="103"/>
      <c r="J1206" s="103"/>
      <c r="K1206" s="103"/>
      <c r="L1206" s="103"/>
      <c r="N1206" s="103"/>
      <c r="O1206" s="103"/>
      <c r="Q1206" s="16"/>
      <c r="R1206" s="16"/>
      <c r="S1206" s="16"/>
      <c r="T1206" s="103"/>
      <c r="U1206" s="16"/>
      <c r="V1206" s="16"/>
      <c r="W1206" s="16"/>
      <c r="X1206" s="103"/>
    </row>
    <row r="1207" spans="2:24" x14ac:dyDescent="0.25">
      <c r="B1207" s="103"/>
      <c r="C1207" s="103"/>
      <c r="D1207" s="103"/>
      <c r="E1207" s="103"/>
      <c r="F1207" s="103"/>
      <c r="H1207" s="103"/>
      <c r="I1207" s="103"/>
      <c r="J1207" s="103"/>
      <c r="K1207" s="103"/>
      <c r="L1207" s="103"/>
      <c r="N1207" s="103"/>
      <c r="O1207" s="103"/>
      <c r="Q1207" s="16"/>
      <c r="R1207" s="16"/>
      <c r="S1207" s="16"/>
      <c r="T1207" s="103"/>
      <c r="U1207" s="16"/>
      <c r="V1207" s="16"/>
      <c r="W1207" s="16"/>
      <c r="X1207" s="103"/>
    </row>
    <row r="1208" spans="2:24" x14ac:dyDescent="0.25">
      <c r="B1208" s="103"/>
      <c r="C1208" s="103"/>
      <c r="D1208" s="103"/>
      <c r="E1208" s="103"/>
      <c r="F1208" s="103"/>
      <c r="H1208" s="103"/>
      <c r="I1208" s="103"/>
      <c r="J1208" s="103"/>
      <c r="K1208" s="103"/>
      <c r="L1208" s="103"/>
      <c r="N1208" s="103"/>
      <c r="O1208" s="103"/>
      <c r="Q1208" s="16"/>
      <c r="R1208" s="16"/>
      <c r="S1208" s="16"/>
      <c r="T1208" s="103"/>
      <c r="U1208" s="16"/>
      <c r="V1208" s="16"/>
      <c r="W1208" s="16"/>
      <c r="X1208" s="103"/>
    </row>
    <row r="1209" spans="2:24" x14ac:dyDescent="0.25">
      <c r="B1209" s="103"/>
      <c r="C1209" s="103"/>
      <c r="D1209" s="103"/>
      <c r="E1209" s="103"/>
      <c r="F1209" s="103"/>
      <c r="H1209" s="103"/>
      <c r="I1209" s="103"/>
      <c r="J1209" s="103"/>
      <c r="K1209" s="103"/>
      <c r="L1209" s="103"/>
      <c r="N1209" s="103"/>
      <c r="O1209" s="103"/>
      <c r="Q1209" s="16"/>
      <c r="R1209" s="16"/>
      <c r="S1209" s="16"/>
      <c r="T1209" s="103"/>
      <c r="U1209" s="16"/>
      <c r="V1209" s="16"/>
      <c r="W1209" s="16"/>
      <c r="X1209" s="103"/>
    </row>
    <row r="1210" spans="2:24" x14ac:dyDescent="0.25">
      <c r="B1210" s="103"/>
      <c r="C1210" s="103"/>
      <c r="D1210" s="103"/>
      <c r="E1210" s="103"/>
      <c r="F1210" s="103"/>
      <c r="H1210" s="103"/>
      <c r="I1210" s="103"/>
      <c r="J1210" s="103"/>
      <c r="K1210" s="103"/>
      <c r="L1210" s="103"/>
      <c r="N1210" s="103"/>
      <c r="O1210" s="103"/>
      <c r="Q1210" s="16"/>
      <c r="R1210" s="16"/>
      <c r="S1210" s="16"/>
      <c r="T1210" s="103"/>
      <c r="U1210" s="16"/>
      <c r="V1210" s="16"/>
      <c r="W1210" s="16"/>
      <c r="X1210" s="103"/>
    </row>
    <row r="1211" spans="2:24" x14ac:dyDescent="0.25">
      <c r="B1211" s="103"/>
      <c r="C1211" s="103"/>
      <c r="D1211" s="103"/>
      <c r="E1211" s="103"/>
      <c r="F1211" s="103"/>
      <c r="H1211" s="103"/>
      <c r="I1211" s="103"/>
      <c r="J1211" s="103"/>
      <c r="K1211" s="103"/>
      <c r="L1211" s="103"/>
      <c r="N1211" s="103"/>
      <c r="O1211" s="103"/>
      <c r="Q1211" s="16"/>
      <c r="R1211" s="16"/>
      <c r="S1211" s="16"/>
      <c r="T1211" s="103"/>
      <c r="U1211" s="16"/>
      <c r="V1211" s="16"/>
      <c r="W1211" s="16"/>
      <c r="X1211" s="103"/>
    </row>
    <row r="1212" spans="2:24" x14ac:dyDescent="0.25">
      <c r="B1212" s="103"/>
      <c r="C1212" s="103"/>
      <c r="D1212" s="103"/>
      <c r="E1212" s="103"/>
      <c r="F1212" s="103"/>
      <c r="H1212" s="103"/>
      <c r="I1212" s="103"/>
      <c r="J1212" s="103"/>
      <c r="K1212" s="103"/>
      <c r="L1212" s="103"/>
      <c r="N1212" s="103"/>
      <c r="O1212" s="103"/>
      <c r="Q1212" s="16"/>
      <c r="R1212" s="16"/>
      <c r="S1212" s="16"/>
      <c r="T1212" s="103"/>
      <c r="U1212" s="16"/>
      <c r="V1212" s="16"/>
      <c r="W1212" s="16"/>
      <c r="X1212" s="103"/>
    </row>
    <row r="1213" spans="2:24" x14ac:dyDescent="0.25">
      <c r="B1213" s="103"/>
      <c r="C1213" s="103"/>
      <c r="D1213" s="103"/>
      <c r="E1213" s="103"/>
      <c r="F1213" s="103"/>
      <c r="H1213" s="103"/>
      <c r="I1213" s="103"/>
      <c r="J1213" s="103"/>
      <c r="K1213" s="103"/>
      <c r="L1213" s="103"/>
      <c r="N1213" s="103"/>
      <c r="O1213" s="103"/>
      <c r="Q1213" s="16"/>
      <c r="R1213" s="16"/>
      <c r="S1213" s="16"/>
      <c r="T1213" s="103"/>
      <c r="U1213" s="16"/>
      <c r="V1213" s="16"/>
      <c r="W1213" s="16"/>
      <c r="X1213" s="103"/>
    </row>
    <row r="1214" spans="2:24" x14ac:dyDescent="0.25">
      <c r="B1214" s="103"/>
      <c r="C1214" s="103"/>
      <c r="D1214" s="103"/>
      <c r="E1214" s="103"/>
      <c r="F1214" s="103"/>
      <c r="H1214" s="103"/>
      <c r="I1214" s="103"/>
      <c r="J1214" s="103"/>
      <c r="K1214" s="103"/>
      <c r="L1214" s="103"/>
      <c r="N1214" s="103"/>
      <c r="O1214" s="103"/>
      <c r="Q1214" s="16"/>
      <c r="R1214" s="16"/>
      <c r="S1214" s="16"/>
      <c r="T1214" s="103"/>
      <c r="U1214" s="16"/>
      <c r="V1214" s="16"/>
      <c r="W1214" s="16"/>
      <c r="X1214" s="103"/>
    </row>
    <row r="1215" spans="2:24" x14ac:dyDescent="0.25">
      <c r="B1215" s="103"/>
      <c r="C1215" s="103"/>
      <c r="D1215" s="103"/>
      <c r="E1215" s="103"/>
      <c r="F1215" s="103"/>
      <c r="H1215" s="103"/>
      <c r="I1215" s="103"/>
      <c r="J1215" s="103"/>
      <c r="K1215" s="103"/>
      <c r="L1215" s="103"/>
      <c r="N1215" s="103"/>
      <c r="O1215" s="103"/>
      <c r="Q1215" s="16"/>
      <c r="R1215" s="16"/>
      <c r="S1215" s="16"/>
      <c r="T1215" s="103"/>
      <c r="U1215" s="16"/>
      <c r="V1215" s="16"/>
      <c r="W1215" s="16"/>
      <c r="X1215" s="103"/>
    </row>
    <row r="1216" spans="2:24" x14ac:dyDescent="0.25">
      <c r="B1216" s="103"/>
      <c r="C1216" s="103"/>
      <c r="D1216" s="103"/>
      <c r="E1216" s="103"/>
      <c r="F1216" s="103"/>
      <c r="H1216" s="103"/>
      <c r="I1216" s="103"/>
      <c r="J1216" s="103"/>
      <c r="K1216" s="103"/>
      <c r="L1216" s="103"/>
      <c r="N1216" s="103"/>
      <c r="O1216" s="103"/>
      <c r="Q1216" s="16"/>
      <c r="R1216" s="16"/>
      <c r="S1216" s="16"/>
      <c r="T1216" s="103"/>
      <c r="U1216" s="16"/>
      <c r="V1216" s="16"/>
      <c r="W1216" s="16"/>
      <c r="X1216" s="103"/>
    </row>
    <row r="1217" spans="2:24" x14ac:dyDescent="0.25">
      <c r="B1217" s="103"/>
      <c r="C1217" s="103"/>
      <c r="D1217" s="103"/>
      <c r="E1217" s="103"/>
      <c r="F1217" s="103"/>
      <c r="H1217" s="103"/>
      <c r="I1217" s="103"/>
      <c r="J1217" s="103"/>
      <c r="K1217" s="103"/>
      <c r="L1217" s="103"/>
      <c r="N1217" s="103"/>
      <c r="O1217" s="103"/>
      <c r="Q1217" s="16"/>
      <c r="R1217" s="16"/>
      <c r="S1217" s="16"/>
      <c r="T1217" s="103"/>
      <c r="U1217" s="16"/>
      <c r="V1217" s="16"/>
      <c r="W1217" s="16"/>
      <c r="X1217" s="103"/>
    </row>
    <row r="1218" spans="2:24" x14ac:dyDescent="0.25">
      <c r="B1218" s="103"/>
      <c r="C1218" s="103"/>
      <c r="D1218" s="103"/>
      <c r="E1218" s="103"/>
      <c r="F1218" s="103"/>
      <c r="H1218" s="103"/>
      <c r="I1218" s="103"/>
      <c r="J1218" s="103"/>
      <c r="K1218" s="103"/>
      <c r="L1218" s="103"/>
      <c r="N1218" s="103"/>
      <c r="O1218" s="103"/>
      <c r="Q1218" s="16"/>
      <c r="R1218" s="16"/>
      <c r="S1218" s="16"/>
      <c r="T1218" s="103"/>
      <c r="U1218" s="16"/>
      <c r="V1218" s="16"/>
      <c r="W1218" s="16"/>
      <c r="X1218" s="103"/>
    </row>
    <row r="1219" spans="2:24" x14ac:dyDescent="0.25">
      <c r="B1219" s="103"/>
      <c r="C1219" s="103"/>
      <c r="D1219" s="103"/>
      <c r="E1219" s="103"/>
      <c r="F1219" s="103"/>
      <c r="H1219" s="103"/>
      <c r="I1219" s="103"/>
      <c r="J1219" s="103"/>
      <c r="K1219" s="103"/>
      <c r="L1219" s="103"/>
      <c r="N1219" s="103"/>
      <c r="O1219" s="103"/>
      <c r="Q1219" s="16"/>
      <c r="R1219" s="16"/>
      <c r="S1219" s="16"/>
      <c r="T1219" s="103"/>
      <c r="U1219" s="16"/>
      <c r="V1219" s="16"/>
      <c r="W1219" s="16"/>
      <c r="X1219" s="103"/>
    </row>
    <row r="1220" spans="2:24" x14ac:dyDescent="0.25">
      <c r="B1220" s="103"/>
      <c r="C1220" s="103"/>
      <c r="D1220" s="103"/>
      <c r="E1220" s="103"/>
      <c r="F1220" s="103"/>
      <c r="H1220" s="103"/>
      <c r="I1220" s="103"/>
      <c r="J1220" s="103"/>
      <c r="K1220" s="103"/>
      <c r="L1220" s="103"/>
      <c r="N1220" s="103"/>
      <c r="O1220" s="103"/>
      <c r="Q1220" s="16"/>
      <c r="R1220" s="16"/>
      <c r="S1220" s="16"/>
      <c r="T1220" s="103"/>
      <c r="U1220" s="16"/>
      <c r="V1220" s="16"/>
      <c r="W1220" s="16"/>
      <c r="X1220" s="103"/>
    </row>
    <row r="1221" spans="2:24" x14ac:dyDescent="0.25">
      <c r="B1221" s="103"/>
      <c r="C1221" s="103"/>
      <c r="D1221" s="103"/>
      <c r="E1221" s="103"/>
      <c r="F1221" s="103"/>
      <c r="H1221" s="103"/>
      <c r="I1221" s="103"/>
      <c r="J1221" s="103"/>
      <c r="K1221" s="103"/>
      <c r="L1221" s="103"/>
      <c r="N1221" s="103"/>
      <c r="O1221" s="103"/>
      <c r="Q1221" s="16"/>
      <c r="R1221" s="16"/>
      <c r="S1221" s="16"/>
      <c r="T1221" s="103"/>
      <c r="U1221" s="16"/>
      <c r="V1221" s="16"/>
      <c r="W1221" s="16"/>
      <c r="X1221" s="103"/>
    </row>
    <row r="1222" spans="2:24" x14ac:dyDescent="0.25">
      <c r="B1222" s="103"/>
      <c r="C1222" s="103"/>
      <c r="D1222" s="103"/>
      <c r="E1222" s="103"/>
      <c r="F1222" s="103"/>
      <c r="H1222" s="103"/>
      <c r="I1222" s="103"/>
      <c r="J1222" s="103"/>
      <c r="K1222" s="103"/>
      <c r="L1222" s="103"/>
      <c r="N1222" s="103"/>
      <c r="O1222" s="103"/>
      <c r="Q1222" s="16"/>
      <c r="R1222" s="16"/>
      <c r="S1222" s="16"/>
      <c r="T1222" s="103"/>
      <c r="U1222" s="16"/>
      <c r="V1222" s="16"/>
      <c r="W1222" s="16"/>
      <c r="X1222" s="103"/>
    </row>
    <row r="1223" spans="2:24" x14ac:dyDescent="0.25">
      <c r="B1223" s="103"/>
      <c r="C1223" s="103"/>
      <c r="D1223" s="103"/>
      <c r="E1223" s="103"/>
      <c r="F1223" s="103"/>
      <c r="H1223" s="103"/>
      <c r="I1223" s="103"/>
      <c r="J1223" s="103"/>
      <c r="K1223" s="103"/>
      <c r="L1223" s="103"/>
      <c r="N1223" s="103"/>
      <c r="O1223" s="103"/>
      <c r="Q1223" s="16"/>
      <c r="R1223" s="16"/>
      <c r="S1223" s="16"/>
      <c r="T1223" s="103"/>
      <c r="U1223" s="16"/>
      <c r="V1223" s="16"/>
      <c r="W1223" s="16"/>
      <c r="X1223" s="103"/>
    </row>
    <row r="1224" spans="2:24" x14ac:dyDescent="0.25">
      <c r="B1224" s="103"/>
      <c r="C1224" s="103"/>
      <c r="D1224" s="103"/>
      <c r="E1224" s="103"/>
      <c r="F1224" s="103"/>
      <c r="H1224" s="103"/>
      <c r="I1224" s="103"/>
      <c r="J1224" s="103"/>
      <c r="K1224" s="103"/>
      <c r="L1224" s="103"/>
      <c r="N1224" s="103"/>
      <c r="O1224" s="103"/>
      <c r="Q1224" s="16"/>
      <c r="R1224" s="16"/>
      <c r="S1224" s="16"/>
      <c r="T1224" s="103"/>
      <c r="U1224" s="16"/>
      <c r="V1224" s="16"/>
      <c r="W1224" s="16"/>
      <c r="X1224" s="103"/>
    </row>
    <row r="1225" spans="2:24" x14ac:dyDescent="0.25">
      <c r="B1225" s="103"/>
      <c r="C1225" s="103"/>
      <c r="D1225" s="103"/>
      <c r="E1225" s="103"/>
      <c r="F1225" s="103"/>
      <c r="H1225" s="103"/>
      <c r="I1225" s="103"/>
      <c r="J1225" s="103"/>
      <c r="K1225" s="103"/>
      <c r="L1225" s="103"/>
      <c r="N1225" s="103"/>
      <c r="O1225" s="103"/>
      <c r="Q1225" s="16"/>
      <c r="R1225" s="16"/>
      <c r="S1225" s="16"/>
      <c r="T1225" s="103"/>
      <c r="U1225" s="16"/>
      <c r="V1225" s="16"/>
      <c r="W1225" s="16"/>
      <c r="X1225" s="103"/>
    </row>
    <row r="1226" spans="2:24" x14ac:dyDescent="0.25">
      <c r="B1226" s="103"/>
      <c r="C1226" s="103"/>
      <c r="D1226" s="103"/>
      <c r="E1226" s="103"/>
      <c r="F1226" s="103"/>
      <c r="H1226" s="103"/>
      <c r="I1226" s="103"/>
      <c r="J1226" s="103"/>
      <c r="K1226" s="103"/>
      <c r="L1226" s="103"/>
      <c r="N1226" s="103"/>
      <c r="O1226" s="103"/>
      <c r="Q1226" s="16"/>
      <c r="R1226" s="16"/>
      <c r="S1226" s="16"/>
      <c r="T1226" s="103"/>
      <c r="U1226" s="16"/>
      <c r="V1226" s="16"/>
      <c r="W1226" s="16"/>
      <c r="X1226" s="103"/>
    </row>
    <row r="1227" spans="2:24" x14ac:dyDescent="0.25">
      <c r="B1227" s="103"/>
      <c r="C1227" s="103"/>
      <c r="D1227" s="103"/>
      <c r="E1227" s="103"/>
      <c r="F1227" s="103"/>
      <c r="H1227" s="103"/>
      <c r="I1227" s="103"/>
      <c r="J1227" s="103"/>
      <c r="K1227" s="103"/>
      <c r="L1227" s="103"/>
      <c r="N1227" s="103"/>
      <c r="O1227" s="103"/>
      <c r="Q1227" s="16"/>
      <c r="R1227" s="16"/>
      <c r="S1227" s="16"/>
      <c r="T1227" s="103"/>
      <c r="U1227" s="16"/>
      <c r="V1227" s="16"/>
      <c r="W1227" s="16"/>
      <c r="X1227" s="103"/>
    </row>
    <row r="1228" spans="2:24" x14ac:dyDescent="0.25">
      <c r="B1228" s="103"/>
      <c r="C1228" s="103"/>
      <c r="D1228" s="103"/>
      <c r="E1228" s="103"/>
      <c r="F1228" s="103"/>
      <c r="H1228" s="103"/>
      <c r="I1228" s="103"/>
      <c r="J1228" s="103"/>
      <c r="K1228" s="103"/>
      <c r="L1228" s="103"/>
      <c r="N1228" s="103"/>
      <c r="O1228" s="103"/>
      <c r="Q1228" s="16"/>
      <c r="R1228" s="16"/>
      <c r="S1228" s="16"/>
      <c r="T1228" s="103"/>
      <c r="U1228" s="16"/>
      <c r="V1228" s="16"/>
      <c r="W1228" s="16"/>
      <c r="X1228" s="103"/>
    </row>
    <row r="1229" spans="2:24" x14ac:dyDescent="0.25">
      <c r="B1229" s="103"/>
      <c r="C1229" s="103"/>
      <c r="D1229" s="103"/>
      <c r="E1229" s="103"/>
      <c r="F1229" s="103"/>
      <c r="H1229" s="103"/>
      <c r="I1229" s="103"/>
      <c r="J1229" s="103"/>
      <c r="K1229" s="103"/>
      <c r="L1229" s="103"/>
      <c r="N1229" s="103"/>
      <c r="O1229" s="103"/>
      <c r="Q1229" s="16"/>
      <c r="R1229" s="16"/>
      <c r="S1229" s="16"/>
      <c r="T1229" s="103"/>
      <c r="U1229" s="16"/>
      <c r="V1229" s="16"/>
      <c r="W1229" s="16"/>
      <c r="X1229" s="103"/>
    </row>
    <row r="1230" spans="2:24" x14ac:dyDescent="0.25">
      <c r="B1230" s="103"/>
      <c r="C1230" s="103"/>
      <c r="D1230" s="103"/>
      <c r="E1230" s="103"/>
      <c r="F1230" s="103"/>
      <c r="H1230" s="103"/>
      <c r="I1230" s="103"/>
      <c r="J1230" s="103"/>
      <c r="K1230" s="103"/>
      <c r="L1230" s="103"/>
      <c r="N1230" s="103"/>
      <c r="O1230" s="103"/>
      <c r="Q1230" s="16"/>
      <c r="R1230" s="16"/>
      <c r="S1230" s="16"/>
      <c r="T1230" s="103"/>
      <c r="U1230" s="16"/>
      <c r="V1230" s="16"/>
      <c r="W1230" s="16"/>
      <c r="X1230" s="103"/>
    </row>
    <row r="1231" spans="2:24" x14ac:dyDescent="0.25">
      <c r="B1231" s="103"/>
      <c r="C1231" s="103"/>
      <c r="D1231" s="103"/>
      <c r="E1231" s="103"/>
      <c r="F1231" s="103"/>
      <c r="H1231" s="103"/>
      <c r="I1231" s="103"/>
      <c r="J1231" s="103"/>
      <c r="K1231" s="103"/>
      <c r="L1231" s="103"/>
      <c r="N1231" s="103"/>
      <c r="O1231" s="103"/>
      <c r="Q1231" s="16"/>
      <c r="R1231" s="16"/>
      <c r="S1231" s="16"/>
      <c r="T1231" s="103"/>
      <c r="U1231" s="16"/>
      <c r="V1231" s="16"/>
      <c r="W1231" s="16"/>
      <c r="X1231" s="103"/>
    </row>
    <row r="1232" spans="2:24" x14ac:dyDescent="0.25">
      <c r="B1232" s="103"/>
      <c r="C1232" s="103"/>
      <c r="D1232" s="103"/>
      <c r="E1232" s="103"/>
      <c r="F1232" s="103"/>
      <c r="H1232" s="103"/>
      <c r="I1232" s="103"/>
      <c r="J1232" s="103"/>
      <c r="K1232" s="103"/>
      <c r="L1232" s="103"/>
      <c r="N1232" s="103"/>
      <c r="O1232" s="103"/>
      <c r="Q1232" s="16"/>
      <c r="R1232" s="16"/>
      <c r="S1232" s="16"/>
      <c r="T1232" s="103"/>
      <c r="U1232" s="16"/>
      <c r="V1232" s="16"/>
      <c r="W1232" s="16"/>
      <c r="X1232" s="103"/>
    </row>
    <row r="1233" spans="2:24" x14ac:dyDescent="0.25">
      <c r="B1233" s="103"/>
      <c r="C1233" s="103"/>
      <c r="D1233" s="103"/>
      <c r="E1233" s="103"/>
      <c r="F1233" s="103"/>
      <c r="H1233" s="103"/>
      <c r="I1233" s="103"/>
      <c r="J1233" s="103"/>
      <c r="K1233" s="103"/>
      <c r="L1233" s="103"/>
      <c r="N1233" s="103"/>
      <c r="O1233" s="103"/>
      <c r="Q1233" s="16"/>
      <c r="R1233" s="16"/>
      <c r="S1233" s="16"/>
      <c r="T1233" s="103"/>
      <c r="U1233" s="16"/>
      <c r="V1233" s="16"/>
      <c r="W1233" s="16"/>
      <c r="X1233" s="103"/>
    </row>
    <row r="1234" spans="2:24" x14ac:dyDescent="0.25">
      <c r="B1234" s="103"/>
      <c r="C1234" s="103"/>
      <c r="D1234" s="103"/>
      <c r="E1234" s="103"/>
      <c r="F1234" s="103"/>
      <c r="H1234" s="103"/>
      <c r="I1234" s="103"/>
      <c r="J1234" s="103"/>
      <c r="K1234" s="103"/>
      <c r="L1234" s="103"/>
      <c r="N1234" s="103"/>
      <c r="O1234" s="103"/>
      <c r="Q1234" s="16"/>
      <c r="R1234" s="16"/>
      <c r="S1234" s="16"/>
      <c r="T1234" s="103"/>
      <c r="U1234" s="16"/>
      <c r="V1234" s="16"/>
      <c r="W1234" s="16"/>
      <c r="X1234" s="103"/>
    </row>
    <row r="1235" spans="2:24" x14ac:dyDescent="0.25">
      <c r="B1235" s="103"/>
      <c r="C1235" s="103"/>
      <c r="D1235" s="103"/>
      <c r="E1235" s="103"/>
      <c r="F1235" s="103"/>
      <c r="H1235" s="103"/>
      <c r="I1235" s="103"/>
      <c r="J1235" s="103"/>
      <c r="K1235" s="103"/>
      <c r="L1235" s="103"/>
      <c r="N1235" s="103"/>
      <c r="O1235" s="103"/>
      <c r="Q1235" s="16"/>
      <c r="R1235" s="16"/>
      <c r="S1235" s="16"/>
      <c r="T1235" s="103"/>
      <c r="U1235" s="16"/>
      <c r="V1235" s="16"/>
      <c r="W1235" s="16"/>
      <c r="X1235" s="103"/>
    </row>
    <row r="1236" spans="2:24" x14ac:dyDescent="0.25">
      <c r="B1236" s="103"/>
      <c r="C1236" s="103"/>
      <c r="D1236" s="103"/>
      <c r="E1236" s="103"/>
      <c r="F1236" s="103"/>
      <c r="H1236" s="103"/>
      <c r="I1236" s="103"/>
      <c r="J1236" s="103"/>
      <c r="K1236" s="103"/>
      <c r="L1236" s="103"/>
      <c r="N1236" s="103"/>
      <c r="O1236" s="103"/>
      <c r="Q1236" s="16"/>
      <c r="R1236" s="16"/>
      <c r="S1236" s="16"/>
      <c r="T1236" s="103"/>
      <c r="U1236" s="16"/>
      <c r="V1236" s="16"/>
      <c r="W1236" s="16"/>
      <c r="X1236" s="103"/>
    </row>
    <row r="1237" spans="2:24" x14ac:dyDescent="0.25">
      <c r="B1237" s="103"/>
      <c r="C1237" s="103"/>
      <c r="D1237" s="103"/>
      <c r="E1237" s="103"/>
      <c r="F1237" s="103"/>
      <c r="H1237" s="103"/>
      <c r="I1237" s="103"/>
      <c r="J1237" s="103"/>
      <c r="K1237" s="103"/>
      <c r="L1237" s="103"/>
      <c r="N1237" s="103"/>
      <c r="O1237" s="103"/>
      <c r="Q1237" s="16"/>
      <c r="R1237" s="16"/>
      <c r="S1237" s="16"/>
      <c r="T1237" s="103"/>
      <c r="U1237" s="16"/>
      <c r="V1237" s="16"/>
      <c r="W1237" s="16"/>
      <c r="X1237" s="103"/>
    </row>
    <row r="1238" spans="2:24" x14ac:dyDescent="0.25">
      <c r="B1238" s="103"/>
      <c r="C1238" s="103"/>
      <c r="D1238" s="103"/>
      <c r="E1238" s="103"/>
      <c r="F1238" s="103"/>
      <c r="H1238" s="103"/>
      <c r="I1238" s="103"/>
      <c r="J1238" s="103"/>
      <c r="K1238" s="103"/>
      <c r="L1238" s="103"/>
      <c r="N1238" s="103"/>
      <c r="O1238" s="103"/>
      <c r="Q1238" s="16"/>
      <c r="R1238" s="16"/>
      <c r="S1238" s="16"/>
      <c r="T1238" s="103"/>
      <c r="U1238" s="16"/>
      <c r="V1238" s="16"/>
      <c r="W1238" s="16"/>
      <c r="X1238" s="103"/>
    </row>
    <row r="1239" spans="2:24" x14ac:dyDescent="0.25">
      <c r="B1239" s="103"/>
      <c r="C1239" s="103"/>
      <c r="D1239" s="103"/>
      <c r="E1239" s="103"/>
      <c r="F1239" s="103"/>
      <c r="H1239" s="103"/>
      <c r="I1239" s="103"/>
      <c r="J1239" s="103"/>
      <c r="K1239" s="103"/>
      <c r="L1239" s="103"/>
      <c r="N1239" s="103"/>
      <c r="O1239" s="103"/>
      <c r="Q1239" s="16"/>
      <c r="R1239" s="16"/>
      <c r="S1239" s="16"/>
      <c r="T1239" s="103"/>
      <c r="U1239" s="16"/>
      <c r="V1239" s="16"/>
      <c r="W1239" s="16"/>
      <c r="X1239" s="103"/>
    </row>
    <row r="1240" spans="2:24" x14ac:dyDescent="0.25">
      <c r="B1240" s="103"/>
      <c r="C1240" s="103"/>
      <c r="D1240" s="103"/>
      <c r="E1240" s="103"/>
      <c r="F1240" s="103"/>
      <c r="H1240" s="103"/>
      <c r="I1240" s="103"/>
      <c r="J1240" s="103"/>
      <c r="K1240" s="103"/>
      <c r="L1240" s="103"/>
      <c r="N1240" s="103"/>
      <c r="O1240" s="103"/>
      <c r="Q1240" s="16"/>
      <c r="R1240" s="16"/>
      <c r="S1240" s="16"/>
      <c r="T1240" s="103"/>
      <c r="U1240" s="16"/>
      <c r="V1240" s="16"/>
      <c r="W1240" s="16"/>
      <c r="X1240" s="103"/>
    </row>
    <row r="1241" spans="2:24" x14ac:dyDescent="0.25">
      <c r="B1241" s="103"/>
      <c r="C1241" s="103"/>
      <c r="D1241" s="103"/>
      <c r="E1241" s="103"/>
      <c r="F1241" s="103"/>
      <c r="H1241" s="103"/>
      <c r="I1241" s="103"/>
      <c r="J1241" s="103"/>
      <c r="K1241" s="103"/>
      <c r="L1241" s="103"/>
      <c r="N1241" s="103"/>
      <c r="O1241" s="103"/>
      <c r="Q1241" s="16"/>
      <c r="R1241" s="16"/>
      <c r="S1241" s="16"/>
      <c r="T1241" s="103"/>
      <c r="U1241" s="16"/>
      <c r="V1241" s="16"/>
      <c r="W1241" s="16"/>
      <c r="X1241" s="103"/>
    </row>
    <row r="1242" spans="2:24" x14ac:dyDescent="0.25">
      <c r="B1242" s="103"/>
      <c r="C1242" s="103"/>
      <c r="D1242" s="103"/>
      <c r="E1242" s="103"/>
      <c r="F1242" s="103"/>
      <c r="H1242" s="103"/>
      <c r="I1242" s="103"/>
      <c r="J1242" s="103"/>
      <c r="K1242" s="103"/>
      <c r="L1242" s="103"/>
      <c r="N1242" s="103"/>
      <c r="O1242" s="103"/>
      <c r="Q1242" s="16"/>
      <c r="R1242" s="16"/>
      <c r="S1242" s="16"/>
      <c r="T1242" s="103"/>
      <c r="U1242" s="16"/>
      <c r="V1242" s="16"/>
      <c r="W1242" s="16"/>
      <c r="X1242" s="103"/>
    </row>
    <row r="1243" spans="2:24" x14ac:dyDescent="0.25">
      <c r="B1243" s="103"/>
      <c r="C1243" s="103"/>
      <c r="D1243" s="103"/>
      <c r="E1243" s="103"/>
      <c r="F1243" s="103"/>
      <c r="H1243" s="103"/>
      <c r="I1243" s="103"/>
      <c r="J1243" s="103"/>
      <c r="K1243" s="103"/>
      <c r="L1243" s="103"/>
      <c r="N1243" s="103"/>
      <c r="O1243" s="103"/>
      <c r="Q1243" s="16"/>
      <c r="R1243" s="16"/>
      <c r="S1243" s="16"/>
      <c r="T1243" s="103"/>
      <c r="U1243" s="16"/>
      <c r="V1243" s="16"/>
      <c r="W1243" s="16"/>
      <c r="X1243" s="103"/>
    </row>
    <row r="1244" spans="2:24" x14ac:dyDescent="0.25">
      <c r="B1244" s="103"/>
      <c r="C1244" s="103"/>
      <c r="D1244" s="103"/>
      <c r="E1244" s="103"/>
      <c r="F1244" s="103"/>
      <c r="H1244" s="103"/>
      <c r="I1244" s="103"/>
      <c r="J1244" s="103"/>
      <c r="K1244" s="103"/>
      <c r="L1244" s="103"/>
      <c r="N1244" s="103"/>
      <c r="O1244" s="103"/>
      <c r="Q1244" s="16"/>
      <c r="R1244" s="16"/>
      <c r="S1244" s="16"/>
      <c r="T1244" s="103"/>
      <c r="U1244" s="16"/>
      <c r="V1244" s="16"/>
      <c r="W1244" s="16"/>
      <c r="X1244" s="103"/>
    </row>
    <row r="1245" spans="2:24" x14ac:dyDescent="0.25">
      <c r="B1245" s="103"/>
      <c r="C1245" s="103"/>
      <c r="D1245" s="103"/>
      <c r="E1245" s="103"/>
      <c r="F1245" s="103"/>
      <c r="H1245" s="103"/>
      <c r="I1245" s="103"/>
      <c r="J1245" s="103"/>
      <c r="K1245" s="103"/>
      <c r="L1245" s="103"/>
      <c r="N1245" s="103"/>
      <c r="O1245" s="103"/>
      <c r="Q1245" s="16"/>
      <c r="R1245" s="16"/>
      <c r="S1245" s="16"/>
      <c r="T1245" s="103"/>
      <c r="U1245" s="16"/>
      <c r="V1245" s="16"/>
      <c r="W1245" s="16"/>
      <c r="X1245" s="103"/>
    </row>
    <row r="1246" spans="2:24" x14ac:dyDescent="0.25">
      <c r="B1246" s="103"/>
      <c r="C1246" s="103"/>
      <c r="D1246" s="103"/>
      <c r="E1246" s="103"/>
      <c r="F1246" s="103"/>
      <c r="H1246" s="103"/>
      <c r="I1246" s="103"/>
      <c r="J1246" s="103"/>
      <c r="K1246" s="103"/>
      <c r="L1246" s="103"/>
      <c r="N1246" s="103"/>
      <c r="O1246" s="103"/>
      <c r="Q1246" s="16"/>
      <c r="R1246" s="16"/>
      <c r="S1246" s="16"/>
      <c r="T1246" s="103"/>
      <c r="U1246" s="16"/>
      <c r="V1246" s="16"/>
      <c r="W1246" s="16"/>
      <c r="X1246" s="103"/>
    </row>
    <row r="1247" spans="2:24" x14ac:dyDescent="0.25">
      <c r="B1247" s="103"/>
      <c r="C1247" s="103"/>
      <c r="D1247" s="103"/>
      <c r="E1247" s="103"/>
      <c r="F1247" s="103"/>
      <c r="H1247" s="103"/>
      <c r="I1247" s="103"/>
      <c r="J1247" s="103"/>
      <c r="K1247" s="103"/>
      <c r="L1247" s="103"/>
      <c r="N1247" s="103"/>
      <c r="O1247" s="103"/>
      <c r="Q1247" s="16"/>
      <c r="R1247" s="16"/>
      <c r="S1247" s="16"/>
      <c r="T1247" s="103"/>
      <c r="U1247" s="16"/>
      <c r="V1247" s="16"/>
      <c r="W1247" s="16"/>
      <c r="X1247" s="103"/>
    </row>
    <row r="1248" spans="2:24" x14ac:dyDescent="0.25">
      <c r="B1248" s="103"/>
      <c r="C1248" s="103"/>
      <c r="D1248" s="103"/>
      <c r="E1248" s="103"/>
      <c r="F1248" s="103"/>
      <c r="H1248" s="103"/>
      <c r="I1248" s="103"/>
      <c r="J1248" s="103"/>
      <c r="K1248" s="103"/>
      <c r="L1248" s="103"/>
      <c r="N1248" s="103"/>
      <c r="O1248" s="103"/>
      <c r="Q1248" s="16"/>
      <c r="R1248" s="16"/>
      <c r="S1248" s="16"/>
      <c r="T1248" s="103"/>
      <c r="U1248" s="16"/>
      <c r="V1248" s="16"/>
      <c r="W1248" s="16"/>
      <c r="X1248" s="103"/>
    </row>
    <row r="1249" spans="2:24" x14ac:dyDescent="0.25">
      <c r="B1249" s="103"/>
      <c r="C1249" s="103"/>
      <c r="D1249" s="103"/>
      <c r="E1249" s="103"/>
      <c r="F1249" s="103"/>
      <c r="H1249" s="103"/>
      <c r="I1249" s="103"/>
      <c r="J1249" s="103"/>
      <c r="K1249" s="103"/>
      <c r="L1249" s="103"/>
      <c r="N1249" s="103"/>
      <c r="O1249" s="103"/>
      <c r="Q1249" s="16"/>
      <c r="R1249" s="16"/>
      <c r="S1249" s="16"/>
      <c r="T1249" s="103"/>
      <c r="U1249" s="16"/>
      <c r="V1249" s="16"/>
      <c r="W1249" s="16"/>
      <c r="X1249" s="103"/>
    </row>
    <row r="1250" spans="2:24" x14ac:dyDescent="0.25">
      <c r="B1250" s="103"/>
      <c r="C1250" s="103"/>
      <c r="D1250" s="103"/>
      <c r="E1250" s="103"/>
      <c r="F1250" s="103"/>
      <c r="H1250" s="103"/>
      <c r="I1250" s="103"/>
      <c r="J1250" s="103"/>
      <c r="K1250" s="103"/>
      <c r="L1250" s="103"/>
      <c r="N1250" s="103"/>
      <c r="O1250" s="103"/>
      <c r="Q1250" s="16"/>
      <c r="R1250" s="16"/>
      <c r="S1250" s="16"/>
      <c r="T1250" s="103"/>
      <c r="U1250" s="16"/>
      <c r="V1250" s="16"/>
      <c r="W1250" s="16"/>
      <c r="X1250" s="103"/>
    </row>
    <row r="1251" spans="2:24" x14ac:dyDescent="0.25">
      <c r="B1251" s="103"/>
      <c r="C1251" s="103"/>
      <c r="D1251" s="103"/>
      <c r="E1251" s="103"/>
      <c r="F1251" s="103"/>
      <c r="H1251" s="103"/>
      <c r="I1251" s="103"/>
      <c r="J1251" s="103"/>
      <c r="K1251" s="103"/>
      <c r="L1251" s="103"/>
      <c r="N1251" s="103"/>
      <c r="O1251" s="103"/>
      <c r="Q1251" s="16"/>
      <c r="R1251" s="16"/>
      <c r="S1251" s="16"/>
      <c r="T1251" s="103"/>
      <c r="U1251" s="16"/>
      <c r="V1251" s="16"/>
      <c r="W1251" s="16"/>
      <c r="X1251" s="103"/>
    </row>
    <row r="1252" spans="2:24" x14ac:dyDescent="0.25">
      <c r="B1252" s="103"/>
      <c r="C1252" s="103"/>
      <c r="D1252" s="103"/>
      <c r="E1252" s="103"/>
      <c r="F1252" s="103"/>
      <c r="H1252" s="103"/>
      <c r="I1252" s="103"/>
      <c r="J1252" s="103"/>
      <c r="K1252" s="103"/>
      <c r="L1252" s="103"/>
      <c r="N1252" s="103"/>
      <c r="O1252" s="103"/>
      <c r="Q1252" s="16"/>
      <c r="R1252" s="16"/>
      <c r="S1252" s="16"/>
      <c r="T1252" s="103"/>
      <c r="U1252" s="16"/>
      <c r="V1252" s="16"/>
      <c r="W1252" s="16"/>
      <c r="X1252" s="103"/>
    </row>
    <row r="1253" spans="2:24" x14ac:dyDescent="0.25">
      <c r="B1253" s="103"/>
      <c r="C1253" s="103"/>
      <c r="D1253" s="103"/>
      <c r="E1253" s="103"/>
      <c r="F1253" s="103"/>
      <c r="H1253" s="103"/>
      <c r="I1253" s="103"/>
      <c r="J1253" s="103"/>
      <c r="K1253" s="103"/>
      <c r="L1253" s="103"/>
      <c r="N1253" s="103"/>
      <c r="O1253" s="103"/>
      <c r="Q1253" s="16"/>
      <c r="R1253" s="16"/>
      <c r="S1253" s="16"/>
      <c r="T1253" s="103"/>
      <c r="U1253" s="16"/>
      <c r="V1253" s="16"/>
      <c r="W1253" s="16"/>
      <c r="X1253" s="103"/>
    </row>
    <row r="1254" spans="2:24" x14ac:dyDescent="0.25">
      <c r="B1254" s="103"/>
      <c r="C1254" s="103"/>
      <c r="D1254" s="103"/>
      <c r="E1254" s="103"/>
      <c r="F1254" s="103"/>
      <c r="H1254" s="103"/>
      <c r="I1254" s="103"/>
      <c r="J1254" s="103"/>
      <c r="K1254" s="103"/>
      <c r="L1254" s="103"/>
      <c r="N1254" s="103"/>
      <c r="O1254" s="103"/>
      <c r="Q1254" s="16"/>
      <c r="R1254" s="16"/>
      <c r="S1254" s="16"/>
      <c r="T1254" s="103"/>
      <c r="U1254" s="16"/>
      <c r="V1254" s="16"/>
      <c r="W1254" s="16"/>
      <c r="X1254" s="103"/>
    </row>
    <row r="1255" spans="2:24" x14ac:dyDescent="0.25">
      <c r="B1255" s="103"/>
      <c r="C1255" s="103"/>
      <c r="D1255" s="103"/>
      <c r="E1255" s="103"/>
      <c r="F1255" s="103"/>
      <c r="H1255" s="103"/>
      <c r="I1255" s="103"/>
      <c r="J1255" s="103"/>
      <c r="K1255" s="103"/>
      <c r="L1255" s="103"/>
      <c r="N1255" s="103"/>
      <c r="O1255" s="103"/>
      <c r="Q1255" s="16"/>
      <c r="R1255" s="16"/>
      <c r="S1255" s="16"/>
      <c r="T1255" s="103"/>
      <c r="U1255" s="16"/>
      <c r="V1255" s="16"/>
      <c r="W1255" s="16"/>
      <c r="X1255" s="103"/>
    </row>
    <row r="1256" spans="2:24" x14ac:dyDescent="0.25">
      <c r="B1256" s="103"/>
      <c r="C1256" s="103"/>
      <c r="D1256" s="103"/>
      <c r="E1256" s="103"/>
      <c r="F1256" s="103"/>
      <c r="H1256" s="103"/>
      <c r="I1256" s="103"/>
      <c r="J1256" s="103"/>
      <c r="K1256" s="103"/>
      <c r="L1256" s="103"/>
      <c r="N1256" s="103"/>
      <c r="O1256" s="103"/>
      <c r="Q1256" s="16"/>
      <c r="R1256" s="16"/>
      <c r="S1256" s="16"/>
      <c r="T1256" s="103"/>
      <c r="U1256" s="16"/>
      <c r="V1256" s="16"/>
      <c r="W1256" s="16"/>
      <c r="X1256" s="103"/>
    </row>
    <row r="1257" spans="2:24" x14ac:dyDescent="0.25">
      <c r="B1257" s="103"/>
      <c r="C1257" s="103"/>
      <c r="D1257" s="103"/>
      <c r="E1257" s="103"/>
      <c r="F1257" s="103"/>
      <c r="H1257" s="103"/>
      <c r="I1257" s="103"/>
      <c r="J1257" s="103"/>
      <c r="K1257" s="103"/>
      <c r="L1257" s="103"/>
      <c r="N1257" s="103"/>
      <c r="O1257" s="103"/>
      <c r="Q1257" s="16"/>
      <c r="R1257" s="16"/>
      <c r="S1257" s="16"/>
      <c r="T1257" s="103"/>
      <c r="U1257" s="16"/>
      <c r="V1257" s="16"/>
      <c r="W1257" s="16"/>
      <c r="X1257" s="103"/>
    </row>
    <row r="1258" spans="2:24" x14ac:dyDescent="0.25">
      <c r="B1258" s="103"/>
      <c r="C1258" s="103"/>
      <c r="D1258" s="103"/>
      <c r="E1258" s="103"/>
      <c r="F1258" s="103"/>
      <c r="H1258" s="103"/>
      <c r="I1258" s="103"/>
      <c r="J1258" s="103"/>
      <c r="K1258" s="103"/>
      <c r="L1258" s="103"/>
      <c r="N1258" s="103"/>
      <c r="O1258" s="103"/>
      <c r="Q1258" s="16"/>
      <c r="R1258" s="16"/>
      <c r="S1258" s="16"/>
      <c r="T1258" s="103"/>
      <c r="U1258" s="16"/>
      <c r="V1258" s="16"/>
      <c r="W1258" s="16"/>
      <c r="X1258" s="103"/>
    </row>
    <row r="1259" spans="2:24" x14ac:dyDescent="0.25">
      <c r="B1259" s="103"/>
      <c r="C1259" s="103"/>
      <c r="D1259" s="103"/>
      <c r="E1259" s="103"/>
      <c r="F1259" s="103"/>
      <c r="H1259" s="103"/>
      <c r="I1259" s="103"/>
      <c r="J1259" s="103"/>
      <c r="K1259" s="103"/>
      <c r="L1259" s="103"/>
      <c r="N1259" s="103"/>
      <c r="O1259" s="103"/>
      <c r="Q1259" s="16"/>
      <c r="R1259" s="16"/>
      <c r="S1259" s="16"/>
      <c r="T1259" s="103"/>
      <c r="U1259" s="16"/>
      <c r="V1259" s="16"/>
      <c r="W1259" s="16"/>
      <c r="X1259" s="103"/>
    </row>
    <row r="1260" spans="2:24" x14ac:dyDescent="0.25">
      <c r="B1260" s="103"/>
      <c r="C1260" s="103"/>
      <c r="D1260" s="103"/>
      <c r="E1260" s="103"/>
      <c r="F1260" s="103"/>
      <c r="H1260" s="103"/>
      <c r="I1260" s="103"/>
      <c r="J1260" s="103"/>
      <c r="K1260" s="103"/>
      <c r="L1260" s="103"/>
      <c r="N1260" s="103"/>
      <c r="O1260" s="103"/>
      <c r="Q1260" s="16"/>
      <c r="R1260" s="16"/>
      <c r="S1260" s="16"/>
      <c r="T1260" s="103"/>
      <c r="U1260" s="16"/>
      <c r="V1260" s="16"/>
      <c r="W1260" s="16"/>
      <c r="X1260" s="103"/>
    </row>
    <row r="1261" spans="2:24" x14ac:dyDescent="0.25">
      <c r="B1261" s="103"/>
      <c r="C1261" s="103"/>
      <c r="D1261" s="103"/>
      <c r="E1261" s="103"/>
      <c r="F1261" s="103"/>
      <c r="H1261" s="103"/>
      <c r="I1261" s="103"/>
      <c r="J1261" s="103"/>
      <c r="K1261" s="103"/>
      <c r="L1261" s="103"/>
      <c r="N1261" s="103"/>
      <c r="O1261" s="103"/>
      <c r="Q1261" s="16"/>
      <c r="R1261" s="16"/>
      <c r="S1261" s="16"/>
      <c r="T1261" s="103"/>
      <c r="U1261" s="16"/>
      <c r="V1261" s="16"/>
      <c r="W1261" s="16"/>
      <c r="X1261" s="103"/>
    </row>
    <row r="1262" spans="2:24" x14ac:dyDescent="0.25">
      <c r="B1262" s="103"/>
      <c r="C1262" s="103"/>
      <c r="D1262" s="103"/>
      <c r="E1262" s="103"/>
      <c r="F1262" s="103"/>
      <c r="H1262" s="103"/>
      <c r="I1262" s="103"/>
      <c r="J1262" s="103"/>
      <c r="K1262" s="103"/>
      <c r="L1262" s="103"/>
      <c r="N1262" s="103"/>
      <c r="O1262" s="103"/>
      <c r="Q1262" s="16"/>
      <c r="R1262" s="16"/>
      <c r="S1262" s="16"/>
      <c r="T1262" s="103"/>
      <c r="U1262" s="16"/>
      <c r="V1262" s="16"/>
      <c r="W1262" s="16"/>
      <c r="X1262" s="103"/>
    </row>
    <row r="1263" spans="2:24" x14ac:dyDescent="0.25">
      <c r="B1263" s="103"/>
      <c r="C1263" s="103"/>
      <c r="D1263" s="103"/>
      <c r="E1263" s="103"/>
      <c r="F1263" s="103"/>
      <c r="H1263" s="103"/>
      <c r="I1263" s="103"/>
      <c r="J1263" s="103"/>
      <c r="K1263" s="103"/>
      <c r="L1263" s="103"/>
      <c r="N1263" s="103"/>
      <c r="O1263" s="103"/>
      <c r="Q1263" s="16"/>
      <c r="R1263" s="16"/>
      <c r="S1263" s="16"/>
      <c r="T1263" s="103"/>
      <c r="U1263" s="16"/>
      <c r="V1263" s="16"/>
      <c r="W1263" s="16"/>
      <c r="X1263" s="103"/>
    </row>
    <row r="1264" spans="2:24" x14ac:dyDescent="0.25">
      <c r="B1264" s="103"/>
      <c r="C1264" s="103"/>
      <c r="D1264" s="103"/>
      <c r="E1264" s="103"/>
      <c r="F1264" s="103"/>
      <c r="H1264" s="103"/>
      <c r="I1264" s="103"/>
      <c r="J1264" s="103"/>
      <c r="K1264" s="103"/>
      <c r="L1264" s="103"/>
      <c r="N1264" s="103"/>
      <c r="O1264" s="103"/>
      <c r="Q1264" s="16"/>
      <c r="R1264" s="16"/>
      <c r="S1264" s="16"/>
      <c r="T1264" s="103"/>
      <c r="U1264" s="16"/>
      <c r="V1264" s="16"/>
      <c r="W1264" s="16"/>
      <c r="X1264" s="103"/>
    </row>
    <row r="1265" spans="2:24" x14ac:dyDescent="0.25">
      <c r="B1265" s="103"/>
      <c r="C1265" s="103"/>
      <c r="D1265" s="103"/>
      <c r="E1265" s="103"/>
      <c r="F1265" s="103"/>
      <c r="H1265" s="103"/>
      <c r="I1265" s="103"/>
      <c r="J1265" s="103"/>
      <c r="K1265" s="103"/>
      <c r="L1265" s="103"/>
      <c r="N1265" s="103"/>
      <c r="O1265" s="103"/>
      <c r="Q1265" s="16"/>
      <c r="R1265" s="16"/>
      <c r="S1265" s="16"/>
      <c r="T1265" s="103"/>
      <c r="U1265" s="16"/>
      <c r="V1265" s="16"/>
      <c r="W1265" s="16"/>
      <c r="X1265" s="103"/>
    </row>
    <row r="1266" spans="2:24" x14ac:dyDescent="0.25">
      <c r="B1266" s="103"/>
      <c r="C1266" s="103"/>
      <c r="D1266" s="103"/>
      <c r="E1266" s="103"/>
      <c r="F1266" s="103"/>
      <c r="H1266" s="103"/>
      <c r="I1266" s="103"/>
      <c r="J1266" s="103"/>
      <c r="K1266" s="103"/>
      <c r="L1266" s="103"/>
      <c r="N1266" s="103"/>
      <c r="O1266" s="103"/>
      <c r="Q1266" s="16"/>
      <c r="R1266" s="16"/>
      <c r="S1266" s="16"/>
      <c r="T1266" s="103"/>
      <c r="U1266" s="16"/>
      <c r="V1266" s="16"/>
      <c r="W1266" s="16"/>
      <c r="X1266" s="103"/>
    </row>
    <row r="1267" spans="2:24" x14ac:dyDescent="0.25">
      <c r="B1267" s="103"/>
      <c r="C1267" s="103"/>
      <c r="D1267" s="103"/>
      <c r="E1267" s="103"/>
      <c r="F1267" s="103"/>
      <c r="H1267" s="103"/>
      <c r="I1267" s="103"/>
      <c r="J1267" s="103"/>
      <c r="K1267" s="103"/>
      <c r="L1267" s="103"/>
      <c r="N1267" s="103"/>
      <c r="O1267" s="103"/>
      <c r="Q1267" s="16"/>
      <c r="R1267" s="16"/>
      <c r="S1267" s="16"/>
      <c r="T1267" s="103"/>
      <c r="U1267" s="16"/>
      <c r="V1267" s="16"/>
      <c r="W1267" s="16"/>
      <c r="X1267" s="103"/>
    </row>
    <row r="1268" spans="2:24" x14ac:dyDescent="0.25">
      <c r="B1268" s="103"/>
      <c r="C1268" s="103"/>
      <c r="D1268" s="103"/>
      <c r="E1268" s="103"/>
      <c r="F1268" s="103"/>
      <c r="H1268" s="103"/>
      <c r="I1268" s="103"/>
      <c r="J1268" s="103"/>
      <c r="K1268" s="103"/>
      <c r="L1268" s="103"/>
      <c r="N1268" s="103"/>
      <c r="O1268" s="103"/>
      <c r="Q1268" s="16"/>
      <c r="R1268" s="16"/>
      <c r="S1268" s="16"/>
      <c r="T1268" s="103"/>
      <c r="U1268" s="16"/>
      <c r="V1268" s="16"/>
      <c r="W1268" s="16"/>
      <c r="X1268" s="103"/>
    </row>
    <row r="1269" spans="2:24" x14ac:dyDescent="0.25">
      <c r="B1269" s="103"/>
      <c r="C1269" s="103"/>
      <c r="D1269" s="103"/>
      <c r="E1269" s="103"/>
      <c r="F1269" s="103"/>
      <c r="H1269" s="103"/>
      <c r="I1269" s="103"/>
      <c r="J1269" s="103"/>
      <c r="K1269" s="103"/>
      <c r="L1269" s="103"/>
      <c r="N1269" s="103"/>
      <c r="O1269" s="103"/>
      <c r="Q1269" s="16"/>
      <c r="R1269" s="16"/>
      <c r="S1269" s="16"/>
      <c r="T1269" s="103"/>
      <c r="U1269" s="16"/>
      <c r="V1269" s="16"/>
      <c r="W1269" s="16"/>
      <c r="X1269" s="103"/>
    </row>
    <row r="1270" spans="2:24" x14ac:dyDescent="0.25">
      <c r="B1270" s="103"/>
      <c r="C1270" s="103"/>
      <c r="D1270" s="103"/>
      <c r="E1270" s="103"/>
      <c r="F1270" s="103"/>
      <c r="H1270" s="103"/>
      <c r="I1270" s="103"/>
      <c r="J1270" s="103"/>
      <c r="K1270" s="103"/>
      <c r="L1270" s="103"/>
      <c r="N1270" s="103"/>
      <c r="O1270" s="103"/>
      <c r="Q1270" s="16"/>
      <c r="R1270" s="16"/>
      <c r="S1270" s="16"/>
      <c r="T1270" s="103"/>
      <c r="U1270" s="16"/>
      <c r="V1270" s="16"/>
      <c r="W1270" s="16"/>
      <c r="X1270" s="103"/>
    </row>
    <row r="1271" spans="2:24" x14ac:dyDescent="0.25">
      <c r="B1271" s="103"/>
      <c r="C1271" s="103"/>
      <c r="D1271" s="103"/>
      <c r="E1271" s="103"/>
      <c r="F1271" s="103"/>
      <c r="H1271" s="103"/>
      <c r="I1271" s="103"/>
      <c r="J1271" s="103"/>
      <c r="K1271" s="103"/>
      <c r="L1271" s="103"/>
      <c r="N1271" s="103"/>
      <c r="O1271" s="103"/>
      <c r="Q1271" s="16"/>
      <c r="R1271" s="16"/>
      <c r="S1271" s="16"/>
      <c r="T1271" s="103"/>
      <c r="U1271" s="16"/>
      <c r="V1271" s="16"/>
      <c r="W1271" s="16"/>
      <c r="X1271" s="103"/>
    </row>
    <row r="1272" spans="2:24" x14ac:dyDescent="0.25">
      <c r="B1272" s="103"/>
      <c r="C1272" s="103"/>
      <c r="D1272" s="103"/>
      <c r="E1272" s="103"/>
      <c r="F1272" s="103"/>
      <c r="H1272" s="103"/>
      <c r="I1272" s="103"/>
      <c r="J1272" s="103"/>
      <c r="K1272" s="103"/>
      <c r="L1272" s="103"/>
      <c r="N1272" s="103"/>
      <c r="O1272" s="103"/>
      <c r="Q1272" s="16"/>
      <c r="R1272" s="16"/>
      <c r="S1272" s="16"/>
      <c r="T1272" s="103"/>
      <c r="U1272" s="16"/>
      <c r="V1272" s="16"/>
      <c r="W1272" s="16"/>
      <c r="X1272" s="103"/>
    </row>
    <row r="1273" spans="2:24" x14ac:dyDescent="0.25">
      <c r="B1273" s="103"/>
      <c r="C1273" s="103"/>
      <c r="D1273" s="103"/>
      <c r="E1273" s="103"/>
      <c r="F1273" s="103"/>
      <c r="H1273" s="103"/>
      <c r="I1273" s="103"/>
      <c r="J1273" s="103"/>
      <c r="K1273" s="103"/>
      <c r="L1273" s="103"/>
      <c r="N1273" s="103"/>
      <c r="O1273" s="103"/>
      <c r="Q1273" s="16"/>
      <c r="R1273" s="16"/>
      <c r="S1273" s="16"/>
      <c r="T1273" s="103"/>
      <c r="U1273" s="16"/>
      <c r="V1273" s="16"/>
      <c r="W1273" s="16"/>
      <c r="X1273" s="103"/>
    </row>
    <row r="1274" spans="2:24" x14ac:dyDescent="0.25">
      <c r="B1274" s="103"/>
      <c r="C1274" s="103"/>
      <c r="D1274" s="103"/>
      <c r="E1274" s="103"/>
      <c r="F1274" s="103"/>
      <c r="H1274" s="103"/>
      <c r="I1274" s="103"/>
      <c r="J1274" s="103"/>
      <c r="K1274" s="103"/>
      <c r="L1274" s="103"/>
      <c r="N1274" s="103"/>
      <c r="O1274" s="103"/>
      <c r="Q1274" s="16"/>
      <c r="R1274" s="16"/>
      <c r="S1274" s="16"/>
      <c r="T1274" s="103"/>
      <c r="U1274" s="16"/>
      <c r="V1274" s="16"/>
      <c r="W1274" s="16"/>
      <c r="X1274" s="103"/>
    </row>
    <row r="1275" spans="2:24" x14ac:dyDescent="0.25">
      <c r="B1275" s="103"/>
      <c r="C1275" s="103"/>
      <c r="D1275" s="103"/>
      <c r="E1275" s="103"/>
      <c r="F1275" s="103"/>
      <c r="H1275" s="103"/>
      <c r="I1275" s="103"/>
      <c r="J1275" s="103"/>
      <c r="K1275" s="103"/>
      <c r="L1275" s="103"/>
      <c r="N1275" s="103"/>
      <c r="O1275" s="103"/>
      <c r="Q1275" s="16"/>
      <c r="R1275" s="16"/>
      <c r="S1275" s="16"/>
      <c r="T1275" s="103"/>
      <c r="U1275" s="16"/>
      <c r="V1275" s="16"/>
      <c r="W1275" s="16"/>
      <c r="X1275" s="103"/>
    </row>
    <row r="1276" spans="2:24" x14ac:dyDescent="0.25">
      <c r="B1276" s="103"/>
      <c r="C1276" s="103"/>
      <c r="D1276" s="103"/>
      <c r="E1276" s="103"/>
      <c r="F1276" s="103"/>
      <c r="H1276" s="103"/>
      <c r="I1276" s="103"/>
      <c r="J1276" s="103"/>
      <c r="K1276" s="103"/>
      <c r="L1276" s="103"/>
      <c r="N1276" s="103"/>
      <c r="O1276" s="103"/>
      <c r="Q1276" s="16"/>
      <c r="R1276" s="16"/>
      <c r="S1276" s="16"/>
      <c r="T1276" s="103"/>
      <c r="U1276" s="16"/>
      <c r="V1276" s="16"/>
      <c r="W1276" s="16"/>
      <c r="X1276" s="103"/>
    </row>
    <row r="1277" spans="2:24" x14ac:dyDescent="0.25">
      <c r="B1277" s="103"/>
      <c r="C1277" s="103"/>
      <c r="D1277" s="103"/>
      <c r="E1277" s="103"/>
      <c r="F1277" s="103"/>
      <c r="H1277" s="103"/>
      <c r="I1277" s="103"/>
      <c r="J1277" s="103"/>
      <c r="K1277" s="103"/>
      <c r="L1277" s="103"/>
      <c r="N1277" s="103"/>
      <c r="O1277" s="103"/>
      <c r="Q1277" s="16"/>
      <c r="R1277" s="16"/>
      <c r="S1277" s="16"/>
      <c r="T1277" s="103"/>
      <c r="U1277" s="16"/>
      <c r="V1277" s="16"/>
      <c r="W1277" s="16"/>
      <c r="X1277" s="103"/>
    </row>
    <row r="1278" spans="2:24" x14ac:dyDescent="0.25">
      <c r="B1278" s="103"/>
      <c r="C1278" s="103"/>
      <c r="D1278" s="103"/>
      <c r="E1278" s="103"/>
      <c r="F1278" s="103"/>
      <c r="H1278" s="103"/>
      <c r="I1278" s="103"/>
      <c r="J1278" s="103"/>
      <c r="K1278" s="103"/>
      <c r="L1278" s="103"/>
      <c r="N1278" s="103"/>
      <c r="O1278" s="103"/>
      <c r="Q1278" s="16"/>
      <c r="R1278" s="16"/>
      <c r="S1278" s="16"/>
      <c r="T1278" s="103"/>
      <c r="U1278" s="16"/>
      <c r="V1278" s="16"/>
      <c r="W1278" s="16"/>
      <c r="X1278" s="103"/>
    </row>
    <row r="1279" spans="2:24" x14ac:dyDescent="0.25">
      <c r="B1279" s="103"/>
      <c r="C1279" s="103"/>
      <c r="D1279" s="103"/>
      <c r="E1279" s="103"/>
      <c r="F1279" s="103"/>
      <c r="H1279" s="103"/>
      <c r="I1279" s="103"/>
      <c r="J1279" s="103"/>
      <c r="K1279" s="103"/>
      <c r="L1279" s="103"/>
      <c r="N1279" s="103"/>
      <c r="O1279" s="103"/>
      <c r="Q1279" s="16"/>
      <c r="R1279" s="16"/>
      <c r="S1279" s="16"/>
      <c r="T1279" s="103"/>
      <c r="U1279" s="16"/>
      <c r="V1279" s="16"/>
      <c r="W1279" s="16"/>
      <c r="X1279" s="103"/>
    </row>
    <row r="1280" spans="2:24" x14ac:dyDescent="0.25">
      <c r="B1280" s="103"/>
      <c r="C1280" s="103"/>
      <c r="D1280" s="103"/>
      <c r="E1280" s="103"/>
      <c r="F1280" s="103"/>
      <c r="H1280" s="103"/>
      <c r="I1280" s="103"/>
      <c r="J1280" s="103"/>
      <c r="K1280" s="103"/>
      <c r="L1280" s="103"/>
      <c r="N1280" s="103"/>
      <c r="O1280" s="103"/>
      <c r="Q1280" s="16"/>
      <c r="R1280" s="16"/>
      <c r="S1280" s="16"/>
      <c r="T1280" s="103"/>
      <c r="U1280" s="16"/>
      <c r="V1280" s="16"/>
      <c r="W1280" s="16"/>
      <c r="X1280" s="103"/>
    </row>
    <row r="1281" spans="2:24" x14ac:dyDescent="0.25">
      <c r="B1281" s="103"/>
      <c r="C1281" s="103"/>
      <c r="D1281" s="103"/>
      <c r="E1281" s="103"/>
      <c r="F1281" s="103"/>
      <c r="H1281" s="103"/>
      <c r="I1281" s="103"/>
      <c r="J1281" s="103"/>
      <c r="K1281" s="103"/>
      <c r="L1281" s="103"/>
      <c r="N1281" s="103"/>
      <c r="O1281" s="103"/>
      <c r="Q1281" s="16"/>
      <c r="R1281" s="16"/>
      <c r="S1281" s="16"/>
      <c r="T1281" s="103"/>
      <c r="U1281" s="16"/>
      <c r="V1281" s="16"/>
      <c r="W1281" s="16"/>
      <c r="X1281" s="103"/>
    </row>
    <row r="1282" spans="2:24" x14ac:dyDescent="0.25">
      <c r="B1282" s="103"/>
      <c r="C1282" s="103"/>
      <c r="D1282" s="103"/>
      <c r="E1282" s="103"/>
      <c r="F1282" s="103"/>
      <c r="H1282" s="103"/>
      <c r="I1282" s="103"/>
      <c r="J1282" s="103"/>
      <c r="K1282" s="103"/>
      <c r="L1282" s="103"/>
      <c r="N1282" s="103"/>
      <c r="O1282" s="103"/>
      <c r="Q1282" s="16"/>
      <c r="R1282" s="16"/>
      <c r="S1282" s="16"/>
      <c r="T1282" s="103"/>
      <c r="U1282" s="16"/>
      <c r="V1282" s="16"/>
      <c r="W1282" s="16"/>
      <c r="X1282" s="103"/>
    </row>
    <row r="1283" spans="2:24" x14ac:dyDescent="0.25">
      <c r="B1283" s="103"/>
      <c r="C1283" s="103"/>
      <c r="D1283" s="103"/>
      <c r="E1283" s="103"/>
      <c r="F1283" s="103"/>
      <c r="H1283" s="103"/>
      <c r="I1283" s="103"/>
      <c r="J1283" s="103"/>
      <c r="K1283" s="103"/>
      <c r="L1283" s="103"/>
      <c r="N1283" s="103"/>
      <c r="O1283" s="103"/>
      <c r="Q1283" s="16"/>
      <c r="R1283" s="16"/>
      <c r="S1283" s="16"/>
      <c r="T1283" s="103"/>
      <c r="U1283" s="16"/>
      <c r="V1283" s="16"/>
      <c r="W1283" s="16"/>
      <c r="X1283" s="103"/>
    </row>
    <row r="1284" spans="2:24" x14ac:dyDescent="0.25">
      <c r="B1284" s="103"/>
      <c r="C1284" s="103"/>
      <c r="D1284" s="103"/>
      <c r="E1284" s="103"/>
      <c r="F1284" s="103"/>
      <c r="H1284" s="103"/>
      <c r="I1284" s="103"/>
      <c r="J1284" s="103"/>
      <c r="K1284" s="103"/>
      <c r="L1284" s="103"/>
      <c r="N1284" s="103"/>
      <c r="O1284" s="103"/>
      <c r="Q1284" s="16"/>
      <c r="R1284" s="16"/>
      <c r="S1284" s="16"/>
      <c r="T1284" s="103"/>
      <c r="U1284" s="16"/>
      <c r="V1284" s="16"/>
      <c r="W1284" s="16"/>
      <c r="X1284" s="103"/>
    </row>
    <row r="1285" spans="2:24" x14ac:dyDescent="0.25">
      <c r="B1285" s="103"/>
      <c r="C1285" s="103"/>
      <c r="D1285" s="103"/>
      <c r="E1285" s="103"/>
      <c r="F1285" s="103"/>
      <c r="H1285" s="103"/>
      <c r="I1285" s="103"/>
      <c r="J1285" s="103"/>
      <c r="K1285" s="103"/>
      <c r="L1285" s="103"/>
      <c r="N1285" s="103"/>
      <c r="O1285" s="103"/>
      <c r="Q1285" s="16"/>
      <c r="R1285" s="16"/>
      <c r="S1285" s="16"/>
      <c r="T1285" s="103"/>
      <c r="U1285" s="16"/>
      <c r="V1285" s="16"/>
      <c r="W1285" s="16"/>
      <c r="X1285" s="103"/>
    </row>
    <row r="1286" spans="2:24" x14ac:dyDescent="0.25">
      <c r="B1286" s="103"/>
      <c r="C1286" s="103"/>
      <c r="D1286" s="103"/>
      <c r="E1286" s="103"/>
      <c r="F1286" s="103"/>
      <c r="H1286" s="103"/>
      <c r="I1286" s="103"/>
      <c r="J1286" s="103"/>
      <c r="K1286" s="103"/>
      <c r="L1286" s="103"/>
      <c r="N1286" s="103"/>
      <c r="O1286" s="103"/>
      <c r="Q1286" s="16"/>
      <c r="R1286" s="16"/>
      <c r="S1286" s="16"/>
      <c r="T1286" s="103"/>
      <c r="U1286" s="16"/>
      <c r="V1286" s="16"/>
      <c r="W1286" s="16"/>
      <c r="X1286" s="103"/>
    </row>
    <row r="1287" spans="2:24" x14ac:dyDescent="0.25">
      <c r="B1287" s="103"/>
      <c r="C1287" s="103"/>
      <c r="D1287" s="103"/>
      <c r="E1287" s="103"/>
      <c r="F1287" s="103"/>
      <c r="H1287" s="103"/>
      <c r="I1287" s="103"/>
      <c r="J1287" s="103"/>
      <c r="K1287" s="103"/>
      <c r="L1287" s="103"/>
      <c r="N1287" s="103"/>
      <c r="O1287" s="103"/>
      <c r="Q1287" s="16"/>
      <c r="R1287" s="16"/>
      <c r="S1287" s="16"/>
      <c r="T1287" s="103"/>
      <c r="U1287" s="16"/>
      <c r="V1287" s="16"/>
      <c r="W1287" s="16"/>
      <c r="X1287" s="103"/>
    </row>
    <row r="1288" spans="2:24" x14ac:dyDescent="0.25">
      <c r="B1288" s="103"/>
      <c r="C1288" s="103"/>
      <c r="D1288" s="103"/>
      <c r="E1288" s="103"/>
      <c r="F1288" s="103"/>
      <c r="H1288" s="103"/>
      <c r="I1288" s="103"/>
      <c r="J1288" s="103"/>
      <c r="K1288" s="103"/>
      <c r="L1288" s="103"/>
      <c r="N1288" s="103"/>
      <c r="O1288" s="103"/>
      <c r="Q1288" s="16"/>
      <c r="R1288" s="16"/>
      <c r="S1288" s="16"/>
      <c r="T1288" s="103"/>
      <c r="U1288" s="16"/>
      <c r="V1288" s="16"/>
      <c r="W1288" s="16"/>
      <c r="X1288" s="103"/>
    </row>
    <row r="1289" spans="2:24" x14ac:dyDescent="0.25">
      <c r="B1289" s="103"/>
      <c r="C1289" s="103"/>
      <c r="D1289" s="103"/>
      <c r="E1289" s="103"/>
      <c r="F1289" s="103"/>
      <c r="H1289" s="103"/>
      <c r="I1289" s="103"/>
      <c r="J1289" s="103"/>
      <c r="K1289" s="103"/>
      <c r="L1289" s="103"/>
      <c r="N1289" s="103"/>
      <c r="O1289" s="103"/>
      <c r="Q1289" s="16"/>
      <c r="R1289" s="16"/>
      <c r="S1289" s="16"/>
      <c r="T1289" s="103"/>
      <c r="U1289" s="16"/>
      <c r="V1289" s="16"/>
      <c r="W1289" s="16"/>
      <c r="X1289" s="103"/>
    </row>
    <row r="1290" spans="2:24" x14ac:dyDescent="0.25">
      <c r="B1290" s="103"/>
      <c r="C1290" s="103"/>
      <c r="D1290" s="103"/>
      <c r="E1290" s="103"/>
      <c r="F1290" s="103"/>
      <c r="H1290" s="103"/>
      <c r="I1290" s="103"/>
      <c r="J1290" s="103"/>
      <c r="K1290" s="103"/>
      <c r="L1290" s="103"/>
      <c r="N1290" s="103"/>
      <c r="O1290" s="103"/>
      <c r="Q1290" s="16"/>
      <c r="R1290" s="16"/>
      <c r="S1290" s="16"/>
      <c r="T1290" s="103"/>
      <c r="U1290" s="16"/>
      <c r="V1290" s="16"/>
      <c r="W1290" s="16"/>
      <c r="X1290" s="103"/>
    </row>
    <row r="1291" spans="2:24" x14ac:dyDescent="0.25">
      <c r="B1291" s="103"/>
      <c r="C1291" s="103"/>
      <c r="D1291" s="103"/>
      <c r="E1291" s="103"/>
      <c r="F1291" s="103"/>
      <c r="H1291" s="103"/>
      <c r="I1291" s="103"/>
      <c r="J1291" s="103"/>
      <c r="K1291" s="103"/>
      <c r="L1291" s="103"/>
      <c r="N1291" s="103"/>
      <c r="O1291" s="103"/>
      <c r="Q1291" s="16"/>
      <c r="R1291" s="16"/>
      <c r="S1291" s="16"/>
      <c r="T1291" s="103"/>
      <c r="U1291" s="16"/>
      <c r="V1291" s="16"/>
      <c r="W1291" s="16"/>
      <c r="X1291" s="103"/>
    </row>
    <row r="1292" spans="2:24" x14ac:dyDescent="0.25">
      <c r="B1292" s="103"/>
      <c r="C1292" s="103"/>
      <c r="D1292" s="103"/>
      <c r="E1292" s="103"/>
      <c r="F1292" s="103"/>
      <c r="H1292" s="103"/>
      <c r="I1292" s="103"/>
      <c r="J1292" s="103"/>
      <c r="K1292" s="103"/>
      <c r="L1292" s="103"/>
      <c r="N1292" s="103"/>
      <c r="O1292" s="103"/>
      <c r="Q1292" s="16"/>
      <c r="R1292" s="16"/>
      <c r="S1292" s="16"/>
      <c r="T1292" s="103"/>
      <c r="U1292" s="16"/>
      <c r="V1292" s="16"/>
      <c r="W1292" s="16"/>
      <c r="X1292" s="103"/>
    </row>
    <row r="1293" spans="2:24" x14ac:dyDescent="0.25">
      <c r="B1293" s="103"/>
      <c r="C1293" s="103"/>
      <c r="D1293" s="103"/>
      <c r="E1293" s="103"/>
      <c r="F1293" s="103"/>
      <c r="H1293" s="103"/>
      <c r="I1293" s="103"/>
      <c r="J1293" s="103"/>
      <c r="K1293" s="103"/>
      <c r="L1293" s="103"/>
      <c r="N1293" s="103"/>
      <c r="O1293" s="103"/>
      <c r="Q1293" s="16"/>
      <c r="R1293" s="16"/>
      <c r="S1293" s="16"/>
      <c r="T1293" s="103"/>
      <c r="U1293" s="16"/>
      <c r="V1293" s="16"/>
      <c r="W1293" s="16"/>
      <c r="X1293" s="103"/>
    </row>
    <row r="1294" spans="2:24" x14ac:dyDescent="0.25">
      <c r="B1294" s="103"/>
      <c r="C1294" s="103"/>
      <c r="D1294" s="103"/>
      <c r="E1294" s="103"/>
      <c r="F1294" s="103"/>
      <c r="H1294" s="103"/>
      <c r="I1294" s="103"/>
      <c r="J1294" s="103"/>
      <c r="K1294" s="103"/>
      <c r="L1294" s="103"/>
      <c r="N1294" s="103"/>
      <c r="O1294" s="103"/>
      <c r="Q1294" s="16"/>
      <c r="R1294" s="16"/>
      <c r="S1294" s="16"/>
      <c r="T1294" s="103"/>
      <c r="U1294" s="16"/>
      <c r="V1294" s="16"/>
      <c r="W1294" s="16"/>
      <c r="X1294" s="103"/>
    </row>
    <row r="1295" spans="2:24" x14ac:dyDescent="0.25">
      <c r="B1295" s="103"/>
      <c r="C1295" s="103"/>
      <c r="D1295" s="103"/>
      <c r="E1295" s="103"/>
      <c r="F1295" s="103"/>
      <c r="H1295" s="103"/>
      <c r="I1295" s="103"/>
      <c r="J1295" s="103"/>
      <c r="K1295" s="103"/>
      <c r="L1295" s="103"/>
      <c r="N1295" s="103"/>
      <c r="O1295" s="103"/>
      <c r="Q1295" s="16"/>
      <c r="R1295" s="16"/>
      <c r="S1295" s="16"/>
      <c r="T1295" s="103"/>
      <c r="U1295" s="16"/>
      <c r="V1295" s="16"/>
      <c r="W1295" s="16"/>
      <c r="X1295" s="103"/>
    </row>
    <row r="1296" spans="2:24" x14ac:dyDescent="0.25">
      <c r="B1296" s="103"/>
      <c r="C1296" s="103"/>
      <c r="D1296" s="103"/>
      <c r="E1296" s="103"/>
      <c r="F1296" s="103"/>
      <c r="H1296" s="103"/>
      <c r="I1296" s="103"/>
      <c r="J1296" s="103"/>
      <c r="K1296" s="103"/>
      <c r="L1296" s="103"/>
      <c r="N1296" s="103"/>
      <c r="O1296" s="103"/>
      <c r="Q1296" s="16"/>
      <c r="R1296" s="16"/>
      <c r="S1296" s="16"/>
      <c r="T1296" s="103"/>
      <c r="U1296" s="16"/>
      <c r="V1296" s="16"/>
      <c r="W1296" s="16"/>
      <c r="X1296" s="103"/>
    </row>
    <row r="1297" spans="2:24" x14ac:dyDescent="0.25">
      <c r="B1297" s="103"/>
      <c r="C1297" s="103"/>
      <c r="D1297" s="103"/>
      <c r="E1297" s="103"/>
      <c r="F1297" s="103"/>
      <c r="H1297" s="103"/>
      <c r="I1297" s="103"/>
      <c r="J1297" s="103"/>
      <c r="K1297" s="103"/>
      <c r="L1297" s="103"/>
      <c r="N1297" s="103"/>
      <c r="O1297" s="103"/>
      <c r="Q1297" s="16"/>
      <c r="R1297" s="16"/>
      <c r="S1297" s="16"/>
      <c r="T1297" s="103"/>
      <c r="U1297" s="16"/>
      <c r="V1297" s="16"/>
      <c r="W1297" s="16"/>
      <c r="X1297" s="103"/>
    </row>
    <row r="1298" spans="2:24" x14ac:dyDescent="0.25">
      <c r="B1298" s="103"/>
      <c r="C1298" s="103"/>
      <c r="D1298" s="103"/>
      <c r="E1298" s="103"/>
      <c r="F1298" s="103"/>
      <c r="H1298" s="103"/>
      <c r="I1298" s="103"/>
      <c r="J1298" s="103"/>
      <c r="K1298" s="103"/>
      <c r="L1298" s="103"/>
      <c r="N1298" s="103"/>
      <c r="O1298" s="103"/>
      <c r="Q1298" s="16"/>
      <c r="R1298" s="16"/>
      <c r="S1298" s="16"/>
      <c r="T1298" s="103"/>
      <c r="U1298" s="16"/>
      <c r="V1298" s="16"/>
      <c r="W1298" s="16"/>
      <c r="X1298" s="103"/>
    </row>
    <row r="1299" spans="2:24" x14ac:dyDescent="0.25">
      <c r="B1299" s="103"/>
      <c r="C1299" s="103"/>
      <c r="D1299" s="103"/>
      <c r="E1299" s="103"/>
      <c r="F1299" s="103"/>
      <c r="H1299" s="103"/>
      <c r="I1299" s="103"/>
      <c r="J1299" s="103"/>
      <c r="K1299" s="103"/>
      <c r="L1299" s="103"/>
      <c r="N1299" s="103"/>
      <c r="O1299" s="103"/>
      <c r="Q1299" s="16"/>
      <c r="R1299" s="16"/>
      <c r="S1299" s="16"/>
      <c r="T1299" s="103"/>
      <c r="U1299" s="16"/>
      <c r="V1299" s="16"/>
      <c r="W1299" s="16"/>
      <c r="X1299" s="103"/>
    </row>
    <row r="1300" spans="2:24" x14ac:dyDescent="0.25">
      <c r="B1300" s="103"/>
      <c r="C1300" s="103"/>
      <c r="D1300" s="103"/>
      <c r="E1300" s="103"/>
      <c r="F1300" s="103"/>
      <c r="H1300" s="103"/>
      <c r="I1300" s="103"/>
      <c r="J1300" s="103"/>
      <c r="K1300" s="103"/>
      <c r="L1300" s="103"/>
      <c r="N1300" s="103"/>
      <c r="O1300" s="103"/>
      <c r="Q1300" s="16"/>
      <c r="R1300" s="16"/>
      <c r="S1300" s="16"/>
      <c r="T1300" s="103"/>
      <c r="U1300" s="16"/>
      <c r="V1300" s="16"/>
      <c r="W1300" s="16"/>
      <c r="X1300" s="103"/>
    </row>
    <row r="1301" spans="2:24" x14ac:dyDescent="0.25">
      <c r="B1301" s="103"/>
      <c r="C1301" s="103"/>
      <c r="D1301" s="103"/>
      <c r="E1301" s="103"/>
      <c r="F1301" s="103"/>
      <c r="H1301" s="103"/>
      <c r="I1301" s="103"/>
      <c r="J1301" s="103"/>
      <c r="K1301" s="103"/>
      <c r="L1301" s="103"/>
      <c r="N1301" s="103"/>
      <c r="O1301" s="103"/>
      <c r="Q1301" s="16"/>
      <c r="R1301" s="16"/>
      <c r="S1301" s="16"/>
      <c r="T1301" s="103"/>
      <c r="U1301" s="16"/>
      <c r="V1301" s="16"/>
      <c r="W1301" s="16"/>
      <c r="X1301" s="103"/>
    </row>
    <row r="1302" spans="2:24" x14ac:dyDescent="0.25">
      <c r="B1302" s="103"/>
      <c r="C1302" s="103"/>
      <c r="D1302" s="103"/>
      <c r="E1302" s="103"/>
      <c r="F1302" s="103"/>
      <c r="H1302" s="103"/>
      <c r="I1302" s="103"/>
      <c r="J1302" s="103"/>
      <c r="K1302" s="103"/>
      <c r="L1302" s="103"/>
      <c r="N1302" s="103"/>
      <c r="O1302" s="103"/>
      <c r="Q1302" s="16"/>
      <c r="R1302" s="16"/>
      <c r="S1302" s="16"/>
      <c r="T1302" s="103"/>
      <c r="U1302" s="16"/>
      <c r="V1302" s="16"/>
      <c r="W1302" s="16"/>
      <c r="X1302" s="103"/>
    </row>
    <row r="1303" spans="2:24" x14ac:dyDescent="0.25">
      <c r="B1303" s="103"/>
      <c r="C1303" s="103"/>
      <c r="D1303" s="103"/>
      <c r="E1303" s="103"/>
      <c r="F1303" s="103"/>
      <c r="H1303" s="103"/>
      <c r="I1303" s="103"/>
      <c r="J1303" s="103"/>
      <c r="K1303" s="103"/>
      <c r="L1303" s="103"/>
      <c r="N1303" s="103"/>
      <c r="O1303" s="103"/>
      <c r="Q1303" s="16"/>
      <c r="R1303" s="16"/>
      <c r="S1303" s="16"/>
      <c r="T1303" s="103"/>
      <c r="U1303" s="16"/>
      <c r="V1303" s="16"/>
      <c r="W1303" s="16"/>
      <c r="X1303" s="103"/>
    </row>
    <row r="1304" spans="2:24" x14ac:dyDescent="0.25">
      <c r="B1304" s="103"/>
      <c r="C1304" s="103"/>
      <c r="D1304" s="103"/>
      <c r="E1304" s="103"/>
      <c r="F1304" s="103"/>
      <c r="H1304" s="103"/>
      <c r="I1304" s="103"/>
      <c r="J1304" s="103"/>
      <c r="K1304" s="103"/>
      <c r="L1304" s="103"/>
      <c r="N1304" s="103"/>
      <c r="O1304" s="103"/>
      <c r="Q1304" s="16"/>
      <c r="R1304" s="16"/>
      <c r="S1304" s="16"/>
      <c r="T1304" s="103"/>
      <c r="U1304" s="16"/>
      <c r="V1304" s="16"/>
      <c r="W1304" s="16"/>
      <c r="X1304" s="103"/>
    </row>
    <row r="1305" spans="2:24" x14ac:dyDescent="0.25">
      <c r="B1305" s="103"/>
      <c r="C1305" s="103"/>
      <c r="D1305" s="103"/>
      <c r="E1305" s="103"/>
      <c r="F1305" s="103"/>
      <c r="H1305" s="103"/>
      <c r="I1305" s="103"/>
      <c r="J1305" s="103"/>
      <c r="K1305" s="103"/>
      <c r="L1305" s="103"/>
      <c r="N1305" s="103"/>
      <c r="O1305" s="103"/>
      <c r="Q1305" s="16"/>
      <c r="R1305" s="16"/>
      <c r="S1305" s="16"/>
      <c r="T1305" s="103"/>
      <c r="U1305" s="16"/>
      <c r="V1305" s="16"/>
      <c r="W1305" s="16"/>
      <c r="X1305" s="103"/>
    </row>
    <row r="1306" spans="2:24" x14ac:dyDescent="0.25">
      <c r="B1306" s="103"/>
      <c r="C1306" s="103"/>
      <c r="D1306" s="103"/>
      <c r="E1306" s="103"/>
      <c r="F1306" s="103"/>
      <c r="H1306" s="103"/>
      <c r="I1306" s="103"/>
      <c r="J1306" s="103"/>
      <c r="K1306" s="103"/>
      <c r="L1306" s="103"/>
      <c r="N1306" s="103"/>
      <c r="O1306" s="103"/>
      <c r="Q1306" s="16"/>
      <c r="R1306" s="16"/>
      <c r="S1306" s="16"/>
      <c r="T1306" s="103"/>
      <c r="U1306" s="16"/>
      <c r="V1306" s="16"/>
      <c r="W1306" s="16"/>
      <c r="X1306" s="103"/>
    </row>
    <row r="1307" spans="2:24" x14ac:dyDescent="0.25">
      <c r="B1307" s="103"/>
      <c r="C1307" s="103"/>
      <c r="D1307" s="103"/>
      <c r="E1307" s="103"/>
      <c r="F1307" s="103"/>
      <c r="H1307" s="103"/>
      <c r="I1307" s="103"/>
      <c r="J1307" s="103"/>
      <c r="K1307" s="103"/>
      <c r="L1307" s="103"/>
      <c r="N1307" s="103"/>
      <c r="O1307" s="103"/>
      <c r="Q1307" s="16"/>
      <c r="R1307" s="16"/>
      <c r="S1307" s="16"/>
      <c r="T1307" s="103"/>
      <c r="U1307" s="16"/>
      <c r="V1307" s="16"/>
      <c r="W1307" s="16"/>
      <c r="X1307" s="103"/>
    </row>
    <row r="1308" spans="2:24" x14ac:dyDescent="0.25">
      <c r="B1308" s="103"/>
      <c r="C1308" s="103"/>
      <c r="D1308" s="103"/>
      <c r="E1308" s="103"/>
      <c r="F1308" s="103"/>
      <c r="H1308" s="103"/>
      <c r="I1308" s="103"/>
      <c r="J1308" s="103"/>
      <c r="K1308" s="103"/>
      <c r="L1308" s="103"/>
      <c r="N1308" s="103"/>
      <c r="O1308" s="103"/>
      <c r="Q1308" s="16"/>
      <c r="R1308" s="16"/>
      <c r="S1308" s="16"/>
      <c r="T1308" s="103"/>
      <c r="U1308" s="16"/>
      <c r="V1308" s="16"/>
      <c r="W1308" s="16"/>
      <c r="X1308" s="103"/>
    </row>
    <row r="1309" spans="2:24" x14ac:dyDescent="0.25">
      <c r="B1309" s="103"/>
      <c r="C1309" s="103"/>
      <c r="D1309" s="103"/>
      <c r="E1309" s="103"/>
      <c r="F1309" s="103"/>
      <c r="H1309" s="103"/>
      <c r="I1309" s="103"/>
      <c r="J1309" s="103"/>
      <c r="K1309" s="103"/>
      <c r="L1309" s="103"/>
      <c r="N1309" s="103"/>
      <c r="O1309" s="103"/>
      <c r="Q1309" s="16"/>
      <c r="R1309" s="16"/>
      <c r="S1309" s="16"/>
      <c r="T1309" s="103"/>
      <c r="U1309" s="16"/>
      <c r="V1309" s="16"/>
      <c r="W1309" s="16"/>
      <c r="X1309" s="103"/>
    </row>
    <row r="1310" spans="2:24" x14ac:dyDescent="0.25">
      <c r="B1310" s="103"/>
      <c r="C1310" s="103"/>
      <c r="D1310" s="103"/>
      <c r="E1310" s="103"/>
      <c r="F1310" s="103"/>
      <c r="H1310" s="103"/>
      <c r="I1310" s="103"/>
      <c r="J1310" s="103"/>
      <c r="K1310" s="103"/>
      <c r="L1310" s="103"/>
      <c r="N1310" s="103"/>
      <c r="O1310" s="103"/>
      <c r="Q1310" s="16"/>
      <c r="R1310" s="16"/>
      <c r="S1310" s="16"/>
      <c r="T1310" s="103"/>
      <c r="U1310" s="16"/>
      <c r="V1310" s="16"/>
      <c r="W1310" s="16"/>
      <c r="X1310" s="103"/>
    </row>
    <row r="1311" spans="2:24" x14ac:dyDescent="0.25">
      <c r="B1311" s="103"/>
      <c r="C1311" s="103"/>
      <c r="D1311" s="103"/>
      <c r="E1311" s="103"/>
      <c r="F1311" s="103"/>
      <c r="H1311" s="103"/>
      <c r="I1311" s="103"/>
      <c r="J1311" s="103"/>
      <c r="K1311" s="103"/>
      <c r="L1311" s="103"/>
      <c r="N1311" s="103"/>
      <c r="O1311" s="103"/>
      <c r="Q1311" s="16"/>
      <c r="R1311" s="16"/>
      <c r="S1311" s="16"/>
      <c r="T1311" s="103"/>
      <c r="U1311" s="16"/>
      <c r="V1311" s="16"/>
      <c r="W1311" s="16"/>
      <c r="X1311" s="103"/>
    </row>
    <row r="1312" spans="2:24" x14ac:dyDescent="0.25">
      <c r="B1312" s="103"/>
      <c r="C1312" s="103"/>
      <c r="D1312" s="103"/>
      <c r="E1312" s="103"/>
      <c r="F1312" s="103"/>
      <c r="H1312" s="103"/>
      <c r="I1312" s="103"/>
      <c r="J1312" s="103"/>
      <c r="K1312" s="103"/>
      <c r="L1312" s="103"/>
      <c r="N1312" s="103"/>
      <c r="O1312" s="103"/>
      <c r="Q1312" s="16"/>
      <c r="R1312" s="16"/>
      <c r="S1312" s="16"/>
      <c r="T1312" s="103"/>
      <c r="U1312" s="16"/>
      <c r="V1312" s="16"/>
      <c r="W1312" s="16"/>
      <c r="X1312" s="103"/>
    </row>
    <row r="1313" spans="2:24" x14ac:dyDescent="0.25">
      <c r="B1313" s="103"/>
      <c r="C1313" s="103"/>
      <c r="D1313" s="103"/>
      <c r="E1313" s="103"/>
      <c r="F1313" s="103"/>
      <c r="H1313" s="103"/>
      <c r="I1313" s="103"/>
      <c r="J1313" s="103"/>
      <c r="K1313" s="103"/>
      <c r="L1313" s="103"/>
      <c r="N1313" s="103"/>
      <c r="O1313" s="103"/>
      <c r="Q1313" s="16"/>
      <c r="R1313" s="16"/>
      <c r="S1313" s="16"/>
      <c r="T1313" s="103"/>
      <c r="U1313" s="16"/>
      <c r="V1313" s="16"/>
      <c r="W1313" s="16"/>
      <c r="X1313" s="103"/>
    </row>
    <row r="1314" spans="2:24" x14ac:dyDescent="0.25">
      <c r="B1314" s="103"/>
      <c r="C1314" s="103"/>
      <c r="D1314" s="103"/>
      <c r="E1314" s="103"/>
      <c r="F1314" s="103"/>
      <c r="H1314" s="103"/>
      <c r="I1314" s="103"/>
      <c r="J1314" s="103"/>
      <c r="K1314" s="103"/>
      <c r="L1314" s="103"/>
      <c r="N1314" s="103"/>
      <c r="O1314" s="103"/>
      <c r="Q1314" s="16"/>
      <c r="R1314" s="16"/>
      <c r="S1314" s="16"/>
      <c r="T1314" s="103"/>
      <c r="U1314" s="16"/>
      <c r="V1314" s="16"/>
      <c r="W1314" s="16"/>
      <c r="X1314" s="103"/>
    </row>
    <row r="1315" spans="2:24" x14ac:dyDescent="0.25">
      <c r="B1315" s="103"/>
      <c r="C1315" s="103"/>
      <c r="D1315" s="103"/>
      <c r="E1315" s="103"/>
      <c r="F1315" s="103"/>
      <c r="H1315" s="103"/>
      <c r="I1315" s="103"/>
      <c r="J1315" s="103"/>
      <c r="K1315" s="103"/>
      <c r="L1315" s="103"/>
      <c r="N1315" s="103"/>
      <c r="O1315" s="103"/>
      <c r="Q1315" s="16"/>
      <c r="R1315" s="16"/>
      <c r="S1315" s="16"/>
      <c r="T1315" s="103"/>
      <c r="U1315" s="16"/>
      <c r="V1315" s="16"/>
      <c r="W1315" s="16"/>
      <c r="X1315" s="103"/>
    </row>
    <row r="1316" spans="2:24" x14ac:dyDescent="0.25">
      <c r="B1316" s="103"/>
      <c r="C1316" s="103"/>
      <c r="D1316" s="103"/>
      <c r="E1316" s="103"/>
      <c r="F1316" s="103"/>
      <c r="H1316" s="103"/>
      <c r="I1316" s="103"/>
      <c r="J1316" s="103"/>
      <c r="K1316" s="103"/>
      <c r="L1316" s="103"/>
      <c r="N1316" s="103"/>
      <c r="O1316" s="103"/>
      <c r="Q1316" s="16"/>
      <c r="R1316" s="16"/>
      <c r="S1316" s="16"/>
      <c r="T1316" s="103"/>
      <c r="U1316" s="16"/>
      <c r="V1316" s="16"/>
      <c r="W1316" s="16"/>
      <c r="X1316" s="103"/>
    </row>
    <row r="1317" spans="2:24" x14ac:dyDescent="0.25">
      <c r="B1317" s="103"/>
      <c r="C1317" s="103"/>
      <c r="D1317" s="103"/>
      <c r="E1317" s="103"/>
      <c r="F1317" s="103"/>
      <c r="H1317" s="103"/>
      <c r="I1317" s="103"/>
      <c r="J1317" s="103"/>
      <c r="K1317" s="103"/>
      <c r="L1317" s="103"/>
      <c r="N1317" s="103"/>
      <c r="O1317" s="103"/>
      <c r="Q1317" s="16"/>
      <c r="R1317" s="16"/>
      <c r="S1317" s="16"/>
      <c r="T1317" s="103"/>
      <c r="U1317" s="16"/>
      <c r="V1317" s="16"/>
      <c r="W1317" s="16"/>
      <c r="X1317" s="103"/>
    </row>
    <row r="1318" spans="2:24" x14ac:dyDescent="0.25">
      <c r="B1318" s="103"/>
      <c r="C1318" s="103"/>
      <c r="D1318" s="103"/>
      <c r="E1318" s="103"/>
      <c r="F1318" s="103"/>
      <c r="H1318" s="103"/>
      <c r="I1318" s="103"/>
      <c r="J1318" s="103"/>
      <c r="K1318" s="103"/>
      <c r="L1318" s="103"/>
      <c r="N1318" s="103"/>
      <c r="O1318" s="103"/>
      <c r="Q1318" s="16"/>
      <c r="R1318" s="16"/>
      <c r="S1318" s="16"/>
      <c r="T1318" s="103"/>
      <c r="U1318" s="16"/>
      <c r="V1318" s="16"/>
      <c r="W1318" s="16"/>
      <c r="X1318" s="103"/>
    </row>
    <row r="1319" spans="2:24" x14ac:dyDescent="0.25">
      <c r="B1319" s="103"/>
      <c r="C1319" s="103"/>
      <c r="D1319" s="103"/>
      <c r="E1319" s="103"/>
      <c r="F1319" s="103"/>
      <c r="H1319" s="103"/>
      <c r="I1319" s="103"/>
      <c r="J1319" s="103"/>
      <c r="K1319" s="103"/>
      <c r="L1319" s="103"/>
      <c r="N1319" s="103"/>
      <c r="O1319" s="103"/>
      <c r="Q1319" s="16"/>
      <c r="R1319" s="16"/>
      <c r="S1319" s="16"/>
      <c r="T1319" s="103"/>
      <c r="U1319" s="16"/>
      <c r="V1319" s="16"/>
      <c r="W1319" s="16"/>
      <c r="X1319" s="103"/>
    </row>
    <row r="1320" spans="2:24" x14ac:dyDescent="0.25">
      <c r="B1320" s="103"/>
      <c r="C1320" s="103"/>
      <c r="D1320" s="103"/>
      <c r="E1320" s="103"/>
      <c r="F1320" s="103"/>
      <c r="H1320" s="103"/>
      <c r="I1320" s="103"/>
      <c r="J1320" s="103"/>
      <c r="K1320" s="103"/>
      <c r="L1320" s="103"/>
      <c r="N1320" s="103"/>
      <c r="O1320" s="103"/>
      <c r="Q1320" s="16"/>
      <c r="R1320" s="16"/>
      <c r="S1320" s="16"/>
      <c r="T1320" s="103"/>
      <c r="U1320" s="16"/>
      <c r="V1320" s="16"/>
      <c r="W1320" s="16"/>
      <c r="X1320" s="103"/>
    </row>
    <row r="1321" spans="2:24" x14ac:dyDescent="0.25">
      <c r="B1321" s="103"/>
      <c r="C1321" s="103"/>
      <c r="D1321" s="103"/>
      <c r="E1321" s="103"/>
      <c r="F1321" s="103"/>
      <c r="H1321" s="103"/>
      <c r="I1321" s="103"/>
      <c r="J1321" s="103"/>
      <c r="K1321" s="103"/>
      <c r="L1321" s="103"/>
      <c r="N1321" s="103"/>
      <c r="O1321" s="103"/>
      <c r="Q1321" s="16"/>
      <c r="R1321" s="16"/>
      <c r="S1321" s="16"/>
      <c r="T1321" s="103"/>
      <c r="U1321" s="16"/>
      <c r="V1321" s="16"/>
      <c r="W1321" s="16"/>
      <c r="X1321" s="103"/>
    </row>
    <row r="1322" spans="2:24" x14ac:dyDescent="0.25">
      <c r="B1322" s="103"/>
      <c r="C1322" s="103"/>
      <c r="D1322" s="103"/>
      <c r="E1322" s="103"/>
      <c r="F1322" s="103"/>
      <c r="H1322" s="103"/>
      <c r="I1322" s="103"/>
      <c r="J1322" s="103"/>
      <c r="K1322" s="103"/>
      <c r="L1322" s="103"/>
      <c r="N1322" s="103"/>
      <c r="O1322" s="103"/>
      <c r="Q1322" s="16"/>
      <c r="R1322" s="16"/>
      <c r="S1322" s="16"/>
      <c r="T1322" s="103"/>
      <c r="U1322" s="16"/>
      <c r="V1322" s="16"/>
      <c r="W1322" s="16"/>
      <c r="X1322" s="103"/>
    </row>
    <row r="1323" spans="2:24" x14ac:dyDescent="0.25">
      <c r="B1323" s="103"/>
      <c r="C1323" s="103"/>
      <c r="D1323" s="103"/>
      <c r="E1323" s="103"/>
      <c r="F1323" s="103"/>
      <c r="H1323" s="103"/>
      <c r="I1323" s="103"/>
      <c r="J1323" s="103"/>
      <c r="K1323" s="103"/>
      <c r="L1323" s="103"/>
      <c r="N1323" s="103"/>
      <c r="O1323" s="103"/>
      <c r="Q1323" s="16"/>
      <c r="R1323" s="16"/>
      <c r="S1323" s="16"/>
      <c r="T1323" s="103"/>
      <c r="U1323" s="16"/>
      <c r="V1323" s="16"/>
      <c r="W1323" s="16"/>
      <c r="X1323" s="103"/>
    </row>
    <row r="1324" spans="2:24" x14ac:dyDescent="0.25">
      <c r="B1324" s="103"/>
      <c r="C1324" s="103"/>
      <c r="D1324" s="103"/>
      <c r="E1324" s="103"/>
      <c r="F1324" s="103"/>
      <c r="H1324" s="103"/>
      <c r="I1324" s="103"/>
      <c r="J1324" s="103"/>
      <c r="K1324" s="103"/>
      <c r="L1324" s="103"/>
      <c r="N1324" s="103"/>
      <c r="O1324" s="103"/>
      <c r="Q1324" s="16"/>
      <c r="R1324" s="16"/>
      <c r="S1324" s="16"/>
      <c r="T1324" s="103"/>
      <c r="U1324" s="16"/>
      <c r="V1324" s="16"/>
      <c r="W1324" s="16"/>
      <c r="X1324" s="103"/>
    </row>
    <row r="1325" spans="2:24" x14ac:dyDescent="0.25">
      <c r="B1325" s="103"/>
      <c r="C1325" s="103"/>
      <c r="D1325" s="103"/>
      <c r="E1325" s="103"/>
      <c r="F1325" s="103"/>
      <c r="H1325" s="103"/>
      <c r="I1325" s="103"/>
      <c r="J1325" s="103"/>
      <c r="K1325" s="103"/>
      <c r="L1325" s="103"/>
      <c r="N1325" s="103"/>
      <c r="O1325" s="103"/>
      <c r="Q1325" s="16"/>
      <c r="R1325" s="16"/>
      <c r="S1325" s="16"/>
      <c r="T1325" s="103"/>
      <c r="U1325" s="16"/>
      <c r="V1325" s="16"/>
      <c r="W1325" s="16"/>
      <c r="X1325" s="103"/>
    </row>
    <row r="1326" spans="2:24" x14ac:dyDescent="0.25">
      <c r="B1326" s="103"/>
      <c r="C1326" s="103"/>
      <c r="D1326" s="103"/>
      <c r="E1326" s="103"/>
      <c r="F1326" s="103"/>
      <c r="H1326" s="103"/>
      <c r="I1326" s="103"/>
      <c r="J1326" s="103"/>
      <c r="K1326" s="103"/>
      <c r="L1326" s="103"/>
      <c r="N1326" s="103"/>
      <c r="O1326" s="103"/>
      <c r="Q1326" s="16"/>
      <c r="R1326" s="16"/>
      <c r="S1326" s="16"/>
      <c r="T1326" s="103"/>
      <c r="U1326" s="16"/>
      <c r="V1326" s="16"/>
      <c r="W1326" s="16"/>
      <c r="X1326" s="103"/>
    </row>
    <row r="1327" spans="2:24" x14ac:dyDescent="0.25">
      <c r="B1327" s="103"/>
      <c r="C1327" s="103"/>
      <c r="D1327" s="103"/>
      <c r="E1327" s="103"/>
      <c r="F1327" s="103"/>
      <c r="H1327" s="103"/>
      <c r="I1327" s="103"/>
      <c r="J1327" s="103"/>
      <c r="K1327" s="103"/>
      <c r="L1327" s="103"/>
      <c r="N1327" s="103"/>
      <c r="O1327" s="103"/>
      <c r="Q1327" s="16"/>
      <c r="R1327" s="16"/>
      <c r="S1327" s="16"/>
      <c r="T1327" s="103"/>
      <c r="U1327" s="16"/>
      <c r="V1327" s="16"/>
      <c r="W1327" s="16"/>
      <c r="X1327" s="103"/>
    </row>
    <row r="1328" spans="2:24" x14ac:dyDescent="0.25">
      <c r="B1328" s="103"/>
      <c r="C1328" s="103"/>
      <c r="D1328" s="103"/>
      <c r="E1328" s="103"/>
      <c r="F1328" s="103"/>
      <c r="H1328" s="103"/>
      <c r="I1328" s="103"/>
      <c r="J1328" s="103"/>
      <c r="K1328" s="103"/>
      <c r="L1328" s="103"/>
      <c r="N1328" s="103"/>
      <c r="O1328" s="103"/>
      <c r="Q1328" s="16"/>
      <c r="R1328" s="16"/>
      <c r="S1328" s="16"/>
      <c r="T1328" s="103"/>
      <c r="U1328" s="16"/>
      <c r="V1328" s="16"/>
      <c r="W1328" s="16"/>
      <c r="X1328" s="103"/>
    </row>
    <row r="1329" spans="2:24" x14ac:dyDescent="0.25">
      <c r="B1329" s="103"/>
      <c r="C1329" s="103"/>
      <c r="D1329" s="103"/>
      <c r="E1329" s="103"/>
      <c r="F1329" s="103"/>
      <c r="H1329" s="103"/>
      <c r="I1329" s="103"/>
      <c r="J1329" s="103"/>
      <c r="K1329" s="103"/>
      <c r="L1329" s="103"/>
      <c r="N1329" s="103"/>
      <c r="O1329" s="103"/>
      <c r="Q1329" s="16"/>
      <c r="R1329" s="16"/>
      <c r="S1329" s="16"/>
      <c r="T1329" s="103"/>
      <c r="U1329" s="16"/>
      <c r="V1329" s="16"/>
      <c r="W1329" s="16"/>
      <c r="X1329" s="103"/>
    </row>
    <row r="1330" spans="2:24" x14ac:dyDescent="0.25">
      <c r="B1330" s="103"/>
      <c r="C1330" s="103"/>
      <c r="D1330" s="103"/>
      <c r="E1330" s="103"/>
      <c r="F1330" s="103"/>
      <c r="H1330" s="103"/>
      <c r="I1330" s="103"/>
      <c r="J1330" s="103"/>
      <c r="K1330" s="103"/>
      <c r="L1330" s="103"/>
      <c r="N1330" s="103"/>
      <c r="O1330" s="103"/>
      <c r="Q1330" s="16"/>
      <c r="R1330" s="16"/>
      <c r="S1330" s="16"/>
      <c r="T1330" s="103"/>
      <c r="U1330" s="16"/>
      <c r="V1330" s="16"/>
      <c r="W1330" s="16"/>
      <c r="X1330" s="103"/>
    </row>
    <row r="1331" spans="2:24" x14ac:dyDescent="0.25">
      <c r="B1331" s="103"/>
      <c r="C1331" s="103"/>
      <c r="D1331" s="103"/>
      <c r="E1331" s="103"/>
      <c r="F1331" s="103"/>
      <c r="H1331" s="103"/>
      <c r="I1331" s="103"/>
      <c r="J1331" s="103"/>
      <c r="K1331" s="103"/>
      <c r="L1331" s="103"/>
      <c r="N1331" s="103"/>
      <c r="O1331" s="103"/>
      <c r="Q1331" s="16"/>
      <c r="R1331" s="16"/>
      <c r="S1331" s="16"/>
      <c r="T1331" s="103"/>
      <c r="U1331" s="16"/>
      <c r="V1331" s="16"/>
      <c r="W1331" s="16"/>
      <c r="X1331" s="103"/>
    </row>
    <row r="1332" spans="2:24" x14ac:dyDescent="0.25">
      <c r="B1332" s="103"/>
      <c r="C1332" s="103"/>
      <c r="D1332" s="103"/>
      <c r="E1332" s="103"/>
      <c r="F1332" s="103"/>
      <c r="H1332" s="103"/>
      <c r="I1332" s="103"/>
      <c r="J1332" s="103"/>
      <c r="K1332" s="103"/>
      <c r="L1332" s="103"/>
      <c r="N1332" s="103"/>
      <c r="O1332" s="103"/>
      <c r="Q1332" s="16"/>
      <c r="R1332" s="16"/>
      <c r="S1332" s="16"/>
      <c r="T1332" s="103"/>
      <c r="U1332" s="16"/>
      <c r="V1332" s="16"/>
      <c r="W1332" s="16"/>
      <c r="X1332" s="103"/>
    </row>
    <row r="1333" spans="2:24" x14ac:dyDescent="0.25">
      <c r="B1333" s="103"/>
      <c r="C1333" s="103"/>
      <c r="D1333" s="103"/>
      <c r="E1333" s="103"/>
      <c r="F1333" s="103"/>
      <c r="H1333" s="103"/>
      <c r="I1333" s="103"/>
      <c r="J1333" s="103"/>
      <c r="K1333" s="103"/>
      <c r="L1333" s="103"/>
      <c r="N1333" s="103"/>
      <c r="O1333" s="103"/>
      <c r="Q1333" s="16"/>
      <c r="R1333" s="16"/>
      <c r="S1333" s="16"/>
      <c r="T1333" s="103"/>
      <c r="U1333" s="16"/>
      <c r="V1333" s="16"/>
      <c r="W1333" s="16"/>
      <c r="X1333" s="103"/>
    </row>
    <row r="1334" spans="2:24" x14ac:dyDescent="0.25">
      <c r="B1334" s="103"/>
      <c r="C1334" s="103"/>
      <c r="D1334" s="103"/>
      <c r="E1334" s="103"/>
      <c r="F1334" s="103"/>
      <c r="H1334" s="103"/>
      <c r="I1334" s="103"/>
      <c r="J1334" s="103"/>
      <c r="K1334" s="103"/>
      <c r="L1334" s="103"/>
      <c r="N1334" s="103"/>
      <c r="O1334" s="103"/>
      <c r="Q1334" s="16"/>
      <c r="R1334" s="16"/>
      <c r="S1334" s="16"/>
      <c r="T1334" s="103"/>
      <c r="U1334" s="16"/>
      <c r="V1334" s="16"/>
      <c r="W1334" s="16"/>
      <c r="X1334" s="103"/>
    </row>
    <row r="1335" spans="2:24" x14ac:dyDescent="0.25">
      <c r="B1335" s="103"/>
      <c r="C1335" s="103"/>
      <c r="D1335" s="103"/>
      <c r="E1335" s="103"/>
      <c r="F1335" s="103"/>
      <c r="H1335" s="103"/>
      <c r="I1335" s="103"/>
      <c r="J1335" s="103"/>
      <c r="K1335" s="103"/>
      <c r="L1335" s="103"/>
      <c r="N1335" s="103"/>
      <c r="O1335" s="103"/>
      <c r="Q1335" s="16"/>
      <c r="R1335" s="16"/>
      <c r="S1335" s="16"/>
      <c r="T1335" s="103"/>
      <c r="U1335" s="16"/>
      <c r="V1335" s="16"/>
      <c r="W1335" s="16"/>
      <c r="X1335" s="103"/>
    </row>
    <row r="1336" spans="2:24" x14ac:dyDescent="0.25">
      <c r="B1336" s="103"/>
      <c r="C1336" s="103"/>
      <c r="D1336" s="103"/>
      <c r="E1336" s="103"/>
      <c r="F1336" s="103"/>
      <c r="H1336" s="103"/>
      <c r="I1336" s="103"/>
      <c r="J1336" s="103"/>
      <c r="K1336" s="103"/>
      <c r="L1336" s="103"/>
      <c r="N1336" s="103"/>
      <c r="O1336" s="103"/>
      <c r="Q1336" s="16"/>
      <c r="R1336" s="16"/>
      <c r="S1336" s="16"/>
      <c r="T1336" s="103"/>
      <c r="U1336" s="16"/>
      <c r="V1336" s="16"/>
      <c r="W1336" s="16"/>
      <c r="X1336" s="103"/>
    </row>
    <row r="1337" spans="2:24" x14ac:dyDescent="0.25">
      <c r="B1337" s="103"/>
      <c r="C1337" s="103"/>
      <c r="D1337" s="103"/>
      <c r="E1337" s="103"/>
      <c r="F1337" s="103"/>
      <c r="H1337" s="103"/>
      <c r="I1337" s="103"/>
      <c r="J1337" s="103"/>
      <c r="K1337" s="103"/>
      <c r="L1337" s="103"/>
      <c r="N1337" s="103"/>
      <c r="O1337" s="103"/>
      <c r="Q1337" s="16"/>
      <c r="R1337" s="16"/>
      <c r="S1337" s="16"/>
      <c r="T1337" s="103"/>
      <c r="U1337" s="16"/>
      <c r="V1337" s="16"/>
      <c r="W1337" s="16"/>
      <c r="X1337" s="103"/>
    </row>
    <row r="1338" spans="2:24" x14ac:dyDescent="0.25">
      <c r="B1338" s="103"/>
      <c r="C1338" s="103"/>
      <c r="D1338" s="103"/>
      <c r="E1338" s="103"/>
      <c r="F1338" s="103"/>
      <c r="H1338" s="103"/>
      <c r="I1338" s="103"/>
      <c r="J1338" s="103"/>
      <c r="K1338" s="103"/>
      <c r="L1338" s="103"/>
      <c r="N1338" s="103"/>
      <c r="O1338" s="103"/>
      <c r="Q1338" s="16"/>
      <c r="R1338" s="16"/>
      <c r="S1338" s="16"/>
      <c r="T1338" s="103"/>
      <c r="U1338" s="16"/>
      <c r="V1338" s="16"/>
      <c r="W1338" s="16"/>
      <c r="X1338" s="103"/>
    </row>
    <row r="1339" spans="2:24" x14ac:dyDescent="0.25">
      <c r="B1339" s="103"/>
      <c r="C1339" s="103"/>
      <c r="D1339" s="103"/>
      <c r="E1339" s="103"/>
      <c r="F1339" s="103"/>
      <c r="H1339" s="103"/>
      <c r="I1339" s="103"/>
      <c r="J1339" s="103"/>
      <c r="K1339" s="103"/>
      <c r="L1339" s="103"/>
      <c r="N1339" s="103"/>
      <c r="O1339" s="103"/>
      <c r="Q1339" s="16"/>
      <c r="R1339" s="16"/>
      <c r="S1339" s="16"/>
      <c r="T1339" s="103"/>
      <c r="U1339" s="16"/>
      <c r="V1339" s="16"/>
      <c r="W1339" s="16"/>
      <c r="X1339" s="103"/>
    </row>
    <row r="1340" spans="2:24" x14ac:dyDescent="0.25">
      <c r="B1340" s="103"/>
      <c r="C1340" s="103"/>
      <c r="D1340" s="103"/>
      <c r="E1340" s="103"/>
      <c r="F1340" s="103"/>
      <c r="H1340" s="103"/>
      <c r="I1340" s="103"/>
      <c r="J1340" s="103"/>
      <c r="K1340" s="103"/>
      <c r="L1340" s="103"/>
      <c r="N1340" s="103"/>
      <c r="O1340" s="103"/>
      <c r="Q1340" s="16"/>
      <c r="R1340" s="16"/>
      <c r="S1340" s="16"/>
      <c r="T1340" s="103"/>
      <c r="U1340" s="16"/>
      <c r="V1340" s="16"/>
      <c r="W1340" s="16"/>
      <c r="X1340" s="103"/>
    </row>
    <row r="1341" spans="2:24" x14ac:dyDescent="0.25">
      <c r="B1341" s="103"/>
      <c r="C1341" s="103"/>
      <c r="D1341" s="103"/>
      <c r="E1341" s="103"/>
      <c r="F1341" s="103"/>
      <c r="H1341" s="103"/>
      <c r="I1341" s="103"/>
      <c r="J1341" s="103"/>
      <c r="K1341" s="103"/>
      <c r="L1341" s="103"/>
      <c r="N1341" s="103"/>
      <c r="O1341" s="103"/>
      <c r="Q1341" s="16"/>
      <c r="R1341" s="16"/>
      <c r="S1341" s="16"/>
      <c r="T1341" s="103"/>
      <c r="U1341" s="16"/>
      <c r="V1341" s="16"/>
      <c r="W1341" s="16"/>
      <c r="X1341" s="103"/>
    </row>
    <row r="1342" spans="2:24" x14ac:dyDescent="0.25">
      <c r="B1342" s="103"/>
      <c r="C1342" s="103"/>
      <c r="D1342" s="103"/>
      <c r="E1342" s="103"/>
      <c r="F1342" s="103"/>
      <c r="H1342" s="103"/>
      <c r="I1342" s="103"/>
      <c r="J1342" s="103"/>
      <c r="K1342" s="103"/>
      <c r="L1342" s="103"/>
      <c r="N1342" s="103"/>
      <c r="O1342" s="103"/>
      <c r="Q1342" s="16"/>
      <c r="R1342" s="16"/>
      <c r="S1342" s="16"/>
      <c r="T1342" s="103"/>
      <c r="U1342" s="16"/>
      <c r="V1342" s="16"/>
      <c r="W1342" s="16"/>
      <c r="X1342" s="103"/>
    </row>
    <row r="1343" spans="2:24" x14ac:dyDescent="0.25">
      <c r="B1343" s="103"/>
      <c r="C1343" s="103"/>
      <c r="D1343" s="103"/>
      <c r="E1343" s="103"/>
      <c r="F1343" s="103"/>
      <c r="H1343" s="103"/>
      <c r="I1343" s="103"/>
      <c r="J1343" s="103"/>
      <c r="K1343" s="103"/>
      <c r="L1343" s="103"/>
      <c r="N1343" s="103"/>
      <c r="O1343" s="103"/>
      <c r="Q1343" s="16"/>
      <c r="R1343" s="16"/>
      <c r="S1343" s="16"/>
      <c r="T1343" s="103"/>
      <c r="U1343" s="16"/>
      <c r="V1343" s="16"/>
      <c r="W1343" s="16"/>
      <c r="X1343" s="103"/>
    </row>
    <row r="1344" spans="2:24" x14ac:dyDescent="0.25">
      <c r="B1344" s="103"/>
      <c r="C1344" s="103"/>
      <c r="D1344" s="103"/>
      <c r="E1344" s="103"/>
      <c r="F1344" s="103"/>
      <c r="H1344" s="103"/>
      <c r="I1344" s="103"/>
      <c r="J1344" s="103"/>
      <c r="K1344" s="103"/>
      <c r="L1344" s="103"/>
      <c r="N1344" s="103"/>
      <c r="O1344" s="103"/>
      <c r="Q1344" s="16"/>
      <c r="R1344" s="16"/>
      <c r="S1344" s="16"/>
      <c r="T1344" s="103"/>
      <c r="U1344" s="16"/>
      <c r="V1344" s="16"/>
      <c r="W1344" s="16"/>
      <c r="X1344" s="103"/>
    </row>
    <row r="1345" spans="2:24" x14ac:dyDescent="0.25">
      <c r="B1345" s="103"/>
      <c r="C1345" s="103"/>
      <c r="D1345" s="103"/>
      <c r="E1345" s="103"/>
      <c r="F1345" s="103"/>
      <c r="H1345" s="103"/>
      <c r="I1345" s="103"/>
      <c r="J1345" s="103"/>
      <c r="K1345" s="103"/>
      <c r="L1345" s="103"/>
      <c r="N1345" s="103"/>
      <c r="O1345" s="103"/>
      <c r="Q1345" s="16"/>
      <c r="R1345" s="16"/>
      <c r="S1345" s="16"/>
      <c r="T1345" s="103"/>
      <c r="U1345" s="16"/>
      <c r="V1345" s="16"/>
      <c r="W1345" s="16"/>
      <c r="X1345" s="103"/>
    </row>
    <row r="1346" spans="2:24" x14ac:dyDescent="0.25">
      <c r="B1346" s="103"/>
      <c r="C1346" s="103"/>
      <c r="D1346" s="103"/>
      <c r="E1346" s="103"/>
      <c r="F1346" s="103"/>
      <c r="H1346" s="103"/>
      <c r="I1346" s="103"/>
      <c r="J1346" s="103"/>
      <c r="K1346" s="103"/>
      <c r="L1346" s="103"/>
      <c r="N1346" s="103"/>
      <c r="O1346" s="103"/>
      <c r="Q1346" s="16"/>
      <c r="R1346" s="16"/>
      <c r="S1346" s="16"/>
      <c r="T1346" s="103"/>
      <c r="U1346" s="16"/>
      <c r="V1346" s="16"/>
      <c r="W1346" s="16"/>
      <c r="X1346" s="103"/>
    </row>
    <row r="1347" spans="2:24" x14ac:dyDescent="0.25">
      <c r="B1347" s="103"/>
      <c r="C1347" s="103"/>
      <c r="D1347" s="103"/>
      <c r="E1347" s="103"/>
      <c r="F1347" s="103"/>
      <c r="H1347" s="103"/>
      <c r="I1347" s="103"/>
      <c r="J1347" s="103"/>
      <c r="K1347" s="103"/>
      <c r="L1347" s="103"/>
      <c r="N1347" s="103"/>
      <c r="O1347" s="103"/>
      <c r="Q1347" s="16"/>
      <c r="R1347" s="16"/>
      <c r="S1347" s="16"/>
      <c r="T1347" s="103"/>
      <c r="U1347" s="16"/>
      <c r="V1347" s="16"/>
      <c r="W1347" s="16"/>
      <c r="X1347" s="103"/>
    </row>
    <row r="1348" spans="2:24" x14ac:dyDescent="0.25">
      <c r="B1348" s="103"/>
      <c r="C1348" s="103"/>
      <c r="D1348" s="103"/>
      <c r="E1348" s="103"/>
      <c r="F1348" s="103"/>
      <c r="H1348" s="103"/>
      <c r="I1348" s="103"/>
      <c r="J1348" s="103"/>
      <c r="K1348" s="103"/>
      <c r="L1348" s="103"/>
      <c r="N1348" s="103"/>
      <c r="O1348" s="103"/>
      <c r="Q1348" s="16"/>
      <c r="R1348" s="16"/>
      <c r="S1348" s="16"/>
      <c r="T1348" s="103"/>
      <c r="U1348" s="16"/>
      <c r="V1348" s="16"/>
      <c r="W1348" s="16"/>
      <c r="X1348" s="103"/>
    </row>
    <row r="1349" spans="2:24" x14ac:dyDescent="0.25">
      <c r="B1349" s="103"/>
      <c r="C1349" s="103"/>
      <c r="D1349" s="103"/>
      <c r="E1349" s="103"/>
      <c r="F1349" s="103"/>
      <c r="H1349" s="103"/>
      <c r="I1349" s="103"/>
      <c r="J1349" s="103"/>
      <c r="K1349" s="103"/>
      <c r="L1349" s="103"/>
      <c r="N1349" s="103"/>
      <c r="O1349" s="103"/>
      <c r="Q1349" s="16"/>
      <c r="R1349" s="16"/>
      <c r="S1349" s="16"/>
      <c r="T1349" s="103"/>
      <c r="U1349" s="16"/>
      <c r="V1349" s="16"/>
      <c r="W1349" s="16"/>
      <c r="X1349" s="103"/>
    </row>
    <row r="1350" spans="2:24" x14ac:dyDescent="0.25">
      <c r="B1350" s="103"/>
      <c r="C1350" s="103"/>
      <c r="D1350" s="103"/>
      <c r="E1350" s="103"/>
      <c r="F1350" s="103"/>
      <c r="H1350" s="103"/>
      <c r="I1350" s="103"/>
      <c r="J1350" s="103"/>
      <c r="K1350" s="103"/>
      <c r="L1350" s="103"/>
      <c r="N1350" s="103"/>
      <c r="O1350" s="103"/>
      <c r="Q1350" s="16"/>
      <c r="R1350" s="16"/>
      <c r="S1350" s="16"/>
      <c r="T1350" s="103"/>
      <c r="U1350" s="16"/>
      <c r="V1350" s="16"/>
      <c r="W1350" s="16"/>
      <c r="X1350" s="103"/>
    </row>
    <row r="1351" spans="2:24" x14ac:dyDescent="0.25">
      <c r="B1351" s="103"/>
      <c r="C1351" s="103"/>
      <c r="D1351" s="103"/>
      <c r="E1351" s="103"/>
      <c r="F1351" s="103"/>
      <c r="H1351" s="103"/>
      <c r="I1351" s="103"/>
      <c r="J1351" s="103"/>
      <c r="K1351" s="103"/>
      <c r="L1351" s="103"/>
      <c r="N1351" s="103"/>
      <c r="O1351" s="103"/>
      <c r="Q1351" s="16"/>
      <c r="R1351" s="16"/>
      <c r="S1351" s="16"/>
      <c r="T1351" s="103"/>
      <c r="U1351" s="16"/>
      <c r="V1351" s="16"/>
      <c r="W1351" s="16"/>
      <c r="X1351" s="103"/>
    </row>
    <row r="1352" spans="2:24" x14ac:dyDescent="0.25">
      <c r="B1352" s="103"/>
      <c r="C1352" s="103"/>
      <c r="D1352" s="103"/>
      <c r="E1352" s="103"/>
      <c r="F1352" s="103"/>
      <c r="H1352" s="103"/>
      <c r="I1352" s="103"/>
      <c r="J1352" s="103"/>
      <c r="K1352" s="103"/>
      <c r="L1352" s="103"/>
      <c r="N1352" s="103"/>
      <c r="O1352" s="103"/>
      <c r="Q1352" s="16"/>
      <c r="R1352" s="16"/>
      <c r="S1352" s="16"/>
      <c r="T1352" s="103"/>
      <c r="U1352" s="16"/>
      <c r="V1352" s="16"/>
      <c r="W1352" s="16"/>
      <c r="X1352" s="103"/>
    </row>
    <row r="1353" spans="2:24" x14ac:dyDescent="0.25">
      <c r="B1353" s="103"/>
      <c r="C1353" s="103"/>
      <c r="D1353" s="103"/>
      <c r="E1353" s="103"/>
      <c r="F1353" s="103"/>
      <c r="H1353" s="103"/>
      <c r="I1353" s="103"/>
      <c r="J1353" s="103"/>
      <c r="K1353" s="103"/>
      <c r="L1353" s="103"/>
      <c r="N1353" s="103"/>
      <c r="O1353" s="103"/>
      <c r="Q1353" s="16"/>
      <c r="R1353" s="16"/>
      <c r="S1353" s="16"/>
      <c r="T1353" s="103"/>
      <c r="U1353" s="16"/>
      <c r="V1353" s="16"/>
      <c r="W1353" s="16"/>
      <c r="X1353" s="103"/>
    </row>
    <row r="1354" spans="2:24" x14ac:dyDescent="0.25">
      <c r="B1354" s="103"/>
      <c r="C1354" s="103"/>
      <c r="D1354" s="103"/>
      <c r="E1354" s="103"/>
      <c r="F1354" s="103"/>
      <c r="H1354" s="103"/>
      <c r="I1354" s="103"/>
      <c r="J1354" s="103"/>
      <c r="K1354" s="103"/>
      <c r="L1354" s="103"/>
      <c r="N1354" s="103"/>
      <c r="O1354" s="103"/>
      <c r="Q1354" s="16"/>
      <c r="R1354" s="16"/>
      <c r="S1354" s="16"/>
      <c r="T1354" s="103"/>
      <c r="U1354" s="16"/>
      <c r="V1354" s="16"/>
      <c r="W1354" s="16"/>
      <c r="X1354" s="103"/>
    </row>
    <row r="1355" spans="2:24" x14ac:dyDescent="0.25">
      <c r="B1355" s="103"/>
      <c r="C1355" s="103"/>
      <c r="D1355" s="103"/>
      <c r="E1355" s="103"/>
      <c r="F1355" s="103"/>
      <c r="H1355" s="103"/>
      <c r="I1355" s="103"/>
      <c r="J1355" s="103"/>
      <c r="K1355" s="103"/>
      <c r="L1355" s="103"/>
      <c r="N1355" s="103"/>
      <c r="O1355" s="103"/>
      <c r="Q1355" s="16"/>
      <c r="R1355" s="16"/>
      <c r="S1355" s="16"/>
      <c r="T1355" s="103"/>
      <c r="U1355" s="16"/>
      <c r="V1355" s="16"/>
      <c r="W1355" s="16"/>
      <c r="X1355" s="103"/>
    </row>
    <row r="1356" spans="2:24" x14ac:dyDescent="0.25">
      <c r="B1356" s="103"/>
      <c r="C1356" s="103"/>
      <c r="D1356" s="103"/>
      <c r="E1356" s="103"/>
      <c r="F1356" s="103"/>
      <c r="H1356" s="103"/>
      <c r="I1356" s="103"/>
      <c r="J1356" s="103"/>
      <c r="K1356" s="103"/>
      <c r="L1356" s="103"/>
      <c r="N1356" s="103"/>
      <c r="O1356" s="103"/>
      <c r="Q1356" s="16"/>
      <c r="R1356" s="16"/>
      <c r="S1356" s="16"/>
      <c r="T1356" s="103"/>
      <c r="U1356" s="16"/>
      <c r="V1356" s="16"/>
      <c r="W1356" s="16"/>
      <c r="X1356" s="103"/>
    </row>
    <row r="1357" spans="2:24" x14ac:dyDescent="0.25">
      <c r="B1357" s="103"/>
      <c r="C1357" s="103"/>
      <c r="D1357" s="103"/>
      <c r="E1357" s="103"/>
      <c r="F1357" s="103"/>
      <c r="H1357" s="103"/>
      <c r="I1357" s="103"/>
      <c r="J1357" s="103"/>
      <c r="K1357" s="103"/>
      <c r="L1357" s="103"/>
      <c r="N1357" s="103"/>
      <c r="O1357" s="103"/>
      <c r="Q1357" s="16"/>
      <c r="R1357" s="16"/>
      <c r="S1357" s="16"/>
      <c r="T1357" s="103"/>
      <c r="U1357" s="16"/>
      <c r="V1357" s="16"/>
      <c r="W1357" s="16"/>
      <c r="X1357" s="103"/>
    </row>
    <row r="1358" spans="2:24" x14ac:dyDescent="0.25">
      <c r="B1358" s="103"/>
      <c r="C1358" s="103"/>
      <c r="D1358" s="103"/>
      <c r="E1358" s="103"/>
      <c r="F1358" s="103"/>
      <c r="H1358" s="103"/>
      <c r="I1358" s="103"/>
      <c r="J1358" s="103"/>
      <c r="K1358" s="103"/>
      <c r="L1358" s="103"/>
      <c r="N1358" s="103"/>
      <c r="O1358" s="103"/>
      <c r="Q1358" s="16"/>
      <c r="R1358" s="16"/>
      <c r="S1358" s="16"/>
      <c r="T1358" s="103"/>
      <c r="U1358" s="16"/>
      <c r="V1358" s="16"/>
      <c r="W1358" s="16"/>
      <c r="X1358" s="103"/>
    </row>
    <row r="1359" spans="2:24" x14ac:dyDescent="0.25">
      <c r="B1359" s="103"/>
      <c r="C1359" s="103"/>
      <c r="D1359" s="103"/>
      <c r="E1359" s="103"/>
      <c r="F1359" s="103"/>
      <c r="H1359" s="103"/>
      <c r="I1359" s="103"/>
      <c r="J1359" s="103"/>
      <c r="K1359" s="103"/>
      <c r="L1359" s="103"/>
      <c r="N1359" s="103"/>
      <c r="O1359" s="103"/>
      <c r="Q1359" s="16"/>
      <c r="R1359" s="16"/>
      <c r="S1359" s="16"/>
      <c r="T1359" s="103"/>
      <c r="U1359" s="16"/>
      <c r="V1359" s="16"/>
      <c r="W1359" s="16"/>
      <c r="X1359" s="103"/>
    </row>
    <row r="1360" spans="2:24" x14ac:dyDescent="0.25">
      <c r="B1360" s="103"/>
      <c r="C1360" s="103"/>
      <c r="D1360" s="103"/>
      <c r="E1360" s="103"/>
      <c r="F1360" s="103"/>
      <c r="H1360" s="103"/>
      <c r="I1360" s="103"/>
      <c r="J1360" s="103"/>
      <c r="K1360" s="103"/>
      <c r="L1360" s="103"/>
      <c r="N1360" s="103"/>
      <c r="O1360" s="103"/>
      <c r="Q1360" s="16"/>
      <c r="R1360" s="16"/>
      <c r="S1360" s="16"/>
      <c r="T1360" s="103"/>
      <c r="U1360" s="16"/>
      <c r="V1360" s="16"/>
      <c r="W1360" s="16"/>
      <c r="X1360" s="103"/>
    </row>
    <row r="1361" spans="2:24" x14ac:dyDescent="0.25">
      <c r="B1361" s="103"/>
      <c r="C1361" s="103"/>
      <c r="D1361" s="103"/>
      <c r="E1361" s="103"/>
      <c r="F1361" s="103"/>
      <c r="H1361" s="103"/>
      <c r="I1361" s="103"/>
      <c r="J1361" s="103"/>
      <c r="K1361" s="103"/>
      <c r="L1361" s="103"/>
      <c r="N1361" s="103"/>
      <c r="O1361" s="103"/>
      <c r="Q1361" s="16"/>
      <c r="R1361" s="16"/>
      <c r="S1361" s="16"/>
      <c r="T1361" s="103"/>
      <c r="U1361" s="16"/>
      <c r="V1361" s="16"/>
      <c r="W1361" s="16"/>
      <c r="X1361" s="103"/>
    </row>
    <row r="1362" spans="2:24" x14ac:dyDescent="0.25">
      <c r="B1362" s="103"/>
      <c r="C1362" s="103"/>
      <c r="D1362" s="103"/>
      <c r="E1362" s="103"/>
      <c r="F1362" s="103"/>
      <c r="H1362" s="103"/>
      <c r="I1362" s="103"/>
      <c r="J1362" s="103"/>
      <c r="K1362" s="103"/>
      <c r="L1362" s="103"/>
      <c r="N1362" s="103"/>
      <c r="O1362" s="103"/>
      <c r="Q1362" s="16"/>
      <c r="R1362" s="16"/>
      <c r="S1362" s="16"/>
      <c r="T1362" s="103"/>
      <c r="U1362" s="16"/>
      <c r="V1362" s="16"/>
      <c r="W1362" s="16"/>
      <c r="X1362" s="103"/>
    </row>
    <row r="1363" spans="2:24" x14ac:dyDescent="0.25">
      <c r="B1363" s="103"/>
      <c r="C1363" s="103"/>
      <c r="D1363" s="103"/>
      <c r="E1363" s="103"/>
      <c r="F1363" s="103"/>
      <c r="H1363" s="103"/>
      <c r="I1363" s="103"/>
      <c r="J1363" s="103"/>
      <c r="K1363" s="103"/>
      <c r="L1363" s="103"/>
      <c r="N1363" s="103"/>
      <c r="O1363" s="103"/>
      <c r="Q1363" s="16"/>
      <c r="R1363" s="16"/>
      <c r="S1363" s="16"/>
      <c r="T1363" s="103"/>
      <c r="U1363" s="16"/>
      <c r="V1363" s="16"/>
      <c r="W1363" s="16"/>
      <c r="X1363" s="103"/>
    </row>
    <row r="1364" spans="2:24" x14ac:dyDescent="0.25">
      <c r="B1364" s="103"/>
      <c r="C1364" s="103"/>
      <c r="D1364" s="103"/>
      <c r="E1364" s="103"/>
      <c r="F1364" s="103"/>
      <c r="H1364" s="103"/>
      <c r="I1364" s="103"/>
      <c r="J1364" s="103"/>
      <c r="K1364" s="103"/>
      <c r="L1364" s="103"/>
      <c r="N1364" s="103"/>
      <c r="O1364" s="103"/>
      <c r="Q1364" s="16"/>
      <c r="R1364" s="16"/>
      <c r="S1364" s="16"/>
      <c r="T1364" s="103"/>
      <c r="U1364" s="16"/>
      <c r="V1364" s="16"/>
      <c r="W1364" s="16"/>
      <c r="X1364" s="103"/>
    </row>
    <row r="1365" spans="2:24" x14ac:dyDescent="0.25">
      <c r="B1365" s="103"/>
      <c r="C1365" s="103"/>
      <c r="D1365" s="103"/>
      <c r="E1365" s="103"/>
      <c r="F1365" s="103"/>
      <c r="H1365" s="103"/>
      <c r="I1365" s="103"/>
      <c r="J1365" s="103"/>
      <c r="K1365" s="103"/>
      <c r="L1365" s="103"/>
      <c r="N1365" s="103"/>
      <c r="O1365" s="103"/>
      <c r="Q1365" s="16"/>
      <c r="R1365" s="16"/>
      <c r="S1365" s="16"/>
      <c r="T1365" s="103"/>
      <c r="U1365" s="16"/>
      <c r="V1365" s="16"/>
      <c r="W1365" s="16"/>
      <c r="X1365" s="103"/>
    </row>
    <row r="1366" spans="2:24" x14ac:dyDescent="0.25">
      <c r="B1366" s="103"/>
      <c r="C1366" s="103"/>
      <c r="D1366" s="103"/>
      <c r="E1366" s="103"/>
      <c r="F1366" s="103"/>
      <c r="H1366" s="103"/>
      <c r="I1366" s="103"/>
      <c r="J1366" s="103"/>
      <c r="K1366" s="103"/>
      <c r="L1366" s="103"/>
      <c r="N1366" s="103"/>
      <c r="O1366" s="103"/>
      <c r="Q1366" s="16"/>
      <c r="R1366" s="16"/>
      <c r="S1366" s="16"/>
      <c r="T1366" s="103"/>
      <c r="U1366" s="16"/>
      <c r="V1366" s="16"/>
      <c r="W1366" s="16"/>
      <c r="X1366" s="103"/>
    </row>
    <row r="1367" spans="2:24" x14ac:dyDescent="0.25">
      <c r="B1367" s="103"/>
      <c r="C1367" s="103"/>
      <c r="D1367" s="103"/>
      <c r="E1367" s="103"/>
      <c r="F1367" s="103"/>
      <c r="H1367" s="103"/>
      <c r="I1367" s="103"/>
      <c r="J1367" s="103"/>
      <c r="K1367" s="103"/>
      <c r="L1367" s="103"/>
      <c r="N1367" s="103"/>
      <c r="O1367" s="103"/>
      <c r="Q1367" s="16"/>
      <c r="R1367" s="16"/>
      <c r="S1367" s="16"/>
      <c r="T1367" s="103"/>
      <c r="U1367" s="16"/>
      <c r="V1367" s="16"/>
      <c r="W1367" s="16"/>
      <c r="X1367" s="103"/>
    </row>
    <row r="1368" spans="2:24" x14ac:dyDescent="0.25">
      <c r="B1368" s="103"/>
      <c r="C1368" s="103"/>
      <c r="D1368" s="103"/>
      <c r="E1368" s="103"/>
      <c r="F1368" s="103"/>
      <c r="H1368" s="103"/>
      <c r="I1368" s="103"/>
      <c r="J1368" s="103"/>
      <c r="K1368" s="103"/>
      <c r="L1368" s="103"/>
      <c r="N1368" s="103"/>
      <c r="O1368" s="103"/>
      <c r="Q1368" s="16"/>
      <c r="R1368" s="16"/>
      <c r="S1368" s="16"/>
      <c r="T1368" s="103"/>
      <c r="U1368" s="16"/>
      <c r="V1368" s="16"/>
      <c r="W1368" s="16"/>
      <c r="X1368" s="103"/>
    </row>
    <row r="1369" spans="2:24" x14ac:dyDescent="0.25">
      <c r="B1369" s="103"/>
      <c r="C1369" s="103"/>
      <c r="D1369" s="103"/>
      <c r="E1369" s="103"/>
      <c r="F1369" s="103"/>
      <c r="H1369" s="103"/>
      <c r="I1369" s="103"/>
      <c r="J1369" s="103"/>
      <c r="K1369" s="103"/>
      <c r="L1369" s="103"/>
      <c r="N1369" s="103"/>
      <c r="O1369" s="103"/>
      <c r="Q1369" s="16"/>
      <c r="R1369" s="16"/>
      <c r="S1369" s="16"/>
      <c r="T1369" s="103"/>
      <c r="U1369" s="16"/>
      <c r="V1369" s="16"/>
      <c r="W1369" s="16"/>
      <c r="X1369" s="103"/>
    </row>
    <row r="1370" spans="2:24" x14ac:dyDescent="0.25">
      <c r="B1370" s="103"/>
      <c r="C1370" s="103"/>
      <c r="D1370" s="103"/>
      <c r="E1370" s="103"/>
      <c r="F1370" s="103"/>
      <c r="H1370" s="103"/>
      <c r="I1370" s="103"/>
      <c r="J1370" s="103"/>
      <c r="K1370" s="103"/>
      <c r="L1370" s="103"/>
      <c r="N1370" s="103"/>
      <c r="O1370" s="103"/>
      <c r="Q1370" s="16"/>
      <c r="R1370" s="16"/>
      <c r="S1370" s="16"/>
      <c r="T1370" s="103"/>
      <c r="U1370" s="16"/>
      <c r="V1370" s="16"/>
      <c r="W1370" s="16"/>
      <c r="X1370" s="103"/>
    </row>
    <row r="1371" spans="2:24" x14ac:dyDescent="0.25">
      <c r="B1371" s="103"/>
      <c r="C1371" s="103"/>
      <c r="D1371" s="103"/>
      <c r="E1371" s="103"/>
      <c r="F1371" s="103"/>
      <c r="H1371" s="103"/>
      <c r="I1371" s="103"/>
      <c r="J1371" s="103"/>
      <c r="K1371" s="103"/>
      <c r="L1371" s="103"/>
      <c r="N1371" s="103"/>
      <c r="O1371" s="103"/>
      <c r="Q1371" s="16"/>
      <c r="R1371" s="16"/>
      <c r="S1371" s="16"/>
      <c r="T1371" s="103"/>
      <c r="U1371" s="16"/>
      <c r="V1371" s="16"/>
      <c r="W1371" s="16"/>
      <c r="X1371" s="103"/>
    </row>
    <row r="1372" spans="2:24" x14ac:dyDescent="0.25">
      <c r="B1372" s="103"/>
      <c r="C1372" s="103"/>
      <c r="D1372" s="103"/>
      <c r="E1372" s="103"/>
      <c r="F1372" s="103"/>
      <c r="H1372" s="103"/>
      <c r="I1372" s="103"/>
      <c r="J1372" s="103"/>
      <c r="K1372" s="103"/>
      <c r="L1372" s="103"/>
      <c r="N1372" s="103"/>
      <c r="O1372" s="103"/>
      <c r="Q1372" s="16"/>
      <c r="R1372" s="16"/>
      <c r="S1372" s="16"/>
      <c r="T1372" s="103"/>
      <c r="U1372" s="16"/>
      <c r="V1372" s="16"/>
      <c r="W1372" s="16"/>
      <c r="X1372" s="103"/>
    </row>
    <row r="1373" spans="2:24" x14ac:dyDescent="0.25">
      <c r="B1373" s="103"/>
      <c r="C1373" s="103"/>
      <c r="D1373" s="103"/>
      <c r="E1373" s="103"/>
      <c r="F1373" s="103"/>
      <c r="H1373" s="103"/>
      <c r="I1373" s="103"/>
      <c r="J1373" s="103"/>
      <c r="K1373" s="103"/>
      <c r="L1373" s="103"/>
      <c r="N1373" s="103"/>
      <c r="O1373" s="103"/>
      <c r="Q1373" s="16"/>
      <c r="R1373" s="16"/>
      <c r="S1373" s="16"/>
      <c r="T1373" s="103"/>
      <c r="U1373" s="16"/>
      <c r="V1373" s="16"/>
      <c r="W1373" s="16"/>
      <c r="X1373" s="103"/>
    </row>
    <row r="1374" spans="2:24" x14ac:dyDescent="0.25">
      <c r="B1374" s="103"/>
      <c r="C1374" s="103"/>
      <c r="D1374" s="103"/>
      <c r="E1374" s="103"/>
      <c r="F1374" s="103"/>
      <c r="H1374" s="103"/>
      <c r="I1374" s="103"/>
      <c r="J1374" s="103"/>
      <c r="K1374" s="103"/>
      <c r="L1374" s="103"/>
      <c r="N1374" s="103"/>
      <c r="O1374" s="103"/>
      <c r="Q1374" s="16"/>
      <c r="R1374" s="16"/>
      <c r="S1374" s="16"/>
      <c r="T1374" s="103"/>
      <c r="U1374" s="16"/>
      <c r="V1374" s="16"/>
      <c r="W1374" s="16"/>
      <c r="X1374" s="103"/>
    </row>
    <row r="1375" spans="2:24" x14ac:dyDescent="0.25">
      <c r="B1375" s="103"/>
      <c r="C1375" s="103"/>
      <c r="D1375" s="103"/>
      <c r="E1375" s="103"/>
      <c r="F1375" s="103"/>
      <c r="H1375" s="103"/>
      <c r="I1375" s="103"/>
      <c r="J1375" s="103"/>
      <c r="K1375" s="103"/>
      <c r="L1375" s="103"/>
      <c r="N1375" s="103"/>
      <c r="O1375" s="103"/>
      <c r="Q1375" s="16"/>
      <c r="R1375" s="16"/>
      <c r="S1375" s="16"/>
      <c r="T1375" s="103"/>
      <c r="U1375" s="16"/>
      <c r="V1375" s="16"/>
      <c r="W1375" s="16"/>
      <c r="X1375" s="103"/>
    </row>
    <row r="1376" spans="2:24" x14ac:dyDescent="0.25">
      <c r="B1376" s="103"/>
      <c r="C1376" s="103"/>
      <c r="D1376" s="103"/>
      <c r="E1376" s="103"/>
      <c r="F1376" s="103"/>
      <c r="H1376" s="103"/>
      <c r="I1376" s="103"/>
      <c r="J1376" s="103"/>
      <c r="K1376" s="103"/>
      <c r="L1376" s="103"/>
      <c r="N1376" s="103"/>
      <c r="O1376" s="103"/>
      <c r="Q1376" s="16"/>
      <c r="R1376" s="16"/>
      <c r="S1376" s="16"/>
      <c r="T1376" s="103"/>
      <c r="U1376" s="16"/>
      <c r="V1376" s="16"/>
      <c r="W1376" s="16"/>
      <c r="X1376" s="103"/>
    </row>
    <row r="1377" spans="2:24" x14ac:dyDescent="0.25">
      <c r="B1377" s="103"/>
      <c r="C1377" s="103"/>
      <c r="D1377" s="103"/>
      <c r="E1377" s="103"/>
      <c r="F1377" s="103"/>
      <c r="H1377" s="103"/>
      <c r="I1377" s="103"/>
      <c r="J1377" s="103"/>
      <c r="K1377" s="103"/>
      <c r="L1377" s="103"/>
      <c r="N1377" s="103"/>
      <c r="O1377" s="103"/>
      <c r="Q1377" s="16"/>
      <c r="R1377" s="16"/>
      <c r="S1377" s="16"/>
      <c r="T1377" s="103"/>
      <c r="U1377" s="16"/>
      <c r="V1377" s="16"/>
      <c r="W1377" s="16"/>
      <c r="X1377" s="103"/>
    </row>
    <row r="1378" spans="2:24" x14ac:dyDescent="0.25">
      <c r="B1378" s="103"/>
      <c r="C1378" s="103"/>
      <c r="D1378" s="103"/>
      <c r="E1378" s="103"/>
      <c r="F1378" s="103"/>
      <c r="H1378" s="103"/>
      <c r="I1378" s="103"/>
      <c r="J1378" s="103"/>
      <c r="K1378" s="103"/>
      <c r="L1378" s="103"/>
      <c r="N1378" s="103"/>
      <c r="O1378" s="103"/>
      <c r="Q1378" s="16"/>
      <c r="R1378" s="16"/>
      <c r="S1378" s="16"/>
      <c r="T1378" s="103"/>
      <c r="U1378" s="16"/>
      <c r="V1378" s="16"/>
      <c r="W1378" s="16"/>
      <c r="X1378" s="103"/>
    </row>
    <row r="1379" spans="2:24" x14ac:dyDescent="0.25">
      <c r="B1379" s="103"/>
      <c r="C1379" s="103"/>
      <c r="D1379" s="103"/>
      <c r="E1379" s="103"/>
      <c r="F1379" s="103"/>
      <c r="H1379" s="103"/>
      <c r="I1379" s="103"/>
      <c r="J1379" s="103"/>
      <c r="K1379" s="103"/>
      <c r="L1379" s="103"/>
      <c r="N1379" s="103"/>
      <c r="O1379" s="103"/>
      <c r="Q1379" s="16"/>
      <c r="R1379" s="16"/>
      <c r="S1379" s="16"/>
      <c r="T1379" s="103"/>
      <c r="U1379" s="16"/>
      <c r="V1379" s="16"/>
      <c r="W1379" s="16"/>
      <c r="X1379" s="103"/>
    </row>
    <row r="1380" spans="2:24" x14ac:dyDescent="0.25">
      <c r="B1380" s="103"/>
      <c r="C1380" s="103"/>
      <c r="D1380" s="103"/>
      <c r="E1380" s="103"/>
      <c r="F1380" s="103"/>
      <c r="H1380" s="103"/>
      <c r="I1380" s="103"/>
      <c r="J1380" s="103"/>
      <c r="K1380" s="103"/>
      <c r="L1380" s="103"/>
      <c r="N1380" s="103"/>
      <c r="O1380" s="103"/>
      <c r="Q1380" s="16"/>
      <c r="R1380" s="16"/>
      <c r="S1380" s="16"/>
      <c r="T1380" s="103"/>
      <c r="U1380" s="16"/>
      <c r="V1380" s="16"/>
      <c r="W1380" s="16"/>
      <c r="X1380" s="103"/>
    </row>
    <row r="1381" spans="2:24" x14ac:dyDescent="0.25">
      <c r="B1381" s="103"/>
      <c r="C1381" s="103"/>
      <c r="D1381" s="103"/>
      <c r="E1381" s="103"/>
      <c r="F1381" s="103"/>
      <c r="H1381" s="103"/>
      <c r="I1381" s="103"/>
      <c r="J1381" s="103"/>
      <c r="K1381" s="103"/>
      <c r="L1381" s="103"/>
      <c r="N1381" s="103"/>
      <c r="O1381" s="103"/>
      <c r="Q1381" s="16"/>
      <c r="R1381" s="16"/>
      <c r="S1381" s="16"/>
      <c r="T1381" s="103"/>
      <c r="U1381" s="16"/>
      <c r="V1381" s="16"/>
      <c r="W1381" s="16"/>
      <c r="X1381" s="103"/>
    </row>
    <row r="1382" spans="2:24" x14ac:dyDescent="0.25">
      <c r="B1382" s="103"/>
      <c r="C1382" s="103"/>
      <c r="D1382" s="103"/>
      <c r="E1382" s="103"/>
      <c r="F1382" s="103"/>
      <c r="H1382" s="103"/>
      <c r="I1382" s="103"/>
      <c r="J1382" s="103"/>
      <c r="K1382" s="103"/>
      <c r="L1382" s="103"/>
      <c r="N1382" s="103"/>
      <c r="O1382" s="103"/>
      <c r="Q1382" s="16"/>
      <c r="R1382" s="16"/>
      <c r="S1382" s="16"/>
      <c r="T1382" s="103"/>
      <c r="U1382" s="16"/>
      <c r="V1382" s="16"/>
      <c r="W1382" s="16"/>
      <c r="X1382" s="103"/>
    </row>
    <row r="1383" spans="2:24" x14ac:dyDescent="0.25">
      <c r="B1383" s="103"/>
      <c r="C1383" s="103"/>
      <c r="D1383" s="103"/>
      <c r="E1383" s="103"/>
      <c r="F1383" s="103"/>
      <c r="H1383" s="103"/>
      <c r="I1383" s="103"/>
      <c r="J1383" s="103"/>
      <c r="K1383" s="103"/>
      <c r="L1383" s="103"/>
      <c r="N1383" s="103"/>
      <c r="O1383" s="103"/>
      <c r="Q1383" s="16"/>
      <c r="R1383" s="16"/>
      <c r="S1383" s="16"/>
      <c r="T1383" s="103"/>
      <c r="U1383" s="16"/>
      <c r="V1383" s="16"/>
      <c r="W1383" s="16"/>
      <c r="X1383" s="103"/>
    </row>
    <row r="1384" spans="2:24" x14ac:dyDescent="0.25">
      <c r="B1384" s="103"/>
      <c r="C1384" s="103"/>
      <c r="D1384" s="103"/>
      <c r="E1384" s="103"/>
      <c r="F1384" s="103"/>
      <c r="H1384" s="103"/>
      <c r="I1384" s="103"/>
      <c r="J1384" s="103"/>
      <c r="K1384" s="103"/>
      <c r="L1384" s="103"/>
      <c r="N1384" s="103"/>
      <c r="O1384" s="103"/>
      <c r="Q1384" s="16"/>
      <c r="R1384" s="16"/>
      <c r="S1384" s="16"/>
      <c r="T1384" s="103"/>
      <c r="U1384" s="16"/>
      <c r="V1384" s="16"/>
      <c r="W1384" s="16"/>
      <c r="X1384" s="103"/>
    </row>
    <row r="1385" spans="2:24" x14ac:dyDescent="0.25">
      <c r="B1385" s="103"/>
      <c r="C1385" s="103"/>
      <c r="D1385" s="103"/>
      <c r="E1385" s="103"/>
      <c r="F1385" s="103"/>
      <c r="H1385" s="103"/>
      <c r="I1385" s="103"/>
      <c r="J1385" s="103"/>
      <c r="K1385" s="103"/>
      <c r="L1385" s="103"/>
      <c r="N1385" s="103"/>
      <c r="O1385" s="103"/>
      <c r="Q1385" s="16"/>
      <c r="R1385" s="16"/>
      <c r="S1385" s="16"/>
      <c r="T1385" s="103"/>
      <c r="U1385" s="16"/>
      <c r="V1385" s="16"/>
      <c r="W1385" s="16"/>
      <c r="X1385" s="103"/>
    </row>
    <row r="1386" spans="2:24" x14ac:dyDescent="0.25">
      <c r="B1386" s="103"/>
      <c r="C1386" s="103"/>
      <c r="D1386" s="103"/>
      <c r="E1386" s="103"/>
      <c r="F1386" s="103"/>
      <c r="H1386" s="103"/>
      <c r="I1386" s="103"/>
      <c r="J1386" s="103"/>
      <c r="K1386" s="103"/>
      <c r="L1386" s="103"/>
      <c r="N1386" s="103"/>
      <c r="O1386" s="103"/>
      <c r="Q1386" s="16"/>
      <c r="R1386" s="16"/>
      <c r="S1386" s="16"/>
      <c r="T1386" s="103"/>
      <c r="U1386" s="16"/>
      <c r="V1386" s="16"/>
      <c r="W1386" s="16"/>
      <c r="X1386" s="103"/>
    </row>
    <row r="1387" spans="2:24" x14ac:dyDescent="0.25">
      <c r="B1387" s="103"/>
      <c r="C1387" s="103"/>
      <c r="D1387" s="103"/>
      <c r="E1387" s="103"/>
      <c r="F1387" s="103"/>
      <c r="H1387" s="103"/>
      <c r="I1387" s="103"/>
      <c r="J1387" s="103"/>
      <c r="K1387" s="103"/>
      <c r="L1387" s="103"/>
      <c r="N1387" s="103"/>
      <c r="O1387" s="103"/>
      <c r="Q1387" s="16"/>
      <c r="R1387" s="16"/>
      <c r="S1387" s="16"/>
      <c r="T1387" s="103"/>
      <c r="U1387" s="16"/>
      <c r="V1387" s="16"/>
      <c r="W1387" s="16"/>
      <c r="X1387" s="103"/>
    </row>
    <row r="1388" spans="2:24" x14ac:dyDescent="0.25">
      <c r="B1388" s="103"/>
      <c r="C1388" s="103"/>
      <c r="D1388" s="103"/>
      <c r="E1388" s="103"/>
      <c r="F1388" s="103"/>
      <c r="H1388" s="103"/>
      <c r="I1388" s="103"/>
      <c r="J1388" s="103"/>
      <c r="K1388" s="103"/>
      <c r="L1388" s="103"/>
      <c r="N1388" s="103"/>
      <c r="O1388" s="103"/>
      <c r="Q1388" s="16"/>
      <c r="R1388" s="16"/>
      <c r="S1388" s="16"/>
      <c r="T1388" s="103"/>
      <c r="U1388" s="16"/>
      <c r="V1388" s="16"/>
      <c r="W1388" s="16"/>
      <c r="X1388" s="103"/>
    </row>
    <row r="1389" spans="2:24" x14ac:dyDescent="0.25">
      <c r="B1389" s="103"/>
      <c r="C1389" s="103"/>
      <c r="D1389" s="103"/>
      <c r="E1389" s="103"/>
      <c r="F1389" s="103"/>
      <c r="H1389" s="103"/>
      <c r="I1389" s="103"/>
      <c r="J1389" s="103"/>
      <c r="K1389" s="103"/>
      <c r="L1389" s="103"/>
      <c r="N1389" s="103"/>
      <c r="O1389" s="103"/>
      <c r="Q1389" s="16"/>
      <c r="R1389" s="16"/>
      <c r="S1389" s="16"/>
      <c r="T1389" s="103"/>
      <c r="U1389" s="16"/>
      <c r="V1389" s="16"/>
      <c r="W1389" s="16"/>
      <c r="X1389" s="103"/>
    </row>
    <row r="1390" spans="2:24" x14ac:dyDescent="0.25">
      <c r="B1390" s="103"/>
      <c r="C1390" s="103"/>
      <c r="D1390" s="103"/>
      <c r="E1390" s="103"/>
      <c r="F1390" s="103"/>
      <c r="H1390" s="103"/>
      <c r="I1390" s="103"/>
      <c r="J1390" s="103"/>
      <c r="K1390" s="103"/>
      <c r="L1390" s="103"/>
      <c r="N1390" s="103"/>
      <c r="O1390" s="103"/>
      <c r="Q1390" s="16"/>
      <c r="R1390" s="16"/>
      <c r="S1390" s="16"/>
      <c r="T1390" s="103"/>
      <c r="U1390" s="16"/>
      <c r="V1390" s="16"/>
      <c r="W1390" s="16"/>
      <c r="X1390" s="103"/>
    </row>
    <row r="1391" spans="2:24" x14ac:dyDescent="0.25">
      <c r="B1391" s="103"/>
      <c r="C1391" s="103"/>
      <c r="D1391" s="103"/>
      <c r="E1391" s="103"/>
      <c r="F1391" s="103"/>
      <c r="H1391" s="103"/>
      <c r="I1391" s="103"/>
      <c r="J1391" s="103"/>
      <c r="K1391" s="103"/>
      <c r="L1391" s="103"/>
      <c r="N1391" s="103"/>
      <c r="O1391" s="103"/>
      <c r="Q1391" s="16"/>
      <c r="R1391" s="16"/>
      <c r="S1391" s="16"/>
      <c r="T1391" s="103"/>
      <c r="U1391" s="16"/>
      <c r="V1391" s="16"/>
      <c r="W1391" s="16"/>
      <c r="X1391" s="103"/>
    </row>
    <row r="1392" spans="2:24" x14ac:dyDescent="0.25">
      <c r="B1392" s="103"/>
      <c r="C1392" s="103"/>
      <c r="D1392" s="103"/>
      <c r="E1392" s="103"/>
      <c r="F1392" s="103"/>
      <c r="H1392" s="103"/>
      <c r="I1392" s="103"/>
      <c r="J1392" s="103"/>
      <c r="K1392" s="103"/>
      <c r="L1392" s="103"/>
      <c r="N1392" s="103"/>
      <c r="O1392" s="103"/>
      <c r="Q1392" s="16"/>
      <c r="R1392" s="16"/>
      <c r="S1392" s="16"/>
      <c r="T1392" s="103"/>
      <c r="U1392" s="16"/>
      <c r="V1392" s="16"/>
      <c r="W1392" s="16"/>
      <c r="X1392" s="103"/>
    </row>
    <row r="1393" spans="2:24" x14ac:dyDescent="0.25">
      <c r="B1393" s="103"/>
      <c r="C1393" s="103"/>
      <c r="D1393" s="103"/>
      <c r="E1393" s="103"/>
      <c r="F1393" s="103"/>
      <c r="H1393" s="103"/>
      <c r="I1393" s="103"/>
      <c r="J1393" s="103"/>
      <c r="K1393" s="103"/>
      <c r="L1393" s="103"/>
      <c r="N1393" s="103"/>
      <c r="O1393" s="103"/>
      <c r="Q1393" s="16"/>
      <c r="R1393" s="16"/>
      <c r="S1393" s="16"/>
      <c r="T1393" s="103"/>
      <c r="U1393" s="16"/>
      <c r="V1393" s="16"/>
      <c r="W1393" s="16"/>
      <c r="X1393" s="103"/>
    </row>
    <row r="1394" spans="2:24" x14ac:dyDescent="0.25">
      <c r="B1394" s="103"/>
      <c r="C1394" s="103"/>
      <c r="D1394" s="103"/>
      <c r="E1394" s="103"/>
      <c r="F1394" s="103"/>
      <c r="H1394" s="103"/>
      <c r="I1394" s="103"/>
      <c r="J1394" s="103"/>
      <c r="K1394" s="103"/>
      <c r="L1394" s="103"/>
      <c r="N1394" s="103"/>
      <c r="O1394" s="103"/>
      <c r="Q1394" s="16"/>
      <c r="R1394" s="16"/>
      <c r="S1394" s="16"/>
      <c r="T1394" s="103"/>
      <c r="U1394" s="16"/>
      <c r="V1394" s="16"/>
      <c r="W1394" s="16"/>
      <c r="X1394" s="103"/>
    </row>
    <row r="1395" spans="2:24" x14ac:dyDescent="0.25">
      <c r="B1395" s="103"/>
      <c r="C1395" s="103"/>
      <c r="D1395" s="103"/>
      <c r="E1395" s="103"/>
      <c r="F1395" s="103"/>
      <c r="H1395" s="103"/>
      <c r="I1395" s="103"/>
      <c r="J1395" s="103"/>
      <c r="K1395" s="103"/>
      <c r="L1395" s="103"/>
      <c r="N1395" s="103"/>
      <c r="O1395" s="103"/>
      <c r="Q1395" s="16"/>
      <c r="R1395" s="16"/>
      <c r="S1395" s="16"/>
      <c r="T1395" s="103"/>
      <c r="U1395" s="16"/>
      <c r="V1395" s="16"/>
      <c r="W1395" s="16"/>
      <c r="X1395" s="103"/>
    </row>
    <row r="1396" spans="2:24" x14ac:dyDescent="0.25">
      <c r="B1396" s="103"/>
      <c r="C1396" s="103"/>
      <c r="D1396" s="103"/>
      <c r="E1396" s="103"/>
      <c r="F1396" s="103"/>
      <c r="H1396" s="103"/>
      <c r="I1396" s="103"/>
      <c r="J1396" s="103"/>
      <c r="K1396" s="103"/>
      <c r="L1396" s="103"/>
      <c r="N1396" s="103"/>
      <c r="O1396" s="103"/>
      <c r="Q1396" s="16"/>
      <c r="R1396" s="16"/>
      <c r="S1396" s="16"/>
      <c r="T1396" s="103"/>
      <c r="U1396" s="16"/>
      <c r="V1396" s="16"/>
      <c r="W1396" s="16"/>
      <c r="X1396" s="103"/>
    </row>
    <row r="1397" spans="2:24" x14ac:dyDescent="0.25">
      <c r="B1397" s="103"/>
      <c r="C1397" s="103"/>
      <c r="D1397" s="103"/>
      <c r="E1397" s="103"/>
      <c r="F1397" s="103"/>
      <c r="H1397" s="103"/>
      <c r="I1397" s="103"/>
      <c r="J1397" s="103"/>
      <c r="K1397" s="103"/>
      <c r="L1397" s="103"/>
      <c r="N1397" s="103"/>
      <c r="O1397" s="103"/>
      <c r="Q1397" s="16"/>
      <c r="R1397" s="16"/>
      <c r="S1397" s="16"/>
      <c r="T1397" s="103"/>
      <c r="U1397" s="16"/>
      <c r="V1397" s="16"/>
      <c r="W1397" s="16"/>
      <c r="X1397" s="103"/>
    </row>
    <row r="1398" spans="2:24" x14ac:dyDescent="0.25">
      <c r="B1398" s="103"/>
      <c r="C1398" s="103"/>
      <c r="D1398" s="103"/>
      <c r="E1398" s="103"/>
      <c r="F1398" s="103"/>
      <c r="H1398" s="103"/>
      <c r="I1398" s="103"/>
      <c r="J1398" s="103"/>
      <c r="K1398" s="103"/>
      <c r="L1398" s="103"/>
      <c r="N1398" s="103"/>
      <c r="O1398" s="103"/>
      <c r="Q1398" s="16"/>
      <c r="R1398" s="16"/>
      <c r="S1398" s="16"/>
      <c r="T1398" s="103"/>
      <c r="U1398" s="16"/>
      <c r="V1398" s="16"/>
      <c r="W1398" s="16"/>
      <c r="X1398" s="103"/>
    </row>
    <row r="1399" spans="2:24" x14ac:dyDescent="0.25">
      <c r="B1399" s="103"/>
      <c r="C1399" s="103"/>
      <c r="D1399" s="103"/>
      <c r="E1399" s="103"/>
      <c r="F1399" s="103"/>
      <c r="H1399" s="103"/>
      <c r="I1399" s="103"/>
      <c r="J1399" s="103"/>
      <c r="K1399" s="103"/>
      <c r="L1399" s="103"/>
      <c r="N1399" s="103"/>
      <c r="O1399" s="103"/>
      <c r="Q1399" s="16"/>
      <c r="R1399" s="16"/>
      <c r="S1399" s="16"/>
      <c r="T1399" s="103"/>
      <c r="U1399" s="16"/>
      <c r="V1399" s="16"/>
      <c r="W1399" s="16"/>
      <c r="X1399" s="103"/>
    </row>
    <row r="1400" spans="2:24" x14ac:dyDescent="0.25">
      <c r="B1400" s="103"/>
      <c r="C1400" s="103"/>
      <c r="D1400" s="103"/>
      <c r="E1400" s="103"/>
      <c r="F1400" s="103"/>
      <c r="H1400" s="103"/>
      <c r="I1400" s="103"/>
      <c r="J1400" s="103"/>
      <c r="K1400" s="103"/>
      <c r="L1400" s="103"/>
      <c r="N1400" s="103"/>
      <c r="O1400" s="103"/>
      <c r="Q1400" s="16"/>
      <c r="R1400" s="16"/>
      <c r="S1400" s="16"/>
      <c r="T1400" s="103"/>
      <c r="U1400" s="16"/>
      <c r="V1400" s="16"/>
      <c r="W1400" s="16"/>
      <c r="X1400" s="103"/>
    </row>
    <row r="1401" spans="2:24" x14ac:dyDescent="0.25">
      <c r="B1401" s="103"/>
      <c r="C1401" s="103"/>
      <c r="D1401" s="103"/>
      <c r="E1401" s="103"/>
      <c r="F1401" s="103"/>
      <c r="H1401" s="103"/>
      <c r="I1401" s="103"/>
      <c r="J1401" s="103"/>
      <c r="K1401" s="103"/>
      <c r="L1401" s="103"/>
      <c r="N1401" s="103"/>
      <c r="O1401" s="103"/>
      <c r="Q1401" s="16"/>
      <c r="R1401" s="16"/>
      <c r="S1401" s="16"/>
      <c r="T1401" s="103"/>
      <c r="U1401" s="16"/>
      <c r="V1401" s="16"/>
      <c r="W1401" s="16"/>
      <c r="X1401" s="103"/>
    </row>
    <row r="1402" spans="2:24" x14ac:dyDescent="0.25">
      <c r="B1402" s="103"/>
      <c r="C1402" s="103"/>
      <c r="D1402" s="103"/>
      <c r="E1402" s="103"/>
      <c r="F1402" s="103"/>
      <c r="H1402" s="103"/>
      <c r="I1402" s="103"/>
      <c r="J1402" s="103"/>
      <c r="K1402" s="103"/>
      <c r="L1402" s="103"/>
      <c r="N1402" s="103"/>
      <c r="O1402" s="103"/>
      <c r="Q1402" s="16"/>
      <c r="R1402" s="16"/>
      <c r="S1402" s="16"/>
      <c r="T1402" s="103"/>
      <c r="U1402" s="16"/>
      <c r="V1402" s="16"/>
      <c r="W1402" s="16"/>
      <c r="X1402" s="103"/>
    </row>
    <row r="1403" spans="2:24" x14ac:dyDescent="0.25">
      <c r="B1403" s="103"/>
      <c r="C1403" s="103"/>
      <c r="D1403" s="103"/>
      <c r="E1403" s="103"/>
      <c r="F1403" s="103"/>
      <c r="H1403" s="103"/>
      <c r="I1403" s="103"/>
      <c r="J1403" s="103"/>
      <c r="K1403" s="103"/>
      <c r="L1403" s="103"/>
      <c r="N1403" s="103"/>
      <c r="O1403" s="103"/>
      <c r="Q1403" s="16"/>
      <c r="R1403" s="16"/>
      <c r="S1403" s="16"/>
      <c r="T1403" s="103"/>
      <c r="U1403" s="16"/>
      <c r="V1403" s="16"/>
      <c r="W1403" s="16"/>
      <c r="X1403" s="103"/>
    </row>
    <row r="1404" spans="2:24" x14ac:dyDescent="0.25">
      <c r="B1404" s="103"/>
      <c r="C1404" s="103"/>
      <c r="D1404" s="103"/>
      <c r="E1404" s="103"/>
      <c r="F1404" s="103"/>
      <c r="H1404" s="103"/>
      <c r="I1404" s="103"/>
      <c r="J1404" s="103"/>
      <c r="K1404" s="103"/>
      <c r="L1404" s="103"/>
      <c r="N1404" s="103"/>
      <c r="O1404" s="103"/>
      <c r="Q1404" s="16"/>
      <c r="R1404" s="16"/>
      <c r="S1404" s="16"/>
      <c r="T1404" s="103"/>
      <c r="U1404" s="16"/>
      <c r="V1404" s="16"/>
      <c r="W1404" s="16"/>
      <c r="X1404" s="103"/>
    </row>
    <row r="1405" spans="2:24" x14ac:dyDescent="0.25">
      <c r="B1405" s="103"/>
      <c r="C1405" s="103"/>
      <c r="D1405" s="103"/>
      <c r="E1405" s="103"/>
      <c r="F1405" s="103"/>
      <c r="H1405" s="103"/>
      <c r="I1405" s="103"/>
      <c r="J1405" s="103"/>
      <c r="K1405" s="103"/>
      <c r="L1405" s="103"/>
      <c r="N1405" s="103"/>
      <c r="O1405" s="103"/>
      <c r="Q1405" s="16"/>
      <c r="R1405" s="16"/>
      <c r="S1405" s="16"/>
      <c r="T1405" s="103"/>
      <c r="U1405" s="16"/>
      <c r="V1405" s="16"/>
      <c r="W1405" s="16"/>
      <c r="X1405" s="103"/>
    </row>
    <row r="1406" spans="2:24" x14ac:dyDescent="0.25">
      <c r="B1406" s="103"/>
      <c r="C1406" s="103"/>
      <c r="D1406" s="103"/>
      <c r="E1406" s="103"/>
      <c r="F1406" s="103"/>
      <c r="H1406" s="103"/>
      <c r="I1406" s="103"/>
      <c r="J1406" s="103"/>
      <c r="K1406" s="103"/>
      <c r="L1406" s="103"/>
      <c r="N1406" s="103"/>
      <c r="O1406" s="103"/>
      <c r="Q1406" s="16"/>
      <c r="R1406" s="16"/>
      <c r="S1406" s="16"/>
      <c r="T1406" s="103"/>
      <c r="U1406" s="16"/>
      <c r="V1406" s="16"/>
      <c r="W1406" s="16"/>
      <c r="X1406" s="103"/>
    </row>
    <row r="1407" spans="2:24" x14ac:dyDescent="0.25">
      <c r="B1407" s="103"/>
      <c r="C1407" s="103"/>
      <c r="D1407" s="103"/>
      <c r="E1407" s="103"/>
      <c r="F1407" s="103"/>
      <c r="H1407" s="103"/>
      <c r="I1407" s="103"/>
      <c r="J1407" s="103"/>
      <c r="K1407" s="103"/>
      <c r="L1407" s="103"/>
      <c r="N1407" s="103"/>
      <c r="O1407" s="103"/>
      <c r="Q1407" s="16"/>
      <c r="R1407" s="16"/>
      <c r="S1407" s="16"/>
      <c r="T1407" s="103"/>
      <c r="U1407" s="16"/>
      <c r="V1407" s="16"/>
      <c r="W1407" s="16"/>
      <c r="X1407" s="103"/>
    </row>
    <row r="1408" spans="2:24" x14ac:dyDescent="0.25">
      <c r="B1408" s="103"/>
      <c r="C1408" s="103"/>
      <c r="D1408" s="103"/>
      <c r="E1408" s="103"/>
      <c r="F1408" s="103"/>
      <c r="H1408" s="103"/>
      <c r="I1408" s="103"/>
      <c r="J1408" s="103"/>
      <c r="K1408" s="103"/>
      <c r="L1408" s="103"/>
      <c r="N1408" s="103"/>
      <c r="O1408" s="103"/>
      <c r="Q1408" s="16"/>
      <c r="R1408" s="16"/>
      <c r="S1408" s="16"/>
      <c r="T1408" s="103"/>
      <c r="U1408" s="16"/>
      <c r="V1408" s="16"/>
      <c r="W1408" s="16"/>
      <c r="X1408" s="103"/>
    </row>
    <row r="1409" spans="2:24" x14ac:dyDescent="0.25">
      <c r="B1409" s="103"/>
      <c r="C1409" s="103"/>
      <c r="D1409" s="103"/>
      <c r="E1409" s="103"/>
      <c r="F1409" s="103"/>
      <c r="H1409" s="103"/>
      <c r="I1409" s="103"/>
      <c r="J1409" s="103"/>
      <c r="K1409" s="103"/>
      <c r="L1409" s="103"/>
      <c r="N1409" s="103"/>
      <c r="O1409" s="103"/>
      <c r="Q1409" s="16"/>
      <c r="R1409" s="16"/>
      <c r="S1409" s="16"/>
      <c r="T1409" s="103"/>
      <c r="U1409" s="16"/>
      <c r="V1409" s="16"/>
      <c r="W1409" s="16"/>
      <c r="X1409" s="103"/>
    </row>
    <row r="1410" spans="2:24" x14ac:dyDescent="0.25">
      <c r="B1410" s="103"/>
      <c r="C1410" s="103"/>
      <c r="D1410" s="103"/>
      <c r="E1410" s="103"/>
      <c r="F1410" s="103"/>
      <c r="H1410" s="103"/>
      <c r="I1410" s="103"/>
      <c r="J1410" s="103"/>
      <c r="K1410" s="103"/>
      <c r="L1410" s="103"/>
      <c r="N1410" s="103"/>
      <c r="O1410" s="103"/>
      <c r="Q1410" s="16"/>
      <c r="R1410" s="16"/>
      <c r="S1410" s="16"/>
      <c r="T1410" s="103"/>
      <c r="U1410" s="16"/>
      <c r="V1410" s="16"/>
      <c r="W1410" s="16"/>
      <c r="X1410" s="103"/>
    </row>
    <row r="1411" spans="2:24" x14ac:dyDescent="0.25">
      <c r="B1411" s="103"/>
      <c r="C1411" s="103"/>
      <c r="D1411" s="103"/>
      <c r="E1411" s="103"/>
      <c r="F1411" s="103"/>
      <c r="H1411" s="103"/>
      <c r="I1411" s="103"/>
      <c r="J1411" s="103"/>
      <c r="K1411" s="103"/>
      <c r="L1411" s="103"/>
      <c r="N1411" s="103"/>
      <c r="O1411" s="103"/>
      <c r="Q1411" s="16"/>
      <c r="R1411" s="16"/>
      <c r="S1411" s="16"/>
      <c r="T1411" s="103"/>
      <c r="U1411" s="16"/>
      <c r="V1411" s="16"/>
      <c r="W1411" s="16"/>
      <c r="X1411" s="103"/>
    </row>
    <row r="1412" spans="2:24" x14ac:dyDescent="0.25">
      <c r="B1412" s="103"/>
      <c r="C1412" s="103"/>
      <c r="D1412" s="103"/>
      <c r="E1412" s="103"/>
      <c r="F1412" s="103"/>
      <c r="H1412" s="103"/>
      <c r="I1412" s="103"/>
      <c r="J1412" s="103"/>
      <c r="K1412" s="103"/>
      <c r="L1412" s="103"/>
      <c r="N1412" s="103"/>
      <c r="O1412" s="103"/>
      <c r="Q1412" s="16"/>
      <c r="R1412" s="16"/>
      <c r="S1412" s="16"/>
      <c r="T1412" s="103"/>
      <c r="U1412" s="16"/>
      <c r="V1412" s="16"/>
      <c r="W1412" s="16"/>
      <c r="X1412" s="103"/>
    </row>
    <row r="1413" spans="2:24" x14ac:dyDescent="0.25">
      <c r="B1413" s="103"/>
      <c r="C1413" s="103"/>
      <c r="D1413" s="103"/>
      <c r="E1413" s="103"/>
      <c r="F1413" s="103"/>
      <c r="H1413" s="103"/>
      <c r="I1413" s="103"/>
      <c r="J1413" s="103"/>
      <c r="K1413" s="103"/>
      <c r="L1413" s="103"/>
      <c r="N1413" s="103"/>
      <c r="O1413" s="103"/>
      <c r="Q1413" s="16"/>
      <c r="R1413" s="16"/>
      <c r="S1413" s="16"/>
      <c r="T1413" s="103"/>
      <c r="U1413" s="16"/>
      <c r="V1413" s="16"/>
      <c r="W1413" s="16"/>
      <c r="X1413" s="103"/>
    </row>
    <row r="1414" spans="2:24" x14ac:dyDescent="0.25">
      <c r="B1414" s="103"/>
      <c r="C1414" s="103"/>
      <c r="D1414" s="103"/>
      <c r="E1414" s="103"/>
      <c r="F1414" s="103"/>
      <c r="H1414" s="103"/>
      <c r="I1414" s="103"/>
      <c r="J1414" s="103"/>
      <c r="K1414" s="103"/>
      <c r="L1414" s="103"/>
      <c r="N1414" s="103"/>
      <c r="O1414" s="103"/>
      <c r="Q1414" s="16"/>
      <c r="R1414" s="16"/>
      <c r="S1414" s="16"/>
      <c r="T1414" s="103"/>
      <c r="U1414" s="16"/>
      <c r="V1414" s="16"/>
      <c r="W1414" s="16"/>
      <c r="X1414" s="103"/>
    </row>
    <row r="1415" spans="2:24" x14ac:dyDescent="0.25">
      <c r="B1415" s="103"/>
      <c r="C1415" s="103"/>
      <c r="D1415" s="103"/>
      <c r="E1415" s="103"/>
      <c r="F1415" s="103"/>
      <c r="H1415" s="103"/>
      <c r="I1415" s="103"/>
      <c r="J1415" s="103"/>
      <c r="K1415" s="103"/>
      <c r="L1415" s="103"/>
      <c r="N1415" s="103"/>
      <c r="O1415" s="103"/>
      <c r="Q1415" s="16"/>
      <c r="R1415" s="16"/>
      <c r="S1415" s="16"/>
      <c r="T1415" s="103"/>
      <c r="U1415" s="16"/>
      <c r="V1415" s="16"/>
      <c r="W1415" s="16"/>
      <c r="X1415" s="103"/>
    </row>
    <row r="1416" spans="2:24" x14ac:dyDescent="0.25">
      <c r="B1416" s="103"/>
      <c r="C1416" s="103"/>
      <c r="D1416" s="103"/>
      <c r="E1416" s="103"/>
      <c r="F1416" s="103"/>
      <c r="H1416" s="103"/>
      <c r="I1416" s="103"/>
      <c r="J1416" s="103"/>
      <c r="K1416" s="103"/>
      <c r="L1416" s="103"/>
      <c r="N1416" s="103"/>
      <c r="O1416" s="103"/>
      <c r="Q1416" s="16"/>
      <c r="R1416" s="16"/>
      <c r="S1416" s="16"/>
      <c r="T1416" s="103"/>
      <c r="U1416" s="16"/>
      <c r="V1416" s="16"/>
      <c r="W1416" s="16"/>
      <c r="X1416" s="103"/>
    </row>
    <row r="1417" spans="2:24" x14ac:dyDescent="0.25">
      <c r="B1417" s="103"/>
      <c r="C1417" s="103"/>
      <c r="D1417" s="103"/>
      <c r="E1417" s="103"/>
      <c r="F1417" s="103"/>
      <c r="H1417" s="103"/>
      <c r="I1417" s="103"/>
      <c r="J1417" s="103"/>
      <c r="K1417" s="103"/>
      <c r="L1417" s="103"/>
      <c r="N1417" s="103"/>
      <c r="O1417" s="103"/>
      <c r="Q1417" s="16"/>
      <c r="R1417" s="16"/>
      <c r="S1417" s="16"/>
      <c r="T1417" s="103"/>
      <c r="U1417" s="16"/>
      <c r="V1417" s="16"/>
      <c r="W1417" s="16"/>
      <c r="X1417" s="103"/>
    </row>
    <row r="1418" spans="2:24" x14ac:dyDescent="0.25">
      <c r="B1418" s="103"/>
      <c r="C1418" s="103"/>
      <c r="D1418" s="103"/>
      <c r="E1418" s="103"/>
      <c r="F1418" s="103"/>
      <c r="H1418" s="103"/>
      <c r="I1418" s="103"/>
      <c r="J1418" s="103"/>
      <c r="K1418" s="103"/>
      <c r="L1418" s="103"/>
      <c r="N1418" s="103"/>
      <c r="O1418" s="103"/>
      <c r="Q1418" s="16"/>
      <c r="R1418" s="16"/>
      <c r="S1418" s="16"/>
      <c r="T1418" s="103"/>
      <c r="U1418" s="16"/>
      <c r="V1418" s="16"/>
      <c r="W1418" s="16"/>
      <c r="X1418" s="103"/>
    </row>
    <row r="1419" spans="2:24" x14ac:dyDescent="0.25">
      <c r="B1419" s="103"/>
      <c r="C1419" s="103"/>
      <c r="D1419" s="103"/>
      <c r="E1419" s="103"/>
      <c r="F1419" s="103"/>
      <c r="H1419" s="103"/>
      <c r="I1419" s="103"/>
      <c r="J1419" s="103"/>
      <c r="K1419" s="103"/>
      <c r="L1419" s="103"/>
      <c r="N1419" s="103"/>
      <c r="O1419" s="103"/>
      <c r="Q1419" s="16"/>
      <c r="R1419" s="16"/>
      <c r="S1419" s="16"/>
      <c r="T1419" s="103"/>
      <c r="U1419" s="16"/>
      <c r="V1419" s="16"/>
      <c r="W1419" s="16"/>
      <c r="X1419" s="103"/>
    </row>
    <row r="1420" spans="2:24" x14ac:dyDescent="0.25">
      <c r="B1420" s="103"/>
      <c r="C1420" s="103"/>
      <c r="D1420" s="103"/>
      <c r="E1420" s="103"/>
      <c r="F1420" s="103"/>
      <c r="H1420" s="103"/>
      <c r="I1420" s="103"/>
      <c r="J1420" s="103"/>
      <c r="K1420" s="103"/>
      <c r="L1420" s="103"/>
      <c r="N1420" s="103"/>
      <c r="O1420" s="103"/>
      <c r="Q1420" s="16"/>
      <c r="R1420" s="16"/>
      <c r="S1420" s="16"/>
      <c r="T1420" s="103"/>
      <c r="U1420" s="16"/>
      <c r="V1420" s="16"/>
      <c r="W1420" s="16"/>
      <c r="X1420" s="103"/>
    </row>
    <row r="1421" spans="2:24" x14ac:dyDescent="0.25">
      <c r="B1421" s="103"/>
      <c r="C1421" s="103"/>
      <c r="D1421" s="103"/>
      <c r="E1421" s="103"/>
      <c r="F1421" s="103"/>
      <c r="H1421" s="103"/>
      <c r="I1421" s="103"/>
      <c r="J1421" s="103"/>
      <c r="K1421" s="103"/>
      <c r="L1421" s="103"/>
      <c r="N1421" s="103"/>
      <c r="O1421" s="103"/>
      <c r="Q1421" s="16"/>
      <c r="R1421" s="16"/>
      <c r="S1421" s="16"/>
      <c r="T1421" s="103"/>
      <c r="U1421" s="16"/>
      <c r="V1421" s="16"/>
      <c r="W1421" s="16"/>
      <c r="X1421" s="103"/>
    </row>
    <row r="1422" spans="2:24" x14ac:dyDescent="0.25">
      <c r="B1422" s="103"/>
      <c r="C1422" s="103"/>
      <c r="D1422" s="103"/>
      <c r="E1422" s="103"/>
      <c r="F1422" s="103"/>
      <c r="H1422" s="103"/>
      <c r="I1422" s="103"/>
      <c r="J1422" s="103"/>
      <c r="K1422" s="103"/>
      <c r="L1422" s="103"/>
      <c r="N1422" s="103"/>
      <c r="O1422" s="103"/>
      <c r="Q1422" s="16"/>
      <c r="R1422" s="16"/>
      <c r="S1422" s="16"/>
      <c r="T1422" s="103"/>
      <c r="U1422" s="16"/>
      <c r="V1422" s="16"/>
      <c r="W1422" s="16"/>
      <c r="X1422" s="103"/>
    </row>
    <row r="1423" spans="2:24" x14ac:dyDescent="0.25">
      <c r="B1423" s="103"/>
      <c r="C1423" s="103"/>
      <c r="D1423" s="103"/>
      <c r="E1423" s="103"/>
      <c r="F1423" s="103"/>
      <c r="H1423" s="103"/>
      <c r="I1423" s="103"/>
      <c r="J1423" s="103"/>
      <c r="K1423" s="103"/>
      <c r="L1423" s="103"/>
      <c r="N1423" s="103"/>
      <c r="O1423" s="103"/>
      <c r="Q1423" s="16"/>
      <c r="R1423" s="16"/>
      <c r="S1423" s="16"/>
      <c r="T1423" s="103"/>
      <c r="U1423" s="16"/>
      <c r="V1423" s="16"/>
      <c r="W1423" s="16"/>
      <c r="X1423" s="103"/>
    </row>
    <row r="1424" spans="2:24" x14ac:dyDescent="0.25">
      <c r="B1424" s="103"/>
      <c r="C1424" s="103"/>
      <c r="D1424" s="103"/>
      <c r="E1424" s="103"/>
      <c r="F1424" s="103"/>
      <c r="H1424" s="103"/>
      <c r="I1424" s="103"/>
      <c r="J1424" s="103"/>
      <c r="K1424" s="103"/>
      <c r="L1424" s="103"/>
      <c r="N1424" s="103"/>
      <c r="O1424" s="103"/>
      <c r="Q1424" s="16"/>
      <c r="R1424" s="16"/>
      <c r="S1424" s="16"/>
      <c r="T1424" s="103"/>
      <c r="U1424" s="16"/>
      <c r="V1424" s="16"/>
      <c r="W1424" s="16"/>
      <c r="X1424" s="103"/>
    </row>
    <row r="1425" spans="2:24" x14ac:dyDescent="0.25">
      <c r="B1425" s="103"/>
      <c r="C1425" s="103"/>
      <c r="D1425" s="103"/>
      <c r="E1425" s="103"/>
      <c r="F1425" s="103"/>
      <c r="H1425" s="103"/>
      <c r="I1425" s="103"/>
      <c r="J1425" s="103"/>
      <c r="K1425" s="103"/>
      <c r="L1425" s="103"/>
      <c r="N1425" s="103"/>
      <c r="O1425" s="103"/>
      <c r="Q1425" s="16"/>
      <c r="R1425" s="16"/>
      <c r="S1425" s="16"/>
      <c r="T1425" s="103"/>
      <c r="U1425" s="16"/>
      <c r="V1425" s="16"/>
      <c r="W1425" s="16"/>
      <c r="X1425" s="103"/>
    </row>
    <row r="1426" spans="2:24" x14ac:dyDescent="0.25">
      <c r="B1426" s="103"/>
      <c r="C1426" s="103"/>
      <c r="D1426" s="103"/>
      <c r="E1426" s="103"/>
      <c r="F1426" s="103"/>
      <c r="H1426" s="103"/>
      <c r="I1426" s="103"/>
      <c r="J1426" s="103"/>
      <c r="K1426" s="103"/>
      <c r="L1426" s="103"/>
      <c r="N1426" s="103"/>
      <c r="O1426" s="103"/>
      <c r="Q1426" s="16"/>
      <c r="R1426" s="16"/>
      <c r="S1426" s="16"/>
      <c r="T1426" s="103"/>
      <c r="U1426" s="16"/>
      <c r="V1426" s="16"/>
      <c r="W1426" s="16"/>
      <c r="X1426" s="103"/>
    </row>
    <row r="1427" spans="2:24" x14ac:dyDescent="0.25">
      <c r="B1427" s="103"/>
      <c r="C1427" s="103"/>
      <c r="D1427" s="103"/>
      <c r="E1427" s="103"/>
      <c r="F1427" s="103"/>
      <c r="H1427" s="103"/>
      <c r="I1427" s="103"/>
      <c r="J1427" s="103"/>
      <c r="K1427" s="103"/>
      <c r="L1427" s="103"/>
      <c r="N1427" s="103"/>
      <c r="O1427" s="103"/>
      <c r="Q1427" s="16"/>
      <c r="R1427" s="16"/>
      <c r="S1427" s="16"/>
      <c r="T1427" s="103"/>
      <c r="U1427" s="16"/>
      <c r="V1427" s="16"/>
      <c r="W1427" s="16"/>
      <c r="X1427" s="103"/>
    </row>
    <row r="1428" spans="2:24" x14ac:dyDescent="0.25">
      <c r="B1428" s="103"/>
      <c r="C1428" s="103"/>
      <c r="D1428" s="103"/>
      <c r="E1428" s="103"/>
      <c r="F1428" s="103"/>
      <c r="H1428" s="103"/>
      <c r="I1428" s="103"/>
      <c r="J1428" s="103"/>
      <c r="K1428" s="103"/>
      <c r="L1428" s="103"/>
      <c r="N1428" s="103"/>
      <c r="O1428" s="103"/>
      <c r="Q1428" s="16"/>
      <c r="R1428" s="16"/>
      <c r="S1428" s="16"/>
      <c r="T1428" s="103"/>
      <c r="U1428" s="16"/>
      <c r="V1428" s="16"/>
      <c r="W1428" s="16"/>
      <c r="X1428" s="103"/>
    </row>
    <row r="1429" spans="2:24" x14ac:dyDescent="0.25">
      <c r="B1429" s="103"/>
      <c r="C1429" s="103"/>
      <c r="D1429" s="103"/>
      <c r="E1429" s="103"/>
      <c r="F1429" s="103"/>
      <c r="H1429" s="103"/>
      <c r="I1429" s="103"/>
      <c r="J1429" s="103"/>
      <c r="K1429" s="103"/>
      <c r="L1429" s="103"/>
      <c r="N1429" s="103"/>
      <c r="O1429" s="103"/>
      <c r="Q1429" s="16"/>
      <c r="R1429" s="16"/>
      <c r="S1429" s="16"/>
      <c r="T1429" s="103"/>
      <c r="U1429" s="16"/>
      <c r="V1429" s="16"/>
      <c r="W1429" s="16"/>
      <c r="X1429" s="103"/>
    </row>
    <row r="1430" spans="2:24" x14ac:dyDescent="0.25">
      <c r="B1430" s="103"/>
      <c r="C1430" s="103"/>
      <c r="D1430" s="103"/>
      <c r="E1430" s="103"/>
      <c r="F1430" s="103"/>
      <c r="H1430" s="103"/>
      <c r="I1430" s="103"/>
      <c r="J1430" s="103"/>
      <c r="K1430" s="103"/>
      <c r="L1430" s="103"/>
      <c r="N1430" s="103"/>
      <c r="O1430" s="103"/>
      <c r="Q1430" s="16"/>
      <c r="R1430" s="16"/>
      <c r="S1430" s="16"/>
      <c r="T1430" s="103"/>
      <c r="U1430" s="16"/>
      <c r="V1430" s="16"/>
      <c r="W1430" s="16"/>
      <c r="X1430" s="103"/>
    </row>
    <row r="1431" spans="2:24" x14ac:dyDescent="0.25">
      <c r="B1431" s="103"/>
      <c r="C1431" s="103"/>
      <c r="D1431" s="103"/>
      <c r="E1431" s="103"/>
      <c r="F1431" s="103"/>
      <c r="H1431" s="103"/>
      <c r="I1431" s="103"/>
      <c r="J1431" s="103"/>
      <c r="K1431" s="103"/>
      <c r="L1431" s="103"/>
      <c r="N1431" s="103"/>
      <c r="O1431" s="103"/>
      <c r="Q1431" s="16"/>
      <c r="R1431" s="16"/>
      <c r="S1431" s="16"/>
      <c r="T1431" s="103"/>
      <c r="U1431" s="16"/>
      <c r="V1431" s="16"/>
      <c r="W1431" s="16"/>
      <c r="X1431" s="103"/>
    </row>
    <row r="1432" spans="2:24" x14ac:dyDescent="0.25">
      <c r="B1432" s="103"/>
      <c r="C1432" s="103"/>
      <c r="D1432" s="103"/>
      <c r="E1432" s="103"/>
      <c r="F1432" s="103"/>
      <c r="H1432" s="103"/>
      <c r="I1432" s="103"/>
      <c r="J1432" s="103"/>
      <c r="K1432" s="103"/>
      <c r="L1432" s="103"/>
      <c r="N1432" s="103"/>
      <c r="O1432" s="103"/>
      <c r="Q1432" s="16"/>
      <c r="R1432" s="16"/>
      <c r="S1432" s="16"/>
      <c r="T1432" s="103"/>
      <c r="U1432" s="16"/>
      <c r="V1432" s="16"/>
      <c r="W1432" s="16"/>
      <c r="X1432" s="103"/>
    </row>
    <row r="1433" spans="2:24" x14ac:dyDescent="0.25">
      <c r="B1433" s="103"/>
      <c r="C1433" s="103"/>
      <c r="D1433" s="103"/>
      <c r="E1433" s="103"/>
      <c r="F1433" s="103"/>
      <c r="H1433" s="103"/>
      <c r="I1433" s="103"/>
      <c r="J1433" s="103"/>
      <c r="K1433" s="103"/>
      <c r="L1433" s="103"/>
      <c r="N1433" s="103"/>
      <c r="O1433" s="103"/>
      <c r="Q1433" s="16"/>
      <c r="R1433" s="16"/>
      <c r="S1433" s="16"/>
      <c r="T1433" s="103"/>
      <c r="U1433" s="16"/>
      <c r="V1433" s="16"/>
      <c r="W1433" s="16"/>
      <c r="X1433" s="103"/>
    </row>
    <row r="1434" spans="2:24" x14ac:dyDescent="0.25">
      <c r="B1434" s="103"/>
      <c r="C1434" s="103"/>
      <c r="D1434" s="103"/>
      <c r="E1434" s="103"/>
      <c r="F1434" s="103"/>
      <c r="H1434" s="103"/>
      <c r="I1434" s="103"/>
      <c r="J1434" s="103"/>
      <c r="K1434" s="103"/>
      <c r="L1434" s="103"/>
      <c r="N1434" s="103"/>
      <c r="O1434" s="103"/>
      <c r="Q1434" s="16"/>
      <c r="R1434" s="16"/>
      <c r="S1434" s="16"/>
      <c r="T1434" s="103"/>
      <c r="U1434" s="16"/>
      <c r="V1434" s="16"/>
      <c r="W1434" s="16"/>
      <c r="X1434" s="103"/>
    </row>
    <row r="1435" spans="2:24" x14ac:dyDescent="0.25">
      <c r="B1435" s="103"/>
      <c r="C1435" s="103"/>
      <c r="D1435" s="103"/>
      <c r="E1435" s="103"/>
      <c r="F1435" s="103"/>
      <c r="H1435" s="103"/>
      <c r="I1435" s="103"/>
      <c r="J1435" s="103"/>
      <c r="K1435" s="103"/>
      <c r="L1435" s="103"/>
      <c r="N1435" s="103"/>
      <c r="O1435" s="103"/>
      <c r="Q1435" s="16"/>
      <c r="R1435" s="16"/>
      <c r="S1435" s="16"/>
      <c r="T1435" s="103"/>
      <c r="U1435" s="16"/>
      <c r="V1435" s="16"/>
      <c r="W1435" s="16"/>
      <c r="X1435" s="103"/>
    </row>
    <row r="1436" spans="2:24" x14ac:dyDescent="0.25">
      <c r="B1436" s="103"/>
      <c r="C1436" s="103"/>
      <c r="D1436" s="103"/>
      <c r="E1436" s="103"/>
      <c r="F1436" s="103"/>
      <c r="H1436" s="103"/>
      <c r="I1436" s="103"/>
      <c r="J1436" s="103"/>
      <c r="K1436" s="103"/>
      <c r="L1436" s="103"/>
      <c r="N1436" s="103"/>
      <c r="O1436" s="103"/>
      <c r="Q1436" s="16"/>
      <c r="R1436" s="16"/>
      <c r="S1436" s="16"/>
      <c r="T1436" s="103"/>
      <c r="U1436" s="16"/>
      <c r="V1436" s="16"/>
      <c r="W1436" s="16"/>
      <c r="X1436" s="103"/>
    </row>
    <row r="1437" spans="2:24" x14ac:dyDescent="0.25">
      <c r="B1437" s="103"/>
      <c r="C1437" s="103"/>
      <c r="D1437" s="103"/>
      <c r="E1437" s="103"/>
      <c r="F1437" s="103"/>
      <c r="H1437" s="103"/>
      <c r="I1437" s="103"/>
      <c r="J1437" s="103"/>
      <c r="K1437" s="103"/>
      <c r="L1437" s="103"/>
      <c r="N1437" s="103"/>
      <c r="O1437" s="103"/>
      <c r="Q1437" s="16"/>
      <c r="R1437" s="16"/>
      <c r="S1437" s="16"/>
      <c r="T1437" s="103"/>
      <c r="U1437" s="16"/>
      <c r="V1437" s="16"/>
      <c r="W1437" s="16"/>
      <c r="X1437" s="103"/>
    </row>
    <row r="1438" spans="2:24" x14ac:dyDescent="0.25">
      <c r="B1438" s="103"/>
      <c r="C1438" s="103"/>
      <c r="D1438" s="103"/>
      <c r="E1438" s="103"/>
      <c r="F1438" s="103"/>
      <c r="H1438" s="103"/>
      <c r="I1438" s="103"/>
      <c r="J1438" s="103"/>
      <c r="K1438" s="103"/>
      <c r="L1438" s="103"/>
      <c r="N1438" s="103"/>
      <c r="O1438" s="103"/>
      <c r="Q1438" s="16"/>
      <c r="R1438" s="16"/>
      <c r="S1438" s="16"/>
      <c r="T1438" s="103"/>
      <c r="U1438" s="16"/>
      <c r="V1438" s="16"/>
      <c r="W1438" s="16"/>
      <c r="X1438" s="103"/>
    </row>
    <row r="1439" spans="2:24" x14ac:dyDescent="0.25">
      <c r="B1439" s="103"/>
      <c r="C1439" s="103"/>
      <c r="D1439" s="103"/>
      <c r="E1439" s="103"/>
      <c r="F1439" s="103"/>
      <c r="H1439" s="103"/>
      <c r="I1439" s="103"/>
      <c r="J1439" s="103"/>
      <c r="K1439" s="103"/>
      <c r="L1439" s="103"/>
      <c r="N1439" s="103"/>
      <c r="O1439" s="103"/>
      <c r="Q1439" s="16"/>
      <c r="R1439" s="16"/>
      <c r="S1439" s="16"/>
      <c r="T1439" s="103"/>
      <c r="U1439" s="16"/>
      <c r="V1439" s="16"/>
      <c r="W1439" s="16"/>
      <c r="X1439" s="103"/>
    </row>
    <row r="1440" spans="2:24" x14ac:dyDescent="0.25">
      <c r="B1440" s="103"/>
      <c r="C1440" s="103"/>
      <c r="D1440" s="103"/>
      <c r="E1440" s="103"/>
      <c r="F1440" s="103"/>
      <c r="H1440" s="103"/>
      <c r="I1440" s="103"/>
      <c r="J1440" s="103"/>
      <c r="K1440" s="103"/>
      <c r="L1440" s="103"/>
      <c r="N1440" s="103"/>
      <c r="O1440" s="103"/>
      <c r="Q1440" s="16"/>
      <c r="R1440" s="16"/>
      <c r="S1440" s="16"/>
      <c r="T1440" s="103"/>
      <c r="U1440" s="16"/>
      <c r="V1440" s="16"/>
      <c r="W1440" s="16"/>
      <c r="X1440" s="103"/>
    </row>
    <row r="1441" spans="2:24" x14ac:dyDescent="0.25">
      <c r="B1441" s="103"/>
      <c r="C1441" s="103"/>
      <c r="D1441" s="103"/>
      <c r="E1441" s="103"/>
      <c r="F1441" s="103"/>
      <c r="H1441" s="103"/>
      <c r="I1441" s="103"/>
      <c r="J1441" s="103"/>
      <c r="K1441" s="103"/>
      <c r="L1441" s="103"/>
      <c r="N1441" s="103"/>
      <c r="O1441" s="103"/>
      <c r="Q1441" s="16"/>
      <c r="R1441" s="16"/>
      <c r="S1441" s="16"/>
      <c r="T1441" s="103"/>
      <c r="U1441" s="16"/>
      <c r="V1441" s="16"/>
      <c r="W1441" s="16"/>
      <c r="X1441" s="103"/>
    </row>
    <row r="1442" spans="2:24" x14ac:dyDescent="0.25">
      <c r="B1442" s="103"/>
      <c r="C1442" s="103"/>
      <c r="D1442" s="103"/>
      <c r="E1442" s="103"/>
      <c r="F1442" s="103"/>
      <c r="H1442" s="103"/>
      <c r="I1442" s="103"/>
      <c r="J1442" s="103"/>
      <c r="K1442" s="103"/>
      <c r="L1442" s="103"/>
      <c r="N1442" s="103"/>
      <c r="O1442" s="103"/>
      <c r="Q1442" s="16"/>
      <c r="R1442" s="16"/>
      <c r="S1442" s="16"/>
      <c r="T1442" s="103"/>
      <c r="U1442" s="16"/>
      <c r="V1442" s="16"/>
      <c r="W1442" s="16"/>
      <c r="X1442" s="103"/>
    </row>
    <row r="1443" spans="2:24" x14ac:dyDescent="0.25">
      <c r="B1443" s="103"/>
      <c r="C1443" s="103"/>
      <c r="D1443" s="103"/>
      <c r="E1443" s="103"/>
      <c r="F1443" s="103"/>
      <c r="H1443" s="103"/>
      <c r="I1443" s="103"/>
      <c r="J1443" s="103"/>
      <c r="K1443" s="103"/>
      <c r="L1443" s="103"/>
      <c r="N1443" s="103"/>
      <c r="O1443" s="103"/>
      <c r="Q1443" s="16"/>
      <c r="R1443" s="16"/>
      <c r="S1443" s="16"/>
      <c r="T1443" s="103"/>
      <c r="U1443" s="16"/>
      <c r="V1443" s="16"/>
      <c r="W1443" s="16"/>
      <c r="X1443" s="103"/>
    </row>
    <row r="1444" spans="2:24" x14ac:dyDescent="0.25">
      <c r="B1444" s="103"/>
      <c r="C1444" s="103"/>
      <c r="D1444" s="103"/>
      <c r="E1444" s="103"/>
      <c r="F1444" s="103"/>
      <c r="H1444" s="103"/>
      <c r="I1444" s="103"/>
      <c r="J1444" s="103"/>
      <c r="K1444" s="103"/>
      <c r="L1444" s="103"/>
      <c r="N1444" s="103"/>
      <c r="O1444" s="103"/>
      <c r="Q1444" s="16"/>
      <c r="R1444" s="16"/>
      <c r="S1444" s="16"/>
      <c r="T1444" s="103"/>
      <c r="U1444" s="16"/>
      <c r="V1444" s="16"/>
      <c r="W1444" s="16"/>
      <c r="X1444" s="103"/>
    </row>
    <row r="1445" spans="2:24" x14ac:dyDescent="0.25">
      <c r="B1445" s="103"/>
      <c r="C1445" s="103"/>
      <c r="D1445" s="103"/>
      <c r="E1445" s="103"/>
      <c r="F1445" s="103"/>
      <c r="H1445" s="103"/>
      <c r="I1445" s="103"/>
      <c r="J1445" s="103"/>
      <c r="K1445" s="103"/>
      <c r="L1445" s="103"/>
      <c r="N1445" s="103"/>
      <c r="O1445" s="103"/>
      <c r="Q1445" s="16"/>
      <c r="R1445" s="16"/>
      <c r="S1445" s="16"/>
      <c r="T1445" s="103"/>
      <c r="U1445" s="16"/>
      <c r="V1445" s="16"/>
      <c r="W1445" s="16"/>
      <c r="X1445" s="103"/>
    </row>
    <row r="1446" spans="2:24" x14ac:dyDescent="0.25">
      <c r="B1446" s="103"/>
      <c r="C1446" s="103"/>
      <c r="D1446" s="103"/>
      <c r="E1446" s="103"/>
      <c r="F1446" s="103"/>
      <c r="H1446" s="103"/>
      <c r="I1446" s="103"/>
      <c r="J1446" s="103"/>
      <c r="K1446" s="103"/>
      <c r="L1446" s="103"/>
      <c r="N1446" s="103"/>
      <c r="O1446" s="103"/>
      <c r="Q1446" s="16"/>
      <c r="R1446" s="16"/>
      <c r="S1446" s="16"/>
      <c r="T1446" s="103"/>
      <c r="U1446" s="16"/>
      <c r="V1446" s="16"/>
      <c r="W1446" s="16"/>
      <c r="X1446" s="103"/>
    </row>
    <row r="1447" spans="2:24" x14ac:dyDescent="0.25">
      <c r="B1447" s="103"/>
      <c r="C1447" s="103"/>
      <c r="D1447" s="103"/>
      <c r="E1447" s="103"/>
      <c r="F1447" s="103"/>
      <c r="H1447" s="103"/>
      <c r="I1447" s="103"/>
      <c r="J1447" s="103"/>
      <c r="K1447" s="103"/>
      <c r="L1447" s="103"/>
      <c r="N1447" s="103"/>
      <c r="O1447" s="103"/>
      <c r="Q1447" s="16"/>
      <c r="R1447" s="16"/>
      <c r="S1447" s="16"/>
      <c r="T1447" s="103"/>
      <c r="U1447" s="16"/>
      <c r="V1447" s="16"/>
      <c r="W1447" s="16"/>
      <c r="X1447" s="103"/>
    </row>
    <row r="1448" spans="2:24" x14ac:dyDescent="0.25">
      <c r="B1448" s="103"/>
      <c r="C1448" s="103"/>
      <c r="D1448" s="103"/>
      <c r="E1448" s="103"/>
      <c r="F1448" s="103"/>
      <c r="H1448" s="103"/>
      <c r="I1448" s="103"/>
      <c r="J1448" s="103"/>
      <c r="K1448" s="103"/>
      <c r="L1448" s="103"/>
      <c r="N1448" s="103"/>
      <c r="O1448" s="103"/>
      <c r="Q1448" s="16"/>
      <c r="R1448" s="16"/>
      <c r="S1448" s="16"/>
      <c r="T1448" s="103"/>
      <c r="U1448" s="16"/>
      <c r="V1448" s="16"/>
      <c r="W1448" s="16"/>
      <c r="X1448" s="103"/>
    </row>
    <row r="1449" spans="2:24" x14ac:dyDescent="0.25">
      <c r="B1449" s="103"/>
      <c r="C1449" s="103"/>
      <c r="D1449" s="103"/>
      <c r="E1449" s="103"/>
      <c r="F1449" s="103"/>
      <c r="H1449" s="103"/>
      <c r="I1449" s="103"/>
      <c r="J1449" s="103"/>
      <c r="K1449" s="103"/>
      <c r="L1449" s="103"/>
      <c r="N1449" s="103"/>
      <c r="O1449" s="103"/>
      <c r="Q1449" s="16"/>
      <c r="R1449" s="16"/>
      <c r="S1449" s="16"/>
      <c r="T1449" s="103"/>
      <c r="U1449" s="16"/>
      <c r="V1449" s="16"/>
      <c r="W1449" s="16"/>
      <c r="X1449" s="103"/>
    </row>
    <row r="1450" spans="2:24" x14ac:dyDescent="0.25">
      <c r="B1450" s="103"/>
      <c r="C1450" s="103"/>
      <c r="D1450" s="103"/>
      <c r="E1450" s="103"/>
      <c r="F1450" s="103"/>
      <c r="H1450" s="103"/>
      <c r="I1450" s="103"/>
      <c r="J1450" s="103"/>
      <c r="K1450" s="103"/>
      <c r="L1450" s="103"/>
      <c r="N1450" s="103"/>
      <c r="O1450" s="103"/>
      <c r="Q1450" s="16"/>
      <c r="R1450" s="16"/>
      <c r="S1450" s="16"/>
      <c r="T1450" s="103"/>
      <c r="U1450" s="16"/>
      <c r="V1450" s="16"/>
      <c r="W1450" s="16"/>
      <c r="X1450" s="103"/>
    </row>
    <row r="1451" spans="2:24" x14ac:dyDescent="0.25">
      <c r="B1451" s="103"/>
      <c r="C1451" s="103"/>
      <c r="D1451" s="103"/>
      <c r="E1451" s="103"/>
      <c r="F1451" s="103"/>
      <c r="H1451" s="103"/>
      <c r="I1451" s="103"/>
      <c r="J1451" s="103"/>
      <c r="K1451" s="103"/>
      <c r="L1451" s="103"/>
      <c r="N1451" s="103"/>
      <c r="O1451" s="103"/>
      <c r="Q1451" s="16"/>
      <c r="R1451" s="16"/>
      <c r="S1451" s="16"/>
      <c r="T1451" s="103"/>
      <c r="U1451" s="16"/>
      <c r="V1451" s="16"/>
      <c r="W1451" s="16"/>
      <c r="X1451" s="103"/>
    </row>
    <row r="1452" spans="2:24" x14ac:dyDescent="0.25">
      <c r="B1452" s="103"/>
      <c r="C1452" s="103"/>
      <c r="D1452" s="103"/>
      <c r="E1452" s="103"/>
      <c r="F1452" s="103"/>
      <c r="H1452" s="103"/>
      <c r="I1452" s="103"/>
      <c r="J1452" s="103"/>
      <c r="K1452" s="103"/>
      <c r="L1452" s="103"/>
      <c r="N1452" s="103"/>
      <c r="O1452" s="103"/>
      <c r="Q1452" s="16"/>
      <c r="R1452" s="16"/>
      <c r="S1452" s="16"/>
      <c r="T1452" s="103"/>
      <c r="U1452" s="16"/>
      <c r="V1452" s="16"/>
      <c r="W1452" s="16"/>
      <c r="X1452" s="103"/>
    </row>
    <row r="1453" spans="2:24" x14ac:dyDescent="0.25">
      <c r="B1453" s="103"/>
      <c r="C1453" s="103"/>
      <c r="D1453" s="103"/>
      <c r="E1453" s="103"/>
      <c r="F1453" s="103"/>
      <c r="H1453" s="103"/>
      <c r="I1453" s="103"/>
      <c r="J1453" s="103"/>
      <c r="K1453" s="103"/>
      <c r="L1453" s="103"/>
      <c r="N1453" s="103"/>
      <c r="O1453" s="103"/>
      <c r="Q1453" s="16"/>
      <c r="R1453" s="16"/>
      <c r="S1453" s="16"/>
      <c r="T1453" s="103"/>
      <c r="U1453" s="16"/>
      <c r="V1453" s="16"/>
      <c r="W1453" s="16"/>
      <c r="X1453" s="103"/>
    </row>
    <row r="1454" spans="2:24" x14ac:dyDescent="0.25">
      <c r="B1454" s="103"/>
      <c r="C1454" s="103"/>
      <c r="D1454" s="103"/>
      <c r="E1454" s="103"/>
      <c r="F1454" s="103"/>
      <c r="H1454" s="103"/>
      <c r="I1454" s="103"/>
      <c r="J1454" s="103"/>
      <c r="K1454" s="103"/>
      <c r="L1454" s="103"/>
      <c r="N1454" s="103"/>
      <c r="O1454" s="103"/>
      <c r="Q1454" s="16"/>
      <c r="R1454" s="16"/>
      <c r="S1454" s="16"/>
      <c r="T1454" s="103"/>
      <c r="U1454" s="16"/>
      <c r="V1454" s="16"/>
      <c r="W1454" s="16"/>
      <c r="X1454" s="103"/>
    </row>
    <row r="1455" spans="2:24" x14ac:dyDescent="0.25">
      <c r="B1455" s="103"/>
      <c r="C1455" s="103"/>
      <c r="D1455" s="103"/>
      <c r="E1455" s="103"/>
      <c r="F1455" s="103"/>
      <c r="H1455" s="103"/>
      <c r="I1455" s="103"/>
      <c r="J1455" s="103"/>
      <c r="K1455" s="103"/>
      <c r="L1455" s="103"/>
      <c r="N1455" s="103"/>
      <c r="O1455" s="103"/>
      <c r="Q1455" s="16"/>
      <c r="R1455" s="16"/>
      <c r="S1455" s="16"/>
      <c r="T1455" s="103"/>
      <c r="U1455" s="16"/>
      <c r="V1455" s="16"/>
      <c r="W1455" s="16"/>
      <c r="X1455" s="103"/>
    </row>
    <row r="1456" spans="2:24" x14ac:dyDescent="0.25">
      <c r="B1456" s="103"/>
      <c r="C1456" s="103"/>
      <c r="D1456" s="103"/>
      <c r="E1456" s="103"/>
      <c r="F1456" s="103"/>
      <c r="H1456" s="103"/>
      <c r="I1456" s="103"/>
      <c r="J1456" s="103"/>
      <c r="K1456" s="103"/>
      <c r="L1456" s="103"/>
      <c r="N1456" s="103"/>
      <c r="O1456" s="103"/>
      <c r="Q1456" s="16"/>
      <c r="R1456" s="16"/>
      <c r="S1456" s="16"/>
      <c r="T1456" s="103"/>
      <c r="U1456" s="16"/>
      <c r="V1456" s="16"/>
      <c r="W1456" s="16"/>
      <c r="X1456" s="103"/>
    </row>
    <row r="1457" spans="2:24" x14ac:dyDescent="0.25">
      <c r="B1457" s="103"/>
      <c r="C1457" s="103"/>
      <c r="D1457" s="103"/>
      <c r="E1457" s="103"/>
      <c r="F1457" s="103"/>
      <c r="H1457" s="103"/>
      <c r="I1457" s="103"/>
      <c r="J1457" s="103"/>
      <c r="K1457" s="103"/>
      <c r="L1457" s="103"/>
      <c r="N1457" s="103"/>
      <c r="O1457" s="103"/>
      <c r="Q1457" s="16"/>
      <c r="R1457" s="16"/>
      <c r="S1457" s="16"/>
      <c r="T1457" s="103"/>
      <c r="U1457" s="16"/>
      <c r="V1457" s="16"/>
      <c r="W1457" s="16"/>
      <c r="X1457" s="103"/>
    </row>
    <row r="1458" spans="2:24" x14ac:dyDescent="0.25">
      <c r="B1458" s="103"/>
      <c r="C1458" s="103"/>
      <c r="D1458" s="103"/>
      <c r="E1458" s="103"/>
      <c r="F1458" s="103"/>
      <c r="H1458" s="103"/>
      <c r="I1458" s="103"/>
      <c r="J1458" s="103"/>
      <c r="K1458" s="103"/>
      <c r="L1458" s="103"/>
      <c r="N1458" s="103"/>
      <c r="O1458" s="103"/>
      <c r="Q1458" s="16"/>
      <c r="R1458" s="16"/>
      <c r="S1458" s="16"/>
      <c r="T1458" s="103"/>
      <c r="U1458" s="16"/>
      <c r="V1458" s="16"/>
      <c r="W1458" s="16"/>
      <c r="X1458" s="103"/>
    </row>
    <row r="1459" spans="2:24" x14ac:dyDescent="0.25">
      <c r="B1459" s="103"/>
      <c r="C1459" s="103"/>
      <c r="D1459" s="103"/>
      <c r="E1459" s="103"/>
      <c r="F1459" s="103"/>
      <c r="H1459" s="103"/>
      <c r="I1459" s="103"/>
      <c r="J1459" s="103"/>
      <c r="K1459" s="103"/>
      <c r="L1459" s="103"/>
      <c r="N1459" s="103"/>
      <c r="O1459" s="103"/>
      <c r="Q1459" s="16"/>
      <c r="R1459" s="16"/>
      <c r="S1459" s="16"/>
      <c r="T1459" s="103"/>
      <c r="U1459" s="16"/>
      <c r="V1459" s="16"/>
      <c r="W1459" s="16"/>
      <c r="X1459" s="103"/>
    </row>
    <row r="1460" spans="2:24" x14ac:dyDescent="0.25">
      <c r="B1460" s="103"/>
      <c r="C1460" s="103"/>
      <c r="D1460" s="103"/>
      <c r="E1460" s="103"/>
      <c r="F1460" s="103"/>
      <c r="H1460" s="103"/>
      <c r="I1460" s="103"/>
      <c r="J1460" s="103"/>
      <c r="K1460" s="103"/>
      <c r="L1460" s="103"/>
      <c r="N1460" s="103"/>
      <c r="O1460" s="103"/>
      <c r="Q1460" s="16"/>
      <c r="R1460" s="16"/>
      <c r="S1460" s="16"/>
      <c r="T1460" s="103"/>
      <c r="U1460" s="16"/>
      <c r="V1460" s="16"/>
      <c r="W1460" s="16"/>
      <c r="X1460" s="103"/>
    </row>
    <row r="1461" spans="2:24" x14ac:dyDescent="0.25">
      <c r="B1461" s="103"/>
      <c r="C1461" s="103"/>
      <c r="D1461" s="103"/>
      <c r="E1461" s="103"/>
      <c r="F1461" s="103"/>
      <c r="H1461" s="103"/>
      <c r="I1461" s="103"/>
      <c r="J1461" s="103"/>
      <c r="K1461" s="103"/>
      <c r="L1461" s="103"/>
      <c r="N1461" s="103"/>
      <c r="O1461" s="103"/>
      <c r="Q1461" s="16"/>
      <c r="R1461" s="16"/>
      <c r="S1461" s="16"/>
      <c r="T1461" s="103"/>
      <c r="U1461" s="16"/>
      <c r="V1461" s="16"/>
      <c r="W1461" s="16"/>
      <c r="X1461" s="103"/>
    </row>
    <row r="1462" spans="2:24" x14ac:dyDescent="0.25">
      <c r="B1462" s="103"/>
      <c r="C1462" s="103"/>
      <c r="D1462" s="103"/>
      <c r="E1462" s="103"/>
      <c r="F1462" s="103"/>
      <c r="H1462" s="103"/>
      <c r="I1462" s="103"/>
      <c r="J1462" s="103"/>
      <c r="K1462" s="103"/>
      <c r="L1462" s="103"/>
      <c r="N1462" s="103"/>
      <c r="O1462" s="103"/>
      <c r="Q1462" s="16"/>
      <c r="R1462" s="16"/>
      <c r="S1462" s="16"/>
      <c r="T1462" s="103"/>
      <c r="U1462" s="16"/>
      <c r="V1462" s="16"/>
      <c r="W1462" s="16"/>
      <c r="X1462" s="103"/>
    </row>
    <row r="1463" spans="2:24" x14ac:dyDescent="0.25">
      <c r="B1463" s="103"/>
      <c r="C1463" s="103"/>
      <c r="D1463" s="103"/>
      <c r="E1463" s="103"/>
      <c r="F1463" s="103"/>
      <c r="H1463" s="103"/>
      <c r="I1463" s="103"/>
      <c r="J1463" s="103"/>
      <c r="K1463" s="103"/>
      <c r="L1463" s="103"/>
      <c r="N1463" s="103"/>
      <c r="O1463" s="103"/>
      <c r="Q1463" s="16"/>
      <c r="R1463" s="16"/>
      <c r="S1463" s="16"/>
      <c r="T1463" s="103"/>
      <c r="U1463" s="16"/>
      <c r="V1463" s="16"/>
      <c r="W1463" s="16"/>
      <c r="X1463" s="103"/>
    </row>
    <row r="1464" spans="2:24" x14ac:dyDescent="0.25">
      <c r="B1464" s="103"/>
      <c r="C1464" s="103"/>
      <c r="D1464" s="103"/>
      <c r="E1464" s="103"/>
      <c r="F1464" s="103"/>
      <c r="H1464" s="103"/>
      <c r="I1464" s="103"/>
      <c r="J1464" s="103"/>
      <c r="K1464" s="103"/>
      <c r="L1464" s="103"/>
      <c r="N1464" s="103"/>
      <c r="O1464" s="103"/>
      <c r="Q1464" s="16"/>
      <c r="R1464" s="16"/>
      <c r="S1464" s="16"/>
      <c r="T1464" s="103"/>
      <c r="U1464" s="16"/>
      <c r="V1464" s="16"/>
      <c r="W1464" s="16"/>
      <c r="X1464" s="103"/>
    </row>
    <row r="1465" spans="2:24" x14ac:dyDescent="0.25">
      <c r="B1465" s="103"/>
      <c r="C1465" s="103"/>
      <c r="D1465" s="103"/>
      <c r="E1465" s="103"/>
      <c r="F1465" s="103"/>
      <c r="H1465" s="103"/>
      <c r="I1465" s="103"/>
      <c r="J1465" s="103"/>
      <c r="K1465" s="103"/>
      <c r="L1465" s="103"/>
      <c r="N1465" s="103"/>
      <c r="O1465" s="103"/>
      <c r="Q1465" s="16"/>
      <c r="R1465" s="16"/>
      <c r="S1465" s="16"/>
      <c r="T1465" s="103"/>
      <c r="U1465" s="16"/>
      <c r="V1465" s="16"/>
      <c r="W1465" s="16"/>
      <c r="X1465" s="103"/>
    </row>
    <row r="1466" spans="2:24" x14ac:dyDescent="0.25">
      <c r="B1466" s="103"/>
      <c r="C1466" s="103"/>
      <c r="D1466" s="103"/>
      <c r="E1466" s="103"/>
      <c r="F1466" s="103"/>
      <c r="H1466" s="103"/>
      <c r="I1466" s="103"/>
      <c r="J1466" s="103"/>
      <c r="K1466" s="103"/>
      <c r="L1466" s="103"/>
      <c r="N1466" s="103"/>
      <c r="O1466" s="103"/>
      <c r="Q1466" s="16"/>
      <c r="R1466" s="16"/>
      <c r="S1466" s="16"/>
      <c r="T1466" s="103"/>
      <c r="U1466" s="16"/>
      <c r="V1466" s="16"/>
      <c r="W1466" s="16"/>
      <c r="X1466" s="103"/>
    </row>
    <row r="1467" spans="2:24" x14ac:dyDescent="0.25">
      <c r="B1467" s="103"/>
      <c r="C1467" s="103"/>
      <c r="D1467" s="103"/>
      <c r="E1467" s="103"/>
      <c r="F1467" s="103"/>
      <c r="H1467" s="103"/>
      <c r="I1467" s="103"/>
      <c r="J1467" s="103"/>
      <c r="K1467" s="103"/>
      <c r="L1467" s="103"/>
      <c r="N1467" s="103"/>
      <c r="O1467" s="103"/>
      <c r="Q1467" s="16"/>
      <c r="R1467" s="16"/>
      <c r="S1467" s="16"/>
      <c r="T1467" s="103"/>
      <c r="U1467" s="16"/>
      <c r="V1467" s="16"/>
      <c r="W1467" s="16"/>
      <c r="X1467" s="103"/>
    </row>
    <row r="1468" spans="2:24" x14ac:dyDescent="0.25">
      <c r="B1468" s="103"/>
      <c r="C1468" s="103"/>
      <c r="D1468" s="103"/>
      <c r="E1468" s="103"/>
      <c r="F1468" s="103"/>
      <c r="H1468" s="103"/>
      <c r="I1468" s="103"/>
      <c r="J1468" s="103"/>
      <c r="K1468" s="103"/>
      <c r="L1468" s="103"/>
      <c r="N1468" s="103"/>
      <c r="O1468" s="103"/>
      <c r="Q1468" s="16"/>
      <c r="R1468" s="16"/>
      <c r="S1468" s="16"/>
      <c r="T1468" s="103"/>
      <c r="U1468" s="16"/>
      <c r="V1468" s="16"/>
      <c r="W1468" s="16"/>
      <c r="X1468" s="103"/>
    </row>
    <row r="1469" spans="2:24" x14ac:dyDescent="0.25">
      <c r="B1469" s="103"/>
      <c r="C1469" s="103"/>
      <c r="D1469" s="103"/>
      <c r="E1469" s="103"/>
      <c r="F1469" s="103"/>
      <c r="H1469" s="103"/>
      <c r="I1469" s="103"/>
      <c r="J1469" s="103"/>
      <c r="K1469" s="103"/>
      <c r="L1469" s="103"/>
      <c r="N1469" s="103"/>
      <c r="O1469" s="103"/>
      <c r="Q1469" s="16"/>
      <c r="R1469" s="16"/>
      <c r="S1469" s="16"/>
      <c r="T1469" s="103"/>
      <c r="U1469" s="16"/>
      <c r="V1469" s="16"/>
      <c r="W1469" s="16"/>
      <c r="X1469" s="103"/>
    </row>
    <row r="1470" spans="2:24" x14ac:dyDescent="0.25">
      <c r="B1470" s="103"/>
      <c r="C1470" s="103"/>
      <c r="D1470" s="103"/>
      <c r="E1470" s="103"/>
      <c r="F1470" s="103"/>
      <c r="H1470" s="103"/>
      <c r="I1470" s="103"/>
      <c r="J1470" s="103"/>
      <c r="K1470" s="103"/>
      <c r="L1470" s="103"/>
      <c r="N1470" s="103"/>
      <c r="O1470" s="103"/>
      <c r="Q1470" s="16"/>
      <c r="R1470" s="16"/>
      <c r="S1470" s="16"/>
      <c r="T1470" s="103"/>
      <c r="U1470" s="16"/>
      <c r="V1470" s="16"/>
      <c r="W1470" s="16"/>
      <c r="X1470" s="103"/>
    </row>
    <row r="1471" spans="2:24" x14ac:dyDescent="0.25">
      <c r="B1471" s="103"/>
      <c r="C1471" s="103"/>
      <c r="D1471" s="103"/>
      <c r="E1471" s="103"/>
      <c r="F1471" s="103"/>
      <c r="H1471" s="103"/>
      <c r="I1471" s="103"/>
      <c r="J1471" s="103"/>
      <c r="K1471" s="103"/>
      <c r="L1471" s="103"/>
      <c r="N1471" s="103"/>
      <c r="O1471" s="103"/>
      <c r="Q1471" s="16"/>
      <c r="R1471" s="16"/>
      <c r="S1471" s="16"/>
      <c r="T1471" s="103"/>
      <c r="U1471" s="16"/>
      <c r="V1471" s="16"/>
      <c r="W1471" s="16"/>
      <c r="X1471" s="103"/>
    </row>
    <row r="1472" spans="2:24" x14ac:dyDescent="0.25">
      <c r="B1472" s="103"/>
      <c r="C1472" s="103"/>
      <c r="D1472" s="103"/>
      <c r="E1472" s="103"/>
      <c r="F1472" s="103"/>
      <c r="H1472" s="103"/>
      <c r="I1472" s="103"/>
      <c r="J1472" s="103"/>
      <c r="K1472" s="103"/>
      <c r="L1472" s="103"/>
      <c r="N1472" s="103"/>
      <c r="O1472" s="103"/>
      <c r="Q1472" s="16"/>
      <c r="R1472" s="16"/>
      <c r="S1472" s="16"/>
      <c r="T1472" s="103"/>
      <c r="U1472" s="16"/>
      <c r="V1472" s="16"/>
      <c r="W1472" s="16"/>
      <c r="X1472" s="103"/>
    </row>
    <row r="1473" spans="2:24" x14ac:dyDescent="0.25">
      <c r="B1473" s="103"/>
      <c r="C1473" s="103"/>
      <c r="D1473" s="103"/>
      <c r="E1473" s="103"/>
      <c r="F1473" s="103"/>
      <c r="H1473" s="103"/>
      <c r="I1473" s="103"/>
      <c r="J1473" s="103"/>
      <c r="K1473" s="103"/>
      <c r="L1473" s="103"/>
      <c r="N1473" s="103"/>
      <c r="O1473" s="103"/>
      <c r="Q1473" s="16"/>
      <c r="R1473" s="16"/>
      <c r="S1473" s="16"/>
      <c r="T1473" s="103"/>
      <c r="U1473" s="16"/>
      <c r="V1473" s="16"/>
      <c r="W1473" s="16"/>
      <c r="X1473" s="103"/>
    </row>
    <row r="1474" spans="2:24" x14ac:dyDescent="0.25">
      <c r="B1474" s="103"/>
      <c r="C1474" s="103"/>
      <c r="D1474" s="103"/>
      <c r="E1474" s="103"/>
      <c r="F1474" s="103"/>
      <c r="H1474" s="103"/>
      <c r="I1474" s="103"/>
      <c r="J1474" s="103"/>
      <c r="K1474" s="103"/>
      <c r="L1474" s="103"/>
      <c r="N1474" s="103"/>
      <c r="O1474" s="103"/>
      <c r="Q1474" s="16"/>
      <c r="R1474" s="16"/>
      <c r="S1474" s="16"/>
      <c r="T1474" s="103"/>
      <c r="U1474" s="16"/>
      <c r="V1474" s="16"/>
      <c r="W1474" s="16"/>
      <c r="X1474" s="103"/>
    </row>
    <row r="1475" spans="2:24" x14ac:dyDescent="0.25">
      <c r="B1475" s="103"/>
      <c r="C1475" s="103"/>
      <c r="D1475" s="103"/>
      <c r="E1475" s="103"/>
      <c r="F1475" s="103"/>
      <c r="H1475" s="103"/>
      <c r="I1475" s="103"/>
      <c r="J1475" s="103"/>
      <c r="K1475" s="103"/>
      <c r="L1475" s="103"/>
      <c r="N1475" s="103"/>
      <c r="O1475" s="103"/>
      <c r="Q1475" s="16"/>
      <c r="R1475" s="16"/>
      <c r="S1475" s="16"/>
      <c r="T1475" s="103"/>
      <c r="U1475" s="16"/>
      <c r="V1475" s="16"/>
      <c r="W1475" s="16"/>
      <c r="X1475" s="103"/>
    </row>
    <row r="1476" spans="2:24" x14ac:dyDescent="0.25">
      <c r="B1476" s="103"/>
      <c r="C1476" s="103"/>
      <c r="D1476" s="103"/>
      <c r="E1476" s="103"/>
      <c r="F1476" s="103"/>
      <c r="H1476" s="103"/>
      <c r="I1476" s="103"/>
      <c r="J1476" s="103"/>
      <c r="K1476" s="103"/>
      <c r="L1476" s="103"/>
      <c r="N1476" s="103"/>
      <c r="O1476" s="103"/>
      <c r="Q1476" s="16"/>
      <c r="R1476" s="16"/>
      <c r="S1476" s="16"/>
      <c r="T1476" s="103"/>
      <c r="U1476" s="16"/>
      <c r="V1476" s="16"/>
      <c r="W1476" s="16"/>
      <c r="X1476" s="103"/>
    </row>
    <row r="1477" spans="2:24" x14ac:dyDescent="0.25">
      <c r="B1477" s="103"/>
      <c r="C1477" s="103"/>
      <c r="D1477" s="103"/>
      <c r="E1477" s="103"/>
      <c r="F1477" s="103"/>
      <c r="H1477" s="103"/>
      <c r="I1477" s="103"/>
      <c r="J1477" s="103"/>
      <c r="K1477" s="103"/>
      <c r="L1477" s="103"/>
      <c r="N1477" s="103"/>
      <c r="O1477" s="103"/>
      <c r="Q1477" s="16"/>
      <c r="R1477" s="16"/>
      <c r="S1477" s="16"/>
      <c r="T1477" s="103"/>
      <c r="U1477" s="16"/>
      <c r="V1477" s="16"/>
      <c r="W1477" s="16"/>
      <c r="X1477" s="103"/>
    </row>
    <row r="1478" spans="2:24" x14ac:dyDescent="0.25">
      <c r="B1478" s="103"/>
      <c r="C1478" s="103"/>
      <c r="D1478" s="103"/>
      <c r="E1478" s="103"/>
      <c r="F1478" s="103"/>
      <c r="H1478" s="103"/>
      <c r="I1478" s="103"/>
      <c r="J1478" s="103"/>
      <c r="K1478" s="103"/>
      <c r="L1478" s="103"/>
      <c r="N1478" s="103"/>
      <c r="O1478" s="103"/>
      <c r="Q1478" s="16"/>
      <c r="R1478" s="16"/>
      <c r="S1478" s="16"/>
      <c r="T1478" s="103"/>
      <c r="U1478" s="16"/>
      <c r="V1478" s="16"/>
      <c r="W1478" s="16"/>
      <c r="X1478" s="103"/>
    </row>
    <row r="1479" spans="2:24" x14ac:dyDescent="0.25">
      <c r="B1479" s="103"/>
      <c r="C1479" s="103"/>
      <c r="D1479" s="103"/>
      <c r="E1479" s="103"/>
      <c r="F1479" s="103"/>
      <c r="H1479" s="103"/>
      <c r="I1479" s="103"/>
      <c r="J1479" s="103"/>
      <c r="K1479" s="103"/>
      <c r="L1479" s="103"/>
      <c r="N1479" s="103"/>
      <c r="O1479" s="103"/>
      <c r="Q1479" s="16"/>
      <c r="R1479" s="16"/>
      <c r="S1479" s="16"/>
      <c r="T1479" s="103"/>
      <c r="U1479" s="16"/>
      <c r="V1479" s="16"/>
      <c r="W1479" s="16"/>
      <c r="X1479" s="103"/>
    </row>
    <row r="1480" spans="2:24" x14ac:dyDescent="0.25">
      <c r="B1480" s="103"/>
      <c r="C1480" s="103"/>
      <c r="D1480" s="103"/>
      <c r="E1480" s="103"/>
      <c r="F1480" s="103"/>
      <c r="H1480" s="103"/>
      <c r="I1480" s="103"/>
      <c r="J1480" s="103"/>
      <c r="K1480" s="103"/>
      <c r="L1480" s="103"/>
      <c r="N1480" s="103"/>
      <c r="O1480" s="103"/>
      <c r="Q1480" s="16"/>
      <c r="R1480" s="16"/>
      <c r="S1480" s="16"/>
      <c r="T1480" s="103"/>
      <c r="U1480" s="16"/>
      <c r="V1480" s="16"/>
      <c r="W1480" s="16"/>
      <c r="X1480" s="103"/>
    </row>
    <row r="1481" spans="2:24" x14ac:dyDescent="0.25">
      <c r="B1481" s="103"/>
      <c r="C1481" s="103"/>
      <c r="D1481" s="103"/>
      <c r="E1481" s="103"/>
      <c r="F1481" s="103"/>
      <c r="H1481" s="103"/>
      <c r="I1481" s="103"/>
      <c r="J1481" s="103"/>
      <c r="K1481" s="103"/>
      <c r="L1481" s="103"/>
      <c r="N1481" s="103"/>
      <c r="O1481" s="103"/>
      <c r="Q1481" s="16"/>
      <c r="R1481" s="16"/>
      <c r="S1481" s="16"/>
      <c r="T1481" s="103"/>
      <c r="U1481" s="16"/>
      <c r="V1481" s="16"/>
      <c r="W1481" s="16"/>
      <c r="X1481" s="103"/>
    </row>
    <row r="1482" spans="2:24" x14ac:dyDescent="0.25">
      <c r="B1482" s="103"/>
      <c r="C1482" s="103"/>
      <c r="D1482" s="103"/>
      <c r="E1482" s="103"/>
      <c r="F1482" s="103"/>
      <c r="H1482" s="103"/>
      <c r="I1482" s="103"/>
      <c r="J1482" s="103"/>
      <c r="K1482" s="103"/>
      <c r="L1482" s="103"/>
      <c r="N1482" s="103"/>
      <c r="O1482" s="103"/>
      <c r="Q1482" s="16"/>
      <c r="R1482" s="16"/>
      <c r="S1482" s="16"/>
      <c r="T1482" s="103"/>
      <c r="U1482" s="16"/>
      <c r="V1482" s="16"/>
      <c r="W1482" s="16"/>
      <c r="X1482" s="103"/>
    </row>
    <row r="1483" spans="2:24" x14ac:dyDescent="0.25">
      <c r="B1483" s="103"/>
      <c r="C1483" s="103"/>
      <c r="D1483" s="103"/>
      <c r="E1483" s="103"/>
      <c r="F1483" s="103"/>
      <c r="H1483" s="103"/>
      <c r="I1483" s="103"/>
      <c r="J1483" s="103"/>
      <c r="K1483" s="103"/>
      <c r="L1483" s="103"/>
      <c r="N1483" s="103"/>
      <c r="O1483" s="103"/>
      <c r="Q1483" s="16"/>
      <c r="R1483" s="16"/>
      <c r="S1483" s="16"/>
      <c r="T1483" s="103"/>
      <c r="U1483" s="16"/>
      <c r="V1483" s="16"/>
      <c r="W1483" s="16"/>
      <c r="X1483" s="103"/>
    </row>
    <row r="1484" spans="2:24" x14ac:dyDescent="0.25">
      <c r="B1484" s="103"/>
      <c r="C1484" s="103"/>
      <c r="D1484" s="103"/>
      <c r="E1484" s="103"/>
      <c r="F1484" s="103"/>
      <c r="H1484" s="103"/>
      <c r="I1484" s="103"/>
      <c r="J1484" s="103"/>
      <c r="K1484" s="103"/>
      <c r="L1484" s="103"/>
      <c r="N1484" s="103"/>
      <c r="O1484" s="103"/>
      <c r="Q1484" s="16"/>
      <c r="R1484" s="16"/>
      <c r="S1484" s="16"/>
      <c r="T1484" s="103"/>
      <c r="U1484" s="16"/>
      <c r="V1484" s="16"/>
      <c r="W1484" s="16"/>
      <c r="X1484" s="103"/>
    </row>
    <row r="1485" spans="2:24" x14ac:dyDescent="0.25">
      <c r="B1485" s="103"/>
      <c r="C1485" s="103"/>
      <c r="D1485" s="103"/>
      <c r="E1485" s="103"/>
      <c r="F1485" s="103"/>
      <c r="H1485" s="103"/>
      <c r="I1485" s="103"/>
      <c r="J1485" s="103"/>
      <c r="K1485" s="103"/>
      <c r="L1485" s="103"/>
      <c r="N1485" s="103"/>
      <c r="O1485" s="103"/>
      <c r="Q1485" s="16"/>
      <c r="R1485" s="16"/>
      <c r="S1485" s="16"/>
      <c r="T1485" s="103"/>
      <c r="U1485" s="16"/>
      <c r="V1485" s="16"/>
      <c r="W1485" s="16"/>
      <c r="X1485" s="103"/>
    </row>
    <row r="1486" spans="2:24" x14ac:dyDescent="0.25">
      <c r="B1486" s="103"/>
      <c r="C1486" s="103"/>
      <c r="D1486" s="103"/>
      <c r="E1486" s="103"/>
      <c r="F1486" s="103"/>
      <c r="H1486" s="103"/>
      <c r="I1486" s="103"/>
      <c r="J1486" s="103"/>
      <c r="K1486" s="103"/>
      <c r="L1486" s="103"/>
      <c r="N1486" s="103"/>
      <c r="O1486" s="103"/>
      <c r="Q1486" s="16"/>
      <c r="R1486" s="16"/>
      <c r="S1486" s="16"/>
      <c r="T1486" s="103"/>
      <c r="U1486" s="16"/>
      <c r="V1486" s="16"/>
      <c r="W1486" s="16"/>
      <c r="X1486" s="103"/>
    </row>
    <row r="1487" spans="2:24" x14ac:dyDescent="0.25">
      <c r="B1487" s="103"/>
      <c r="C1487" s="103"/>
      <c r="D1487" s="103"/>
      <c r="E1487" s="103"/>
      <c r="F1487" s="103"/>
      <c r="H1487" s="103"/>
      <c r="I1487" s="103"/>
      <c r="J1487" s="103"/>
      <c r="K1487" s="103"/>
      <c r="L1487" s="103"/>
      <c r="N1487" s="103"/>
      <c r="O1487" s="103"/>
      <c r="Q1487" s="16"/>
      <c r="R1487" s="16"/>
      <c r="S1487" s="16"/>
      <c r="T1487" s="103"/>
      <c r="U1487" s="16"/>
      <c r="V1487" s="16"/>
      <c r="W1487" s="16"/>
      <c r="X1487" s="103"/>
    </row>
    <row r="1488" spans="2:24" x14ac:dyDescent="0.25">
      <c r="B1488" s="103"/>
      <c r="C1488" s="103"/>
      <c r="D1488" s="103"/>
      <c r="E1488" s="103"/>
      <c r="F1488" s="103"/>
      <c r="H1488" s="103"/>
      <c r="I1488" s="103"/>
      <c r="J1488" s="103"/>
      <c r="K1488" s="103"/>
      <c r="L1488" s="103"/>
      <c r="N1488" s="103"/>
      <c r="O1488" s="103"/>
      <c r="Q1488" s="16"/>
      <c r="R1488" s="16"/>
      <c r="S1488" s="16"/>
      <c r="T1488" s="103"/>
      <c r="U1488" s="16"/>
      <c r="V1488" s="16"/>
      <c r="W1488" s="16"/>
      <c r="X1488" s="103"/>
    </row>
    <row r="1489" spans="2:24" x14ac:dyDescent="0.25">
      <c r="B1489" s="103"/>
      <c r="C1489" s="103"/>
      <c r="D1489" s="103"/>
      <c r="E1489" s="103"/>
      <c r="F1489" s="103"/>
      <c r="H1489" s="103"/>
      <c r="I1489" s="103"/>
      <c r="J1489" s="103"/>
      <c r="K1489" s="103"/>
      <c r="L1489" s="103"/>
      <c r="N1489" s="103"/>
      <c r="O1489" s="103"/>
      <c r="Q1489" s="16"/>
      <c r="R1489" s="16"/>
      <c r="S1489" s="16"/>
      <c r="T1489" s="103"/>
      <c r="U1489" s="16"/>
      <c r="V1489" s="16"/>
      <c r="W1489" s="16"/>
      <c r="X1489" s="103"/>
    </row>
    <row r="1490" spans="2:24" x14ac:dyDescent="0.25">
      <c r="B1490" s="103"/>
      <c r="C1490" s="103"/>
      <c r="D1490" s="103"/>
      <c r="E1490" s="103"/>
      <c r="F1490" s="103"/>
      <c r="H1490" s="103"/>
      <c r="I1490" s="103"/>
      <c r="J1490" s="103"/>
      <c r="K1490" s="103"/>
      <c r="L1490" s="103"/>
      <c r="N1490" s="103"/>
      <c r="O1490" s="103"/>
      <c r="Q1490" s="16"/>
      <c r="R1490" s="16"/>
      <c r="S1490" s="16"/>
      <c r="T1490" s="103"/>
      <c r="U1490" s="16"/>
      <c r="V1490" s="16"/>
      <c r="W1490" s="16"/>
      <c r="X1490" s="103"/>
    </row>
    <row r="1491" spans="2:24" x14ac:dyDescent="0.25">
      <c r="B1491" s="103"/>
      <c r="C1491" s="103"/>
      <c r="D1491" s="103"/>
      <c r="E1491" s="103"/>
      <c r="F1491" s="103"/>
      <c r="H1491" s="103"/>
      <c r="I1491" s="103"/>
      <c r="J1491" s="103"/>
      <c r="K1491" s="103"/>
      <c r="L1491" s="103"/>
      <c r="N1491" s="103"/>
      <c r="O1491" s="103"/>
      <c r="Q1491" s="16"/>
      <c r="R1491" s="16"/>
      <c r="S1491" s="16"/>
      <c r="T1491" s="103"/>
      <c r="U1491" s="16"/>
      <c r="V1491" s="16"/>
      <c r="W1491" s="16"/>
      <c r="X1491" s="103"/>
    </row>
    <row r="1492" spans="2:24" x14ac:dyDescent="0.25">
      <c r="B1492" s="103"/>
      <c r="C1492" s="103"/>
      <c r="D1492" s="103"/>
      <c r="E1492" s="103"/>
      <c r="F1492" s="103"/>
      <c r="H1492" s="103"/>
      <c r="I1492" s="103"/>
      <c r="J1492" s="103"/>
      <c r="K1492" s="103"/>
      <c r="L1492" s="103"/>
      <c r="N1492" s="103"/>
      <c r="O1492" s="103"/>
      <c r="Q1492" s="16"/>
      <c r="R1492" s="16"/>
      <c r="S1492" s="16"/>
      <c r="T1492" s="103"/>
      <c r="U1492" s="16"/>
      <c r="V1492" s="16"/>
      <c r="W1492" s="16"/>
      <c r="X1492" s="103"/>
    </row>
    <row r="1493" spans="2:24" x14ac:dyDescent="0.25">
      <c r="B1493" s="103"/>
      <c r="C1493" s="103"/>
      <c r="D1493" s="103"/>
      <c r="E1493" s="103"/>
      <c r="F1493" s="103"/>
      <c r="H1493" s="103"/>
      <c r="I1493" s="103"/>
      <c r="J1493" s="103"/>
      <c r="K1493" s="103"/>
      <c r="L1493" s="103"/>
      <c r="N1493" s="103"/>
      <c r="O1493" s="103"/>
      <c r="Q1493" s="16"/>
      <c r="R1493" s="16"/>
      <c r="S1493" s="16"/>
      <c r="T1493" s="103"/>
      <c r="U1493" s="16"/>
      <c r="V1493" s="16"/>
      <c r="W1493" s="16"/>
      <c r="X1493" s="103"/>
    </row>
    <row r="1494" spans="2:24" x14ac:dyDescent="0.25">
      <c r="B1494" s="103"/>
      <c r="C1494" s="103"/>
      <c r="D1494" s="103"/>
      <c r="E1494" s="103"/>
      <c r="F1494" s="103"/>
      <c r="H1494" s="103"/>
      <c r="I1494" s="103"/>
      <c r="J1494" s="103"/>
      <c r="K1494" s="103"/>
      <c r="L1494" s="103"/>
      <c r="N1494" s="103"/>
      <c r="O1494" s="103"/>
      <c r="Q1494" s="16"/>
      <c r="R1494" s="16"/>
      <c r="S1494" s="16"/>
      <c r="T1494" s="103"/>
      <c r="U1494" s="16"/>
      <c r="V1494" s="16"/>
      <c r="W1494" s="16"/>
      <c r="X1494" s="103"/>
    </row>
    <row r="1495" spans="2:24" x14ac:dyDescent="0.25">
      <c r="B1495" s="103"/>
      <c r="C1495" s="103"/>
      <c r="D1495" s="103"/>
      <c r="E1495" s="103"/>
      <c r="F1495" s="103"/>
      <c r="H1495" s="103"/>
      <c r="I1495" s="103"/>
      <c r="J1495" s="103"/>
      <c r="K1495" s="103"/>
      <c r="L1495" s="103"/>
      <c r="N1495" s="103"/>
      <c r="O1495" s="103"/>
      <c r="Q1495" s="16"/>
      <c r="R1495" s="16"/>
      <c r="S1495" s="16"/>
      <c r="T1495" s="103"/>
      <c r="U1495" s="16"/>
      <c r="V1495" s="16"/>
      <c r="W1495" s="16"/>
      <c r="X1495" s="103"/>
    </row>
    <row r="1496" spans="2:24" x14ac:dyDescent="0.25">
      <c r="B1496" s="103"/>
      <c r="C1496" s="103"/>
      <c r="D1496" s="103"/>
      <c r="E1496" s="103"/>
      <c r="F1496" s="103"/>
      <c r="H1496" s="103"/>
      <c r="I1496" s="103"/>
      <c r="J1496" s="103"/>
      <c r="K1496" s="103"/>
      <c r="L1496" s="103"/>
      <c r="N1496" s="103"/>
      <c r="O1496" s="103"/>
      <c r="Q1496" s="16"/>
      <c r="R1496" s="16"/>
      <c r="S1496" s="16"/>
      <c r="T1496" s="103"/>
      <c r="U1496" s="16"/>
      <c r="V1496" s="16"/>
      <c r="W1496" s="16"/>
      <c r="X1496" s="103"/>
    </row>
    <row r="1497" spans="2:24" x14ac:dyDescent="0.25">
      <c r="B1497" s="103"/>
      <c r="C1497" s="103"/>
      <c r="D1497" s="103"/>
      <c r="E1497" s="103"/>
      <c r="F1497" s="103"/>
      <c r="H1497" s="103"/>
      <c r="I1497" s="103"/>
      <c r="J1497" s="103"/>
      <c r="K1497" s="103"/>
      <c r="L1497" s="103"/>
      <c r="N1497" s="103"/>
      <c r="O1497" s="103"/>
      <c r="Q1497" s="16"/>
      <c r="R1497" s="16"/>
      <c r="S1497" s="16"/>
      <c r="T1497" s="103"/>
      <c r="U1497" s="16"/>
      <c r="V1497" s="16"/>
      <c r="W1497" s="16"/>
      <c r="X1497" s="103"/>
    </row>
    <row r="1498" spans="2:24" x14ac:dyDescent="0.25">
      <c r="B1498" s="103"/>
      <c r="C1498" s="103"/>
      <c r="D1498" s="103"/>
      <c r="E1498" s="103"/>
      <c r="F1498" s="103"/>
      <c r="H1498" s="103"/>
      <c r="I1498" s="103"/>
      <c r="J1498" s="103"/>
      <c r="K1498" s="103"/>
      <c r="L1498" s="103"/>
      <c r="N1498" s="103"/>
      <c r="O1498" s="103"/>
      <c r="Q1498" s="16"/>
      <c r="R1498" s="16"/>
      <c r="S1498" s="16"/>
      <c r="T1498" s="103"/>
      <c r="U1498" s="16"/>
      <c r="V1498" s="16"/>
      <c r="W1498" s="16"/>
      <c r="X1498" s="103"/>
    </row>
    <row r="1499" spans="2:24" x14ac:dyDescent="0.25">
      <c r="B1499" s="103"/>
      <c r="C1499" s="103"/>
      <c r="D1499" s="103"/>
      <c r="E1499" s="103"/>
      <c r="F1499" s="103"/>
      <c r="H1499" s="103"/>
      <c r="I1499" s="103"/>
      <c r="J1499" s="103"/>
      <c r="K1499" s="103"/>
      <c r="L1499" s="103"/>
      <c r="N1499" s="103"/>
      <c r="O1499" s="103"/>
      <c r="Q1499" s="16"/>
      <c r="R1499" s="16"/>
      <c r="S1499" s="16"/>
      <c r="T1499" s="103"/>
      <c r="U1499" s="16"/>
      <c r="V1499" s="16"/>
      <c r="W1499" s="16"/>
      <c r="X1499" s="103"/>
    </row>
    <row r="1500" spans="2:24" x14ac:dyDescent="0.25">
      <c r="B1500" s="103"/>
      <c r="C1500" s="103"/>
      <c r="D1500" s="103"/>
      <c r="E1500" s="103"/>
      <c r="F1500" s="103"/>
      <c r="H1500" s="103"/>
      <c r="I1500" s="103"/>
      <c r="J1500" s="103"/>
      <c r="K1500" s="103"/>
      <c r="L1500" s="103"/>
      <c r="N1500" s="103"/>
      <c r="O1500" s="103"/>
      <c r="Q1500" s="16"/>
      <c r="R1500" s="16"/>
      <c r="S1500" s="16"/>
      <c r="T1500" s="103"/>
      <c r="U1500" s="16"/>
      <c r="V1500" s="16"/>
      <c r="W1500" s="16"/>
      <c r="X1500" s="103"/>
    </row>
    <row r="1501" spans="2:24" x14ac:dyDescent="0.25">
      <c r="B1501" s="103"/>
      <c r="C1501" s="103"/>
      <c r="D1501" s="103"/>
      <c r="E1501" s="103"/>
      <c r="F1501" s="103"/>
      <c r="H1501" s="103"/>
      <c r="I1501" s="103"/>
      <c r="J1501" s="103"/>
      <c r="K1501" s="103"/>
      <c r="L1501" s="103"/>
      <c r="N1501" s="103"/>
      <c r="O1501" s="103"/>
      <c r="Q1501" s="16"/>
      <c r="R1501" s="16"/>
      <c r="S1501" s="16"/>
      <c r="T1501" s="103"/>
      <c r="U1501" s="16"/>
      <c r="V1501" s="16"/>
      <c r="W1501" s="16"/>
      <c r="X1501" s="103"/>
    </row>
    <row r="1502" spans="2:24" x14ac:dyDescent="0.25">
      <c r="B1502" s="103"/>
      <c r="C1502" s="103"/>
      <c r="D1502" s="103"/>
      <c r="E1502" s="103"/>
      <c r="F1502" s="103"/>
      <c r="H1502" s="103"/>
      <c r="I1502" s="103"/>
      <c r="J1502" s="103"/>
      <c r="K1502" s="103"/>
      <c r="L1502" s="103"/>
      <c r="N1502" s="103"/>
      <c r="O1502" s="103"/>
      <c r="Q1502" s="16"/>
      <c r="R1502" s="16"/>
      <c r="S1502" s="16"/>
      <c r="T1502" s="103"/>
      <c r="U1502" s="16"/>
      <c r="V1502" s="16"/>
      <c r="W1502" s="16"/>
      <c r="X1502" s="103"/>
    </row>
    <row r="1503" spans="2:24" x14ac:dyDescent="0.25">
      <c r="B1503" s="103"/>
      <c r="C1503" s="103"/>
      <c r="D1503" s="103"/>
      <c r="E1503" s="103"/>
      <c r="F1503" s="103"/>
      <c r="H1503" s="103"/>
      <c r="I1503" s="103"/>
      <c r="J1503" s="103"/>
      <c r="K1503" s="103"/>
      <c r="L1503" s="103"/>
      <c r="N1503" s="103"/>
      <c r="O1503" s="103"/>
      <c r="Q1503" s="16"/>
      <c r="R1503" s="16"/>
      <c r="S1503" s="16"/>
      <c r="T1503" s="103"/>
      <c r="U1503" s="16"/>
      <c r="V1503" s="16"/>
      <c r="W1503" s="16"/>
      <c r="X1503" s="103"/>
    </row>
    <row r="1504" spans="2:24" x14ac:dyDescent="0.25">
      <c r="B1504" s="103"/>
      <c r="C1504" s="103"/>
      <c r="D1504" s="103"/>
      <c r="E1504" s="103"/>
      <c r="F1504" s="103"/>
      <c r="H1504" s="103"/>
      <c r="I1504" s="103"/>
      <c r="J1504" s="103"/>
      <c r="K1504" s="103"/>
      <c r="L1504" s="103"/>
      <c r="N1504" s="103"/>
      <c r="O1504" s="103"/>
      <c r="Q1504" s="16"/>
      <c r="R1504" s="16"/>
      <c r="S1504" s="16"/>
      <c r="T1504" s="103"/>
      <c r="U1504" s="16"/>
      <c r="V1504" s="16"/>
      <c r="W1504" s="16"/>
      <c r="X1504" s="103"/>
    </row>
    <row r="1505" spans="2:24" x14ac:dyDescent="0.25">
      <c r="B1505" s="103"/>
      <c r="C1505" s="103"/>
      <c r="D1505" s="103"/>
      <c r="E1505" s="103"/>
      <c r="F1505" s="103"/>
      <c r="H1505" s="103"/>
      <c r="I1505" s="103"/>
      <c r="J1505" s="103"/>
      <c r="K1505" s="103"/>
      <c r="L1505" s="103"/>
      <c r="N1505" s="103"/>
      <c r="O1505" s="103"/>
      <c r="Q1505" s="16"/>
      <c r="R1505" s="16"/>
      <c r="S1505" s="16"/>
      <c r="T1505" s="103"/>
      <c r="U1505" s="16"/>
      <c r="V1505" s="16"/>
      <c r="W1505" s="16"/>
      <c r="X1505" s="103"/>
    </row>
    <row r="1506" spans="2:24" x14ac:dyDescent="0.25">
      <c r="B1506" s="103"/>
      <c r="C1506" s="103"/>
      <c r="D1506" s="103"/>
      <c r="E1506" s="103"/>
      <c r="F1506" s="103"/>
      <c r="H1506" s="103"/>
      <c r="I1506" s="103"/>
      <c r="J1506" s="103"/>
      <c r="K1506" s="103"/>
      <c r="L1506" s="103"/>
      <c r="N1506" s="103"/>
      <c r="O1506" s="103"/>
      <c r="Q1506" s="16"/>
      <c r="R1506" s="16"/>
      <c r="S1506" s="16"/>
      <c r="T1506" s="103"/>
      <c r="U1506" s="16"/>
      <c r="V1506" s="16"/>
      <c r="W1506" s="16"/>
      <c r="X1506" s="103"/>
    </row>
    <row r="1507" spans="2:24" x14ac:dyDescent="0.25">
      <c r="B1507" s="103"/>
      <c r="C1507" s="103"/>
      <c r="D1507" s="103"/>
      <c r="E1507" s="103"/>
      <c r="F1507" s="103"/>
      <c r="H1507" s="103"/>
      <c r="I1507" s="103"/>
      <c r="J1507" s="103"/>
      <c r="K1507" s="103"/>
      <c r="L1507" s="103"/>
      <c r="N1507" s="103"/>
      <c r="O1507" s="103"/>
      <c r="Q1507" s="16"/>
      <c r="R1507" s="16"/>
      <c r="S1507" s="16"/>
      <c r="T1507" s="103"/>
      <c r="U1507" s="16"/>
      <c r="V1507" s="16"/>
      <c r="W1507" s="16"/>
      <c r="X1507" s="103"/>
    </row>
    <row r="1508" spans="2:24" x14ac:dyDescent="0.25">
      <c r="B1508" s="103"/>
      <c r="C1508" s="103"/>
      <c r="D1508" s="103"/>
      <c r="E1508" s="103"/>
      <c r="F1508" s="103"/>
      <c r="H1508" s="103"/>
      <c r="I1508" s="103"/>
      <c r="J1508" s="103"/>
      <c r="K1508" s="103"/>
      <c r="L1508" s="103"/>
      <c r="N1508" s="103"/>
      <c r="O1508" s="103"/>
      <c r="Q1508" s="16"/>
      <c r="R1508" s="16"/>
      <c r="S1508" s="16"/>
      <c r="T1508" s="103"/>
      <c r="U1508" s="16"/>
      <c r="V1508" s="16"/>
      <c r="W1508" s="16"/>
      <c r="X1508" s="103"/>
    </row>
    <row r="1509" spans="2:24" x14ac:dyDescent="0.25">
      <c r="B1509" s="103"/>
      <c r="C1509" s="103"/>
      <c r="D1509" s="103"/>
      <c r="E1509" s="103"/>
      <c r="F1509" s="103"/>
      <c r="H1509" s="103"/>
      <c r="I1509" s="103"/>
      <c r="J1509" s="103"/>
      <c r="K1509" s="103"/>
      <c r="L1509" s="103"/>
      <c r="N1509" s="103"/>
      <c r="O1509" s="103"/>
      <c r="Q1509" s="16"/>
      <c r="R1509" s="16"/>
      <c r="S1509" s="16"/>
      <c r="T1509" s="103"/>
      <c r="U1509" s="16"/>
      <c r="V1509" s="16"/>
      <c r="W1509" s="16"/>
      <c r="X1509" s="103"/>
    </row>
    <row r="1510" spans="2:24" x14ac:dyDescent="0.25">
      <c r="B1510" s="103"/>
      <c r="C1510" s="103"/>
      <c r="D1510" s="103"/>
      <c r="E1510" s="103"/>
      <c r="F1510" s="103"/>
      <c r="H1510" s="103"/>
      <c r="I1510" s="103"/>
      <c r="J1510" s="103"/>
      <c r="K1510" s="103"/>
      <c r="L1510" s="103"/>
      <c r="N1510" s="103"/>
      <c r="O1510" s="103"/>
      <c r="Q1510" s="16"/>
      <c r="R1510" s="16"/>
      <c r="S1510" s="16"/>
      <c r="T1510" s="103"/>
      <c r="U1510" s="16"/>
      <c r="V1510" s="16"/>
      <c r="W1510" s="16"/>
      <c r="X1510" s="103"/>
    </row>
    <row r="1511" spans="2:24" x14ac:dyDescent="0.25">
      <c r="B1511" s="103"/>
      <c r="C1511" s="103"/>
      <c r="D1511" s="103"/>
      <c r="E1511" s="103"/>
      <c r="F1511" s="103"/>
      <c r="H1511" s="103"/>
      <c r="I1511" s="103"/>
      <c r="J1511" s="103"/>
      <c r="K1511" s="103"/>
      <c r="L1511" s="103"/>
      <c r="N1511" s="103"/>
      <c r="O1511" s="103"/>
      <c r="Q1511" s="16"/>
      <c r="R1511" s="16"/>
      <c r="S1511" s="16"/>
      <c r="T1511" s="103"/>
      <c r="U1511" s="16"/>
      <c r="V1511" s="16"/>
      <c r="W1511" s="16"/>
      <c r="X1511" s="103"/>
    </row>
    <row r="1512" spans="2:24" x14ac:dyDescent="0.25">
      <c r="B1512" s="103"/>
      <c r="C1512" s="103"/>
      <c r="D1512" s="103"/>
      <c r="E1512" s="103"/>
      <c r="F1512" s="103"/>
      <c r="H1512" s="103"/>
      <c r="I1512" s="103"/>
      <c r="J1512" s="103"/>
      <c r="K1512" s="103"/>
      <c r="L1512" s="103"/>
      <c r="N1512" s="103"/>
      <c r="O1512" s="103"/>
      <c r="Q1512" s="16"/>
      <c r="R1512" s="16"/>
      <c r="S1512" s="16"/>
      <c r="T1512" s="103"/>
      <c r="U1512" s="16"/>
      <c r="V1512" s="16"/>
      <c r="W1512" s="16"/>
      <c r="X1512" s="103"/>
    </row>
    <row r="1513" spans="2:24" x14ac:dyDescent="0.25">
      <c r="B1513" s="103"/>
      <c r="C1513" s="103"/>
      <c r="D1513" s="103"/>
      <c r="E1513" s="103"/>
      <c r="F1513" s="103"/>
      <c r="H1513" s="103"/>
      <c r="I1513" s="103"/>
      <c r="J1513" s="103"/>
      <c r="K1513" s="103"/>
      <c r="L1513" s="103"/>
      <c r="N1513" s="103"/>
      <c r="O1513" s="103"/>
      <c r="Q1513" s="16"/>
      <c r="R1513" s="16"/>
      <c r="S1513" s="16"/>
      <c r="T1513" s="103"/>
      <c r="U1513" s="16"/>
      <c r="V1513" s="16"/>
      <c r="W1513" s="16"/>
      <c r="X1513" s="103"/>
    </row>
    <row r="1514" spans="2:24" x14ac:dyDescent="0.25">
      <c r="B1514" s="103"/>
      <c r="C1514" s="103"/>
      <c r="D1514" s="103"/>
      <c r="E1514" s="103"/>
      <c r="F1514" s="103"/>
      <c r="H1514" s="103"/>
      <c r="I1514" s="103"/>
      <c r="J1514" s="103"/>
      <c r="K1514" s="103"/>
      <c r="L1514" s="103"/>
      <c r="N1514" s="103"/>
      <c r="O1514" s="103"/>
      <c r="Q1514" s="16"/>
      <c r="R1514" s="16"/>
      <c r="S1514" s="16"/>
      <c r="T1514" s="103"/>
      <c r="U1514" s="16"/>
      <c r="V1514" s="16"/>
      <c r="W1514" s="16"/>
      <c r="X1514" s="103"/>
    </row>
    <row r="1515" spans="2:24" x14ac:dyDescent="0.25">
      <c r="B1515" s="103"/>
      <c r="C1515" s="103"/>
      <c r="D1515" s="103"/>
      <c r="E1515" s="103"/>
      <c r="F1515" s="103"/>
      <c r="H1515" s="103"/>
      <c r="I1515" s="103"/>
      <c r="J1515" s="103"/>
      <c r="K1515" s="103"/>
      <c r="L1515" s="103"/>
      <c r="N1515" s="103"/>
      <c r="O1515" s="103"/>
      <c r="Q1515" s="16"/>
      <c r="R1515" s="16"/>
      <c r="S1515" s="16"/>
      <c r="T1515" s="103"/>
      <c r="U1515" s="16"/>
      <c r="V1515" s="16"/>
      <c r="W1515" s="16"/>
      <c r="X1515" s="103"/>
    </row>
    <row r="1516" spans="2:24" x14ac:dyDescent="0.25">
      <c r="B1516" s="103"/>
      <c r="C1516" s="103"/>
      <c r="D1516" s="103"/>
      <c r="E1516" s="103"/>
      <c r="F1516" s="103"/>
      <c r="H1516" s="103"/>
      <c r="I1516" s="103"/>
      <c r="J1516" s="103"/>
      <c r="K1516" s="103"/>
      <c r="L1516" s="103"/>
      <c r="N1516" s="103"/>
      <c r="O1516" s="103"/>
      <c r="Q1516" s="16"/>
      <c r="R1516" s="16"/>
      <c r="S1516" s="16"/>
      <c r="T1516" s="103"/>
      <c r="U1516" s="16"/>
      <c r="V1516" s="16"/>
      <c r="W1516" s="16"/>
      <c r="X1516" s="103"/>
    </row>
    <row r="1517" spans="2:24" x14ac:dyDescent="0.25">
      <c r="B1517" s="103"/>
      <c r="C1517" s="103"/>
      <c r="D1517" s="103"/>
      <c r="E1517" s="103"/>
      <c r="F1517" s="103"/>
      <c r="H1517" s="103"/>
      <c r="I1517" s="103"/>
      <c r="J1517" s="103"/>
      <c r="K1517" s="103"/>
      <c r="L1517" s="103"/>
      <c r="N1517" s="103"/>
      <c r="O1517" s="103"/>
      <c r="Q1517" s="16"/>
      <c r="R1517" s="16"/>
      <c r="S1517" s="16"/>
      <c r="T1517" s="103"/>
      <c r="U1517" s="16"/>
      <c r="V1517" s="16"/>
      <c r="W1517" s="16"/>
      <c r="X1517" s="103"/>
    </row>
    <row r="1518" spans="2:24" x14ac:dyDescent="0.25">
      <c r="B1518" s="103"/>
      <c r="C1518" s="103"/>
      <c r="D1518" s="103"/>
      <c r="E1518" s="103"/>
      <c r="F1518" s="103"/>
      <c r="H1518" s="103"/>
      <c r="I1518" s="103"/>
      <c r="J1518" s="103"/>
      <c r="K1518" s="103"/>
      <c r="L1518" s="103"/>
      <c r="N1518" s="103"/>
      <c r="O1518" s="103"/>
      <c r="Q1518" s="16"/>
      <c r="R1518" s="16"/>
      <c r="S1518" s="16"/>
      <c r="T1518" s="103"/>
      <c r="U1518" s="16"/>
      <c r="V1518" s="16"/>
      <c r="W1518" s="16"/>
      <c r="X1518" s="103"/>
    </row>
    <row r="1519" spans="2:24" x14ac:dyDescent="0.25">
      <c r="B1519" s="103"/>
      <c r="C1519" s="103"/>
      <c r="D1519" s="103"/>
      <c r="E1519" s="103"/>
      <c r="F1519" s="103"/>
      <c r="H1519" s="103"/>
      <c r="I1519" s="103"/>
      <c r="J1519" s="103"/>
      <c r="K1519" s="103"/>
      <c r="L1519" s="103"/>
      <c r="N1519" s="103"/>
      <c r="O1519" s="103"/>
      <c r="Q1519" s="16"/>
      <c r="R1519" s="16"/>
      <c r="S1519" s="16"/>
      <c r="T1519" s="103"/>
      <c r="U1519" s="16"/>
      <c r="V1519" s="16"/>
      <c r="W1519" s="16"/>
      <c r="X1519" s="103"/>
    </row>
    <row r="1520" spans="2:24" x14ac:dyDescent="0.25">
      <c r="B1520" s="103"/>
      <c r="C1520" s="103"/>
      <c r="D1520" s="103"/>
      <c r="E1520" s="103"/>
      <c r="F1520" s="103"/>
      <c r="H1520" s="103"/>
      <c r="I1520" s="103"/>
      <c r="J1520" s="103"/>
      <c r="K1520" s="103"/>
      <c r="L1520" s="103"/>
      <c r="N1520" s="103"/>
      <c r="O1520" s="103"/>
      <c r="Q1520" s="16"/>
      <c r="R1520" s="16"/>
      <c r="S1520" s="16"/>
      <c r="T1520" s="103"/>
      <c r="U1520" s="16"/>
      <c r="V1520" s="16"/>
      <c r="W1520" s="16"/>
      <c r="X1520" s="103"/>
    </row>
    <row r="1521" spans="2:24" x14ac:dyDescent="0.25">
      <c r="B1521" s="103"/>
      <c r="C1521" s="103"/>
      <c r="D1521" s="103"/>
      <c r="E1521" s="103"/>
      <c r="F1521" s="103"/>
      <c r="H1521" s="103"/>
      <c r="I1521" s="103"/>
      <c r="J1521" s="103"/>
      <c r="K1521" s="103"/>
      <c r="L1521" s="103"/>
      <c r="N1521" s="103"/>
      <c r="O1521" s="103"/>
      <c r="Q1521" s="16"/>
      <c r="R1521" s="16"/>
      <c r="S1521" s="16"/>
      <c r="T1521" s="103"/>
      <c r="U1521" s="16"/>
      <c r="V1521" s="16"/>
      <c r="W1521" s="16"/>
      <c r="X1521" s="103"/>
    </row>
    <row r="1522" spans="2:24" x14ac:dyDescent="0.25">
      <c r="B1522" s="103"/>
      <c r="C1522" s="103"/>
      <c r="D1522" s="103"/>
      <c r="E1522" s="103"/>
      <c r="F1522" s="103"/>
      <c r="H1522" s="103"/>
      <c r="I1522" s="103"/>
      <c r="J1522" s="103"/>
      <c r="K1522" s="103"/>
      <c r="L1522" s="103"/>
      <c r="N1522" s="103"/>
      <c r="O1522" s="103"/>
      <c r="Q1522" s="16"/>
      <c r="R1522" s="16"/>
      <c r="S1522" s="16"/>
      <c r="T1522" s="103"/>
      <c r="U1522" s="16"/>
      <c r="V1522" s="16"/>
      <c r="W1522" s="16"/>
      <c r="X1522" s="103"/>
    </row>
    <row r="1523" spans="2:24" x14ac:dyDescent="0.25">
      <c r="B1523" s="103"/>
      <c r="C1523" s="103"/>
      <c r="D1523" s="103"/>
      <c r="E1523" s="103"/>
      <c r="F1523" s="103"/>
      <c r="H1523" s="103"/>
      <c r="I1523" s="103"/>
      <c r="J1523" s="103"/>
      <c r="K1523" s="103"/>
      <c r="L1523" s="103"/>
      <c r="N1523" s="103"/>
      <c r="O1523" s="103"/>
      <c r="Q1523" s="16"/>
      <c r="R1523" s="16"/>
      <c r="S1523" s="16"/>
      <c r="T1523" s="103"/>
      <c r="U1523" s="16"/>
      <c r="V1523" s="16"/>
      <c r="W1523" s="16"/>
      <c r="X1523" s="103"/>
    </row>
    <row r="1524" spans="2:24" x14ac:dyDescent="0.25">
      <c r="B1524" s="103"/>
      <c r="C1524" s="103"/>
      <c r="D1524" s="103"/>
      <c r="E1524" s="103"/>
      <c r="F1524" s="103"/>
      <c r="H1524" s="103"/>
      <c r="I1524" s="103"/>
      <c r="J1524" s="103"/>
      <c r="K1524" s="103"/>
      <c r="L1524" s="103"/>
      <c r="N1524" s="103"/>
      <c r="O1524" s="103"/>
      <c r="Q1524" s="16"/>
      <c r="R1524" s="16"/>
      <c r="S1524" s="16"/>
      <c r="T1524" s="103"/>
      <c r="U1524" s="16"/>
      <c r="V1524" s="16"/>
      <c r="W1524" s="16"/>
      <c r="X1524" s="103"/>
    </row>
    <row r="1525" spans="2:24" x14ac:dyDescent="0.25">
      <c r="B1525" s="103"/>
      <c r="C1525" s="103"/>
      <c r="D1525" s="103"/>
      <c r="E1525" s="103"/>
      <c r="F1525" s="103"/>
      <c r="H1525" s="103"/>
      <c r="I1525" s="103"/>
      <c r="J1525" s="103"/>
      <c r="K1525" s="103"/>
      <c r="L1525" s="103"/>
      <c r="N1525" s="103"/>
      <c r="O1525" s="103"/>
      <c r="Q1525" s="16"/>
      <c r="R1525" s="16"/>
      <c r="S1525" s="16"/>
      <c r="T1525" s="103"/>
      <c r="U1525" s="16"/>
      <c r="V1525" s="16"/>
      <c r="W1525" s="16"/>
      <c r="X1525" s="103"/>
    </row>
    <row r="1526" spans="2:24" x14ac:dyDescent="0.25">
      <c r="B1526" s="103"/>
      <c r="C1526" s="103"/>
      <c r="D1526" s="103"/>
      <c r="E1526" s="103"/>
      <c r="F1526" s="103"/>
      <c r="H1526" s="103"/>
      <c r="I1526" s="103"/>
      <c r="J1526" s="103"/>
      <c r="K1526" s="103"/>
      <c r="L1526" s="103"/>
      <c r="N1526" s="103"/>
      <c r="O1526" s="103"/>
      <c r="Q1526" s="16"/>
      <c r="R1526" s="16"/>
      <c r="S1526" s="16"/>
      <c r="T1526" s="103"/>
      <c r="U1526" s="16"/>
      <c r="V1526" s="16"/>
      <c r="W1526" s="16"/>
      <c r="X1526" s="103"/>
    </row>
    <row r="1527" spans="2:24" x14ac:dyDescent="0.25">
      <c r="B1527" s="103"/>
      <c r="C1527" s="103"/>
      <c r="D1527" s="103"/>
      <c r="E1527" s="103"/>
      <c r="F1527" s="103"/>
      <c r="H1527" s="103"/>
      <c r="I1527" s="103"/>
      <c r="J1527" s="103"/>
      <c r="K1527" s="103"/>
      <c r="L1527" s="103"/>
      <c r="N1527" s="103"/>
      <c r="O1527" s="103"/>
      <c r="Q1527" s="16"/>
      <c r="R1527" s="16"/>
      <c r="S1527" s="16"/>
      <c r="T1527" s="103"/>
      <c r="U1527" s="16"/>
      <c r="V1527" s="16"/>
      <c r="W1527" s="16"/>
      <c r="X1527" s="103"/>
    </row>
    <row r="1528" spans="2:24" x14ac:dyDescent="0.25">
      <c r="B1528" s="103"/>
      <c r="C1528" s="103"/>
      <c r="D1528" s="103"/>
      <c r="E1528" s="103"/>
      <c r="F1528" s="103"/>
      <c r="H1528" s="103"/>
      <c r="I1528" s="103"/>
      <c r="J1528" s="103"/>
      <c r="K1528" s="103"/>
      <c r="L1528" s="103"/>
      <c r="N1528" s="103"/>
      <c r="O1528" s="103"/>
      <c r="Q1528" s="16"/>
      <c r="R1528" s="16"/>
      <c r="S1528" s="16"/>
      <c r="T1528" s="103"/>
      <c r="U1528" s="16"/>
      <c r="V1528" s="16"/>
      <c r="W1528" s="16"/>
      <c r="X1528" s="103"/>
    </row>
    <row r="1529" spans="2:24" x14ac:dyDescent="0.25">
      <c r="B1529" s="103"/>
      <c r="C1529" s="103"/>
      <c r="D1529" s="103"/>
      <c r="E1529" s="103"/>
      <c r="F1529" s="103"/>
      <c r="H1529" s="103"/>
      <c r="I1529" s="103"/>
      <c r="J1529" s="103"/>
      <c r="K1529" s="103"/>
      <c r="L1529" s="103"/>
      <c r="N1529" s="103"/>
      <c r="O1529" s="103"/>
      <c r="Q1529" s="16"/>
      <c r="R1529" s="16"/>
      <c r="S1529" s="16"/>
      <c r="T1529" s="103"/>
      <c r="U1529" s="16"/>
      <c r="V1529" s="16"/>
      <c r="W1529" s="16"/>
      <c r="X1529" s="103"/>
    </row>
    <row r="1530" spans="2:24" x14ac:dyDescent="0.25">
      <c r="B1530" s="103"/>
      <c r="C1530" s="103"/>
      <c r="D1530" s="103"/>
      <c r="E1530" s="103"/>
      <c r="F1530" s="103"/>
      <c r="H1530" s="103"/>
      <c r="I1530" s="103"/>
      <c r="J1530" s="103"/>
      <c r="K1530" s="103"/>
      <c r="L1530" s="103"/>
      <c r="N1530" s="103"/>
      <c r="O1530" s="103"/>
      <c r="Q1530" s="16"/>
      <c r="R1530" s="16"/>
      <c r="S1530" s="16"/>
      <c r="T1530" s="103"/>
      <c r="U1530" s="16"/>
      <c r="V1530" s="16"/>
      <c r="W1530" s="16"/>
      <c r="X1530" s="103"/>
    </row>
    <row r="1531" spans="2:24" x14ac:dyDescent="0.25">
      <c r="B1531" s="103"/>
      <c r="C1531" s="103"/>
      <c r="D1531" s="103"/>
      <c r="E1531" s="103"/>
      <c r="F1531" s="103"/>
      <c r="H1531" s="103"/>
      <c r="I1531" s="103"/>
      <c r="J1531" s="103"/>
      <c r="K1531" s="103"/>
      <c r="L1531" s="103"/>
      <c r="N1531" s="103"/>
      <c r="O1531" s="103"/>
      <c r="Q1531" s="16"/>
      <c r="R1531" s="16"/>
      <c r="S1531" s="16"/>
      <c r="T1531" s="103"/>
      <c r="U1531" s="16"/>
      <c r="V1531" s="16"/>
      <c r="W1531" s="16"/>
      <c r="X1531" s="103"/>
    </row>
    <row r="1532" spans="2:24" x14ac:dyDescent="0.25">
      <c r="B1532" s="103"/>
      <c r="C1532" s="103"/>
      <c r="D1532" s="103"/>
      <c r="E1532" s="103"/>
      <c r="F1532" s="103"/>
      <c r="H1532" s="103"/>
      <c r="I1532" s="103"/>
      <c r="J1532" s="103"/>
      <c r="K1532" s="103"/>
      <c r="L1532" s="103"/>
      <c r="N1532" s="103"/>
      <c r="O1532" s="103"/>
      <c r="Q1532" s="16"/>
      <c r="R1532" s="16"/>
      <c r="S1532" s="16"/>
      <c r="T1532" s="103"/>
      <c r="U1532" s="16"/>
      <c r="V1532" s="16"/>
      <c r="W1532" s="16"/>
      <c r="X1532" s="103"/>
    </row>
    <row r="1533" spans="2:24" x14ac:dyDescent="0.25">
      <c r="B1533" s="103"/>
      <c r="C1533" s="103"/>
      <c r="D1533" s="103"/>
      <c r="E1533" s="103"/>
      <c r="F1533" s="103"/>
      <c r="H1533" s="103"/>
      <c r="I1533" s="103"/>
      <c r="J1533" s="103"/>
      <c r="K1533" s="103"/>
      <c r="L1533" s="103"/>
      <c r="N1533" s="103"/>
      <c r="O1533" s="103"/>
      <c r="Q1533" s="16"/>
      <c r="R1533" s="16"/>
      <c r="S1533" s="16"/>
      <c r="T1533" s="103"/>
      <c r="U1533" s="16"/>
      <c r="V1533" s="16"/>
      <c r="W1533" s="16"/>
      <c r="X1533" s="103"/>
    </row>
    <row r="1534" spans="2:24" x14ac:dyDescent="0.25">
      <c r="B1534" s="103"/>
      <c r="C1534" s="103"/>
      <c r="D1534" s="103"/>
      <c r="E1534" s="103"/>
      <c r="F1534" s="103"/>
      <c r="H1534" s="103"/>
      <c r="I1534" s="103"/>
      <c r="J1534" s="103"/>
      <c r="K1534" s="103"/>
      <c r="L1534" s="103"/>
      <c r="N1534" s="103"/>
      <c r="O1534" s="103"/>
      <c r="Q1534" s="16"/>
      <c r="R1534" s="16"/>
      <c r="S1534" s="16"/>
      <c r="T1534" s="103"/>
      <c r="U1534" s="16"/>
      <c r="V1534" s="16"/>
      <c r="W1534" s="16"/>
      <c r="X1534" s="103"/>
    </row>
    <row r="1535" spans="2:24" x14ac:dyDescent="0.25">
      <c r="B1535" s="103"/>
      <c r="C1535" s="103"/>
      <c r="D1535" s="103"/>
      <c r="E1535" s="103"/>
      <c r="F1535" s="103"/>
      <c r="H1535" s="103"/>
      <c r="I1535" s="103"/>
      <c r="J1535" s="103"/>
      <c r="K1535" s="103"/>
      <c r="L1535" s="103"/>
      <c r="N1535" s="103"/>
      <c r="O1535" s="103"/>
      <c r="Q1535" s="16"/>
      <c r="R1535" s="16"/>
      <c r="S1535" s="16"/>
      <c r="T1535" s="103"/>
      <c r="U1535" s="16"/>
      <c r="V1535" s="16"/>
      <c r="W1535" s="16"/>
      <c r="X1535" s="103"/>
    </row>
    <row r="1536" spans="2:24" x14ac:dyDescent="0.25">
      <c r="B1536" s="103"/>
      <c r="C1536" s="103"/>
      <c r="D1536" s="103"/>
      <c r="E1536" s="103"/>
      <c r="F1536" s="103"/>
      <c r="H1536" s="103"/>
      <c r="I1536" s="103"/>
      <c r="J1536" s="103"/>
      <c r="K1536" s="103"/>
      <c r="L1536" s="103"/>
      <c r="N1536" s="103"/>
      <c r="O1536" s="103"/>
      <c r="Q1536" s="16"/>
      <c r="R1536" s="16"/>
      <c r="S1536" s="16"/>
      <c r="T1536" s="103"/>
      <c r="U1536" s="16"/>
      <c r="V1536" s="16"/>
      <c r="W1536" s="16"/>
      <c r="X1536" s="103"/>
    </row>
    <row r="1537" spans="2:24" x14ac:dyDescent="0.25">
      <c r="B1537" s="103"/>
      <c r="C1537" s="103"/>
      <c r="D1537" s="103"/>
      <c r="E1537" s="103"/>
      <c r="F1537" s="103"/>
      <c r="H1537" s="103"/>
      <c r="I1537" s="103"/>
      <c r="J1537" s="103"/>
      <c r="K1537" s="103"/>
      <c r="L1537" s="103"/>
      <c r="N1537" s="103"/>
      <c r="O1537" s="103"/>
      <c r="Q1537" s="16"/>
      <c r="R1537" s="16"/>
      <c r="S1537" s="16"/>
      <c r="T1537" s="103"/>
      <c r="U1537" s="16"/>
      <c r="V1537" s="16"/>
      <c r="W1537" s="16"/>
      <c r="X1537" s="103"/>
    </row>
    <row r="1538" spans="2:24" x14ac:dyDescent="0.25">
      <c r="B1538" s="103"/>
      <c r="C1538" s="103"/>
      <c r="D1538" s="103"/>
      <c r="E1538" s="103"/>
      <c r="F1538" s="103"/>
      <c r="H1538" s="103"/>
      <c r="I1538" s="103"/>
      <c r="J1538" s="103"/>
      <c r="K1538" s="103"/>
      <c r="L1538" s="103"/>
      <c r="N1538" s="103"/>
      <c r="O1538" s="103"/>
      <c r="Q1538" s="16"/>
      <c r="R1538" s="16"/>
      <c r="S1538" s="16"/>
      <c r="T1538" s="103"/>
      <c r="U1538" s="16"/>
      <c r="V1538" s="16"/>
      <c r="W1538" s="16"/>
      <c r="X1538" s="103"/>
    </row>
    <row r="1539" spans="2:24" x14ac:dyDescent="0.25">
      <c r="B1539" s="103"/>
      <c r="C1539" s="103"/>
      <c r="D1539" s="103"/>
      <c r="E1539" s="103"/>
      <c r="F1539" s="103"/>
      <c r="H1539" s="103"/>
      <c r="I1539" s="103"/>
      <c r="J1539" s="103"/>
      <c r="K1539" s="103"/>
      <c r="L1539" s="103"/>
      <c r="N1539" s="103"/>
      <c r="O1539" s="103"/>
      <c r="Q1539" s="16"/>
      <c r="R1539" s="16"/>
      <c r="S1539" s="16"/>
      <c r="T1539" s="103"/>
      <c r="U1539" s="16"/>
      <c r="V1539" s="16"/>
      <c r="W1539" s="16"/>
      <c r="X1539" s="103"/>
    </row>
    <row r="1540" spans="2:24" x14ac:dyDescent="0.25">
      <c r="B1540" s="103"/>
      <c r="C1540" s="103"/>
      <c r="D1540" s="103"/>
      <c r="E1540" s="103"/>
      <c r="F1540" s="103"/>
      <c r="H1540" s="103"/>
      <c r="I1540" s="103"/>
      <c r="J1540" s="103"/>
      <c r="K1540" s="103"/>
      <c r="L1540" s="103"/>
      <c r="N1540" s="103"/>
      <c r="O1540" s="103"/>
      <c r="Q1540" s="16"/>
      <c r="R1540" s="16"/>
      <c r="S1540" s="16"/>
      <c r="T1540" s="103"/>
      <c r="U1540" s="16"/>
      <c r="V1540" s="16"/>
      <c r="W1540" s="16"/>
      <c r="X1540" s="103"/>
    </row>
    <row r="1541" spans="2:24" x14ac:dyDescent="0.25">
      <c r="B1541" s="103"/>
      <c r="C1541" s="103"/>
      <c r="D1541" s="103"/>
      <c r="E1541" s="103"/>
      <c r="F1541" s="103"/>
      <c r="H1541" s="103"/>
      <c r="I1541" s="103"/>
      <c r="J1541" s="103"/>
      <c r="K1541" s="103"/>
      <c r="L1541" s="103"/>
      <c r="N1541" s="103"/>
      <c r="O1541" s="103"/>
      <c r="Q1541" s="16"/>
      <c r="R1541" s="16"/>
      <c r="S1541" s="16"/>
      <c r="T1541" s="103"/>
      <c r="U1541" s="16"/>
      <c r="V1541" s="16"/>
      <c r="W1541" s="16"/>
      <c r="X1541" s="103"/>
    </row>
    <row r="1542" spans="2:24" x14ac:dyDescent="0.25">
      <c r="B1542" s="103"/>
      <c r="C1542" s="103"/>
      <c r="D1542" s="103"/>
      <c r="E1542" s="103"/>
      <c r="F1542" s="103"/>
      <c r="H1542" s="103"/>
      <c r="I1542" s="103"/>
      <c r="J1542" s="103"/>
      <c r="K1542" s="103"/>
      <c r="L1542" s="103"/>
      <c r="N1542" s="103"/>
      <c r="O1542" s="103"/>
      <c r="Q1542" s="16"/>
      <c r="R1542" s="16"/>
      <c r="S1542" s="16"/>
      <c r="T1542" s="103"/>
      <c r="U1542" s="16"/>
      <c r="V1542" s="16"/>
      <c r="W1542" s="16"/>
      <c r="X1542" s="103"/>
    </row>
    <row r="1543" spans="2:24" x14ac:dyDescent="0.25">
      <c r="B1543" s="103"/>
      <c r="C1543" s="103"/>
      <c r="D1543" s="103"/>
      <c r="E1543" s="103"/>
      <c r="F1543" s="103"/>
      <c r="H1543" s="103"/>
      <c r="I1543" s="103"/>
      <c r="J1543" s="103"/>
      <c r="K1543" s="103"/>
      <c r="L1543" s="103"/>
      <c r="N1543" s="103"/>
      <c r="O1543" s="103"/>
      <c r="Q1543" s="16"/>
      <c r="R1543" s="16"/>
      <c r="S1543" s="16"/>
      <c r="T1543" s="103"/>
      <c r="U1543" s="16"/>
      <c r="V1543" s="16"/>
      <c r="W1543" s="16"/>
      <c r="X1543" s="103"/>
    </row>
    <row r="1544" spans="2:24" x14ac:dyDescent="0.25">
      <c r="B1544" s="103"/>
      <c r="C1544" s="103"/>
      <c r="D1544" s="103"/>
      <c r="E1544" s="103"/>
      <c r="F1544" s="103"/>
      <c r="H1544" s="103"/>
      <c r="I1544" s="103"/>
      <c r="J1544" s="103"/>
      <c r="K1544" s="103"/>
      <c r="L1544" s="103"/>
      <c r="N1544" s="103"/>
      <c r="O1544" s="103"/>
      <c r="Q1544" s="16"/>
      <c r="R1544" s="16"/>
      <c r="S1544" s="16"/>
      <c r="T1544" s="103"/>
      <c r="U1544" s="16"/>
      <c r="V1544" s="16"/>
      <c r="W1544" s="16"/>
      <c r="X1544" s="103"/>
    </row>
    <row r="1545" spans="2:24" x14ac:dyDescent="0.25">
      <c r="B1545" s="103"/>
      <c r="C1545" s="103"/>
      <c r="D1545" s="103"/>
      <c r="E1545" s="103"/>
      <c r="F1545" s="103"/>
      <c r="H1545" s="103"/>
      <c r="I1545" s="103"/>
      <c r="J1545" s="103"/>
      <c r="K1545" s="103"/>
      <c r="L1545" s="103"/>
      <c r="N1545" s="103"/>
      <c r="O1545" s="103"/>
      <c r="Q1545" s="16"/>
      <c r="R1545" s="16"/>
      <c r="S1545" s="16"/>
      <c r="T1545" s="103"/>
      <c r="U1545" s="16"/>
      <c r="V1545" s="16"/>
      <c r="W1545" s="16"/>
      <c r="X1545" s="103"/>
    </row>
    <row r="1546" spans="2:24" x14ac:dyDescent="0.25">
      <c r="B1546" s="103"/>
      <c r="C1546" s="103"/>
      <c r="D1546" s="103"/>
      <c r="E1546" s="103"/>
      <c r="F1546" s="103"/>
      <c r="H1546" s="103"/>
      <c r="I1546" s="103"/>
      <c r="J1546" s="103"/>
      <c r="K1546" s="103"/>
      <c r="L1546" s="103"/>
      <c r="N1546" s="103"/>
      <c r="O1546" s="103"/>
      <c r="Q1546" s="16"/>
      <c r="R1546" s="16"/>
      <c r="S1546" s="16"/>
      <c r="T1546" s="103"/>
      <c r="U1546" s="16"/>
      <c r="V1546" s="16"/>
      <c r="W1546" s="16"/>
      <c r="X1546" s="103"/>
    </row>
    <row r="1547" spans="2:24" x14ac:dyDescent="0.25">
      <c r="B1547" s="103"/>
      <c r="C1547" s="103"/>
      <c r="D1547" s="103"/>
      <c r="E1547" s="103"/>
      <c r="F1547" s="103"/>
      <c r="H1547" s="103"/>
      <c r="I1547" s="103"/>
      <c r="J1547" s="103"/>
      <c r="K1547" s="103"/>
      <c r="L1547" s="103"/>
      <c r="N1547" s="103"/>
      <c r="O1547" s="103"/>
      <c r="Q1547" s="16"/>
      <c r="R1547" s="16"/>
      <c r="S1547" s="16"/>
      <c r="T1547" s="103"/>
      <c r="U1547" s="16"/>
      <c r="V1547" s="16"/>
      <c r="W1547" s="16"/>
      <c r="X1547" s="103"/>
    </row>
    <row r="1548" spans="2:24" x14ac:dyDescent="0.25">
      <c r="B1548" s="103"/>
      <c r="C1548" s="103"/>
      <c r="D1548" s="103"/>
      <c r="E1548" s="103"/>
      <c r="F1548" s="103"/>
      <c r="H1548" s="103"/>
      <c r="I1548" s="103"/>
      <c r="J1548" s="103"/>
      <c r="K1548" s="103"/>
      <c r="L1548" s="103"/>
      <c r="N1548" s="103"/>
      <c r="O1548" s="103"/>
      <c r="Q1548" s="16"/>
      <c r="R1548" s="16"/>
      <c r="S1548" s="16"/>
      <c r="T1548" s="103"/>
      <c r="U1548" s="16"/>
      <c r="V1548" s="16"/>
      <c r="W1548" s="16"/>
      <c r="X1548" s="103"/>
    </row>
    <row r="1549" spans="2:24" x14ac:dyDescent="0.25">
      <c r="B1549" s="103"/>
      <c r="C1549" s="103"/>
      <c r="D1549" s="103"/>
      <c r="E1549" s="103"/>
      <c r="F1549" s="103"/>
      <c r="H1549" s="103"/>
      <c r="I1549" s="103"/>
      <c r="J1549" s="103"/>
      <c r="K1549" s="103"/>
      <c r="L1549" s="103"/>
      <c r="N1549" s="103"/>
      <c r="O1549" s="103"/>
      <c r="Q1549" s="16"/>
      <c r="R1549" s="16"/>
      <c r="S1549" s="16"/>
      <c r="T1549" s="103"/>
      <c r="U1549" s="16"/>
      <c r="V1549" s="16"/>
      <c r="W1549" s="16"/>
      <c r="X1549" s="103"/>
    </row>
    <row r="1550" spans="2:24" x14ac:dyDescent="0.25">
      <c r="B1550" s="103"/>
      <c r="C1550" s="103"/>
      <c r="D1550" s="103"/>
      <c r="E1550" s="103"/>
      <c r="F1550" s="103"/>
      <c r="H1550" s="103"/>
      <c r="I1550" s="103"/>
      <c r="J1550" s="103"/>
      <c r="K1550" s="103"/>
      <c r="L1550" s="103"/>
      <c r="N1550" s="103"/>
      <c r="O1550" s="103"/>
      <c r="Q1550" s="16"/>
      <c r="R1550" s="16"/>
      <c r="S1550" s="16"/>
      <c r="T1550" s="103"/>
      <c r="U1550" s="16"/>
      <c r="V1550" s="16"/>
      <c r="W1550" s="16"/>
      <c r="X1550" s="103"/>
    </row>
    <row r="1551" spans="2:24" x14ac:dyDescent="0.25">
      <c r="B1551" s="103"/>
      <c r="C1551" s="103"/>
      <c r="D1551" s="103"/>
      <c r="E1551" s="103"/>
      <c r="F1551" s="103"/>
      <c r="H1551" s="103"/>
      <c r="I1551" s="103"/>
      <c r="J1551" s="103"/>
      <c r="K1551" s="103"/>
      <c r="L1551" s="103"/>
      <c r="N1551" s="103"/>
      <c r="O1551" s="103"/>
      <c r="Q1551" s="16"/>
      <c r="R1551" s="16"/>
      <c r="S1551" s="16"/>
      <c r="T1551" s="103"/>
      <c r="U1551" s="16"/>
      <c r="V1551" s="16"/>
      <c r="W1551" s="16"/>
      <c r="X1551" s="103"/>
    </row>
    <row r="1552" spans="2:24" x14ac:dyDescent="0.25">
      <c r="B1552" s="103"/>
      <c r="C1552" s="103"/>
      <c r="D1552" s="103"/>
      <c r="E1552" s="103"/>
      <c r="F1552" s="103"/>
      <c r="H1552" s="103"/>
      <c r="I1552" s="103"/>
      <c r="J1552" s="103"/>
      <c r="K1552" s="103"/>
      <c r="L1552" s="103"/>
      <c r="N1552" s="103"/>
      <c r="O1552" s="103"/>
      <c r="Q1552" s="16"/>
      <c r="R1552" s="16"/>
      <c r="S1552" s="16"/>
      <c r="T1552" s="103"/>
      <c r="U1552" s="16"/>
      <c r="V1552" s="16"/>
      <c r="W1552" s="16"/>
      <c r="X1552" s="103"/>
    </row>
    <row r="1553" spans="2:24" x14ac:dyDescent="0.25">
      <c r="B1553" s="103"/>
      <c r="C1553" s="103"/>
      <c r="D1553" s="103"/>
      <c r="E1553" s="103"/>
      <c r="F1553" s="103"/>
      <c r="H1553" s="103"/>
      <c r="I1553" s="103"/>
      <c r="J1553" s="103"/>
      <c r="K1553" s="103"/>
      <c r="L1553" s="103"/>
      <c r="N1553" s="103"/>
      <c r="O1553" s="103"/>
      <c r="Q1553" s="16"/>
      <c r="R1553" s="16"/>
      <c r="S1553" s="16"/>
      <c r="T1553" s="103"/>
      <c r="U1553" s="16"/>
      <c r="V1553" s="16"/>
      <c r="W1553" s="16"/>
      <c r="X1553" s="103"/>
    </row>
    <row r="1554" spans="2:24" x14ac:dyDescent="0.25">
      <c r="B1554" s="103"/>
      <c r="C1554" s="103"/>
      <c r="D1554" s="103"/>
      <c r="E1554" s="103"/>
      <c r="F1554" s="103"/>
      <c r="H1554" s="103"/>
      <c r="I1554" s="103"/>
      <c r="J1554" s="103"/>
      <c r="K1554" s="103"/>
      <c r="L1554" s="103"/>
      <c r="N1554" s="103"/>
      <c r="O1554" s="103"/>
      <c r="Q1554" s="16"/>
      <c r="R1554" s="16"/>
      <c r="S1554" s="16"/>
      <c r="T1554" s="103"/>
      <c r="U1554" s="16"/>
      <c r="V1554" s="16"/>
      <c r="W1554" s="16"/>
      <c r="X1554" s="103"/>
    </row>
    <row r="1555" spans="2:24" x14ac:dyDescent="0.25">
      <c r="B1555" s="103"/>
      <c r="C1555" s="103"/>
      <c r="D1555" s="103"/>
      <c r="E1555" s="103"/>
      <c r="F1555" s="103"/>
      <c r="H1555" s="103"/>
      <c r="I1555" s="103"/>
      <c r="J1555" s="103"/>
      <c r="K1555" s="103"/>
      <c r="L1555" s="103"/>
      <c r="N1555" s="103"/>
      <c r="O1555" s="103"/>
      <c r="Q1555" s="16"/>
      <c r="R1555" s="16"/>
      <c r="S1555" s="16"/>
      <c r="T1555" s="103"/>
      <c r="U1555" s="16"/>
      <c r="V1555" s="16"/>
      <c r="W1555" s="16"/>
      <c r="X1555" s="103"/>
    </row>
    <row r="1556" spans="2:24" x14ac:dyDescent="0.25">
      <c r="B1556" s="103"/>
      <c r="C1556" s="103"/>
      <c r="D1556" s="103"/>
      <c r="E1556" s="103"/>
      <c r="F1556" s="103"/>
      <c r="H1556" s="103"/>
      <c r="I1556" s="103"/>
      <c r="J1556" s="103"/>
      <c r="K1556" s="103"/>
      <c r="L1556" s="103"/>
      <c r="N1556" s="103"/>
      <c r="O1556" s="103"/>
      <c r="Q1556" s="16"/>
      <c r="R1556" s="16"/>
      <c r="S1556" s="16"/>
      <c r="T1556" s="103"/>
      <c r="U1556" s="16"/>
      <c r="V1556" s="16"/>
      <c r="W1556" s="16"/>
      <c r="X1556" s="103"/>
    </row>
    <row r="1557" spans="2:24" x14ac:dyDescent="0.25">
      <c r="B1557" s="103"/>
      <c r="C1557" s="103"/>
      <c r="D1557" s="103"/>
      <c r="E1557" s="103"/>
      <c r="F1557" s="103"/>
      <c r="H1557" s="103"/>
      <c r="I1557" s="103"/>
      <c r="J1557" s="103"/>
      <c r="K1557" s="103"/>
      <c r="L1557" s="103"/>
      <c r="N1557" s="103"/>
      <c r="O1557" s="103"/>
      <c r="Q1557" s="16"/>
      <c r="R1557" s="16"/>
      <c r="S1557" s="16"/>
      <c r="T1557" s="103"/>
      <c r="U1557" s="16"/>
      <c r="V1557" s="16"/>
      <c r="W1557" s="16"/>
      <c r="X1557" s="103"/>
    </row>
    <row r="1558" spans="2:24" x14ac:dyDescent="0.25">
      <c r="B1558" s="103"/>
      <c r="C1558" s="103"/>
      <c r="D1558" s="103"/>
      <c r="E1558" s="103"/>
      <c r="F1558" s="103"/>
      <c r="H1558" s="103"/>
      <c r="I1558" s="103"/>
      <c r="J1558" s="103"/>
      <c r="K1558" s="103"/>
      <c r="L1558" s="103"/>
      <c r="N1558" s="103"/>
      <c r="O1558" s="103"/>
      <c r="Q1558" s="16"/>
      <c r="R1558" s="16"/>
      <c r="S1558" s="16"/>
      <c r="T1558" s="103"/>
      <c r="U1558" s="16"/>
      <c r="V1558" s="16"/>
      <c r="W1558" s="16"/>
      <c r="X1558" s="103"/>
    </row>
    <row r="1559" spans="2:24" x14ac:dyDescent="0.25">
      <c r="B1559" s="103"/>
      <c r="C1559" s="103"/>
      <c r="D1559" s="103"/>
      <c r="E1559" s="103"/>
      <c r="F1559" s="103"/>
      <c r="H1559" s="103"/>
      <c r="I1559" s="103"/>
      <c r="J1559" s="103"/>
      <c r="K1559" s="103"/>
      <c r="L1559" s="103"/>
      <c r="N1559" s="103"/>
      <c r="O1559" s="103"/>
      <c r="Q1559" s="16"/>
      <c r="R1559" s="16"/>
      <c r="S1559" s="16"/>
      <c r="T1559" s="103"/>
      <c r="U1559" s="16"/>
      <c r="V1559" s="16"/>
      <c r="W1559" s="16"/>
      <c r="X1559" s="103"/>
    </row>
    <row r="1560" spans="2:24" x14ac:dyDescent="0.25">
      <c r="B1560" s="103"/>
      <c r="C1560" s="103"/>
      <c r="D1560" s="103"/>
      <c r="E1560" s="103"/>
      <c r="F1560" s="103"/>
      <c r="H1560" s="103"/>
      <c r="I1560" s="103"/>
      <c r="J1560" s="103"/>
      <c r="K1560" s="103"/>
      <c r="L1560" s="103"/>
      <c r="N1560" s="103"/>
      <c r="O1560" s="103"/>
      <c r="Q1560" s="16"/>
      <c r="R1560" s="16"/>
      <c r="S1560" s="16"/>
      <c r="T1560" s="103"/>
      <c r="U1560" s="16"/>
      <c r="V1560" s="16"/>
      <c r="W1560" s="16"/>
      <c r="X1560" s="103"/>
    </row>
    <row r="1561" spans="2:24" x14ac:dyDescent="0.25">
      <c r="B1561" s="103"/>
      <c r="C1561" s="103"/>
      <c r="D1561" s="103"/>
      <c r="E1561" s="103"/>
      <c r="F1561" s="103"/>
      <c r="H1561" s="103"/>
      <c r="I1561" s="103"/>
      <c r="J1561" s="103"/>
      <c r="K1561" s="103"/>
      <c r="L1561" s="103"/>
      <c r="N1561" s="103"/>
      <c r="O1561" s="103"/>
      <c r="Q1561" s="16"/>
      <c r="R1561" s="16"/>
      <c r="S1561" s="16"/>
      <c r="T1561" s="103"/>
      <c r="U1561" s="16"/>
      <c r="V1561" s="16"/>
      <c r="W1561" s="16"/>
      <c r="X1561" s="103"/>
    </row>
    <row r="1562" spans="2:24" x14ac:dyDescent="0.25">
      <c r="B1562" s="103"/>
      <c r="C1562" s="103"/>
      <c r="D1562" s="103"/>
      <c r="E1562" s="103"/>
      <c r="F1562" s="103"/>
      <c r="H1562" s="103"/>
      <c r="I1562" s="103"/>
      <c r="J1562" s="103"/>
      <c r="K1562" s="103"/>
      <c r="L1562" s="103"/>
      <c r="N1562" s="103"/>
      <c r="O1562" s="103"/>
      <c r="Q1562" s="16"/>
      <c r="R1562" s="16"/>
      <c r="S1562" s="16"/>
      <c r="T1562" s="103"/>
      <c r="U1562" s="16"/>
      <c r="V1562" s="16"/>
      <c r="W1562" s="16"/>
      <c r="X1562" s="103"/>
    </row>
    <row r="1563" spans="2:24" x14ac:dyDescent="0.25">
      <c r="B1563" s="103"/>
      <c r="C1563" s="103"/>
      <c r="D1563" s="103"/>
      <c r="E1563" s="103"/>
      <c r="F1563" s="103"/>
      <c r="H1563" s="103"/>
      <c r="I1563" s="103"/>
      <c r="J1563" s="103"/>
      <c r="K1563" s="103"/>
      <c r="L1563" s="103"/>
      <c r="N1563" s="103"/>
      <c r="O1563" s="103"/>
      <c r="Q1563" s="16"/>
      <c r="R1563" s="16"/>
      <c r="S1563" s="16"/>
      <c r="T1563" s="103"/>
      <c r="U1563" s="16"/>
      <c r="V1563" s="16"/>
      <c r="W1563" s="16"/>
      <c r="X1563" s="103"/>
    </row>
    <row r="1564" spans="2:24" x14ac:dyDescent="0.25">
      <c r="B1564" s="103"/>
      <c r="C1564" s="103"/>
      <c r="D1564" s="103"/>
      <c r="E1564" s="103"/>
      <c r="F1564" s="103"/>
      <c r="H1564" s="103"/>
      <c r="I1564" s="103"/>
      <c r="J1564" s="103"/>
      <c r="K1564" s="103"/>
      <c r="L1564" s="103"/>
      <c r="N1564" s="103"/>
      <c r="O1564" s="103"/>
      <c r="Q1564" s="16"/>
      <c r="R1564" s="16"/>
      <c r="S1564" s="16"/>
      <c r="T1564" s="103"/>
      <c r="U1564" s="16"/>
      <c r="V1564" s="16"/>
      <c r="W1564" s="16"/>
      <c r="X1564" s="103"/>
    </row>
    <row r="1565" spans="2:24" x14ac:dyDescent="0.25">
      <c r="B1565" s="103"/>
      <c r="C1565" s="103"/>
      <c r="D1565" s="103"/>
      <c r="E1565" s="103"/>
      <c r="F1565" s="103"/>
      <c r="H1565" s="103"/>
      <c r="I1565" s="103"/>
      <c r="J1565" s="103"/>
      <c r="K1565" s="103"/>
      <c r="L1565" s="103"/>
      <c r="N1565" s="103"/>
      <c r="O1565" s="103"/>
      <c r="Q1565" s="16"/>
      <c r="R1565" s="16"/>
      <c r="S1565" s="16"/>
      <c r="T1565" s="103"/>
      <c r="U1565" s="16"/>
      <c r="V1565" s="16"/>
      <c r="W1565" s="16"/>
      <c r="X1565" s="103"/>
    </row>
    <row r="1566" spans="2:24" x14ac:dyDescent="0.25">
      <c r="B1566" s="103"/>
      <c r="C1566" s="103"/>
      <c r="D1566" s="103"/>
      <c r="E1566" s="103"/>
      <c r="F1566" s="103"/>
      <c r="H1566" s="103"/>
      <c r="I1566" s="103"/>
      <c r="J1566" s="103"/>
      <c r="K1566" s="103"/>
      <c r="L1566" s="103"/>
      <c r="N1566" s="103"/>
      <c r="O1566" s="103"/>
      <c r="Q1566" s="16"/>
      <c r="R1566" s="16"/>
      <c r="S1566" s="16"/>
      <c r="T1566" s="103"/>
      <c r="U1566" s="16"/>
      <c r="V1566" s="16"/>
      <c r="W1566" s="16"/>
      <c r="X1566" s="103"/>
    </row>
    <row r="1567" spans="2:24" x14ac:dyDescent="0.25">
      <c r="B1567" s="103"/>
      <c r="C1567" s="103"/>
      <c r="D1567" s="103"/>
      <c r="E1567" s="103"/>
      <c r="F1567" s="103"/>
      <c r="H1567" s="103"/>
      <c r="I1567" s="103"/>
      <c r="J1567" s="103"/>
      <c r="K1567" s="103"/>
      <c r="L1567" s="103"/>
      <c r="N1567" s="103"/>
      <c r="O1567" s="103"/>
      <c r="Q1567" s="16"/>
      <c r="R1567" s="16"/>
      <c r="S1567" s="16"/>
      <c r="T1567" s="103"/>
      <c r="U1567" s="16"/>
      <c r="V1567" s="16"/>
      <c r="W1567" s="16"/>
      <c r="X1567" s="103"/>
    </row>
    <row r="1568" spans="2:24" x14ac:dyDescent="0.25">
      <c r="B1568" s="103"/>
      <c r="C1568" s="103"/>
      <c r="D1568" s="103"/>
      <c r="E1568" s="103"/>
      <c r="F1568" s="103"/>
      <c r="H1568" s="103"/>
      <c r="I1568" s="103"/>
      <c r="J1568" s="103"/>
      <c r="K1568" s="103"/>
      <c r="L1568" s="103"/>
      <c r="N1568" s="103"/>
      <c r="O1568" s="103"/>
      <c r="Q1568" s="16"/>
      <c r="R1568" s="16"/>
      <c r="S1568" s="16"/>
      <c r="T1568" s="103"/>
      <c r="U1568" s="16"/>
      <c r="V1568" s="16"/>
      <c r="W1568" s="16"/>
      <c r="X1568" s="103"/>
    </row>
    <row r="1569" spans="2:24" x14ac:dyDescent="0.25">
      <c r="B1569" s="103"/>
      <c r="C1569" s="103"/>
      <c r="D1569" s="103"/>
      <c r="E1569" s="103"/>
      <c r="F1569" s="103"/>
      <c r="H1569" s="103"/>
      <c r="I1569" s="103"/>
      <c r="J1569" s="103"/>
      <c r="K1569" s="103"/>
      <c r="L1569" s="103"/>
      <c r="N1569" s="103"/>
      <c r="O1569" s="103"/>
      <c r="Q1569" s="16"/>
      <c r="R1569" s="16"/>
      <c r="S1569" s="16"/>
      <c r="T1569" s="103"/>
      <c r="U1569" s="16"/>
      <c r="V1569" s="16"/>
      <c r="W1569" s="16"/>
      <c r="X1569" s="103"/>
    </row>
    <row r="1570" spans="2:24" x14ac:dyDescent="0.25">
      <c r="B1570" s="103"/>
      <c r="C1570" s="103"/>
      <c r="D1570" s="103"/>
      <c r="E1570" s="103"/>
      <c r="F1570" s="103"/>
      <c r="H1570" s="103"/>
      <c r="I1570" s="103"/>
      <c r="J1570" s="103"/>
      <c r="K1570" s="103"/>
      <c r="L1570" s="103"/>
      <c r="N1570" s="103"/>
      <c r="O1570" s="103"/>
      <c r="Q1570" s="16"/>
      <c r="R1570" s="16"/>
      <c r="S1570" s="16"/>
      <c r="T1570" s="103"/>
      <c r="U1570" s="16"/>
      <c r="V1570" s="16"/>
      <c r="W1570" s="16"/>
      <c r="X1570" s="103"/>
    </row>
    <row r="1571" spans="2:24" x14ac:dyDescent="0.25">
      <c r="B1571" s="103"/>
      <c r="C1571" s="103"/>
      <c r="D1571" s="103"/>
      <c r="E1571" s="103"/>
      <c r="F1571" s="103"/>
      <c r="H1571" s="103"/>
      <c r="I1571" s="103"/>
      <c r="J1571" s="103"/>
      <c r="K1571" s="103"/>
      <c r="L1571" s="103"/>
      <c r="N1571" s="103"/>
      <c r="O1571" s="103"/>
      <c r="Q1571" s="16"/>
      <c r="R1571" s="16"/>
      <c r="S1571" s="16"/>
      <c r="T1571" s="103"/>
      <c r="U1571" s="16"/>
      <c r="V1571" s="16"/>
      <c r="W1571" s="16"/>
      <c r="X1571" s="103"/>
    </row>
    <row r="1572" spans="2:24" x14ac:dyDescent="0.25">
      <c r="B1572" s="103"/>
      <c r="C1572" s="103"/>
      <c r="D1572" s="103"/>
      <c r="E1572" s="103"/>
      <c r="F1572" s="103"/>
      <c r="H1572" s="103"/>
      <c r="I1572" s="103"/>
      <c r="J1572" s="103"/>
      <c r="K1572" s="103"/>
      <c r="L1572" s="103"/>
      <c r="N1572" s="103"/>
      <c r="O1572" s="103"/>
      <c r="Q1572" s="16"/>
      <c r="R1572" s="16"/>
      <c r="S1572" s="16"/>
      <c r="T1572" s="103"/>
      <c r="U1572" s="16"/>
      <c r="V1572" s="16"/>
      <c r="W1572" s="16"/>
      <c r="X1572" s="103"/>
    </row>
    <row r="1573" spans="2:24" x14ac:dyDescent="0.25">
      <c r="B1573" s="103"/>
      <c r="C1573" s="103"/>
      <c r="D1573" s="103"/>
      <c r="E1573" s="103"/>
      <c r="F1573" s="103"/>
      <c r="H1573" s="103"/>
      <c r="I1573" s="103"/>
      <c r="J1573" s="103"/>
      <c r="K1573" s="103"/>
      <c r="L1573" s="103"/>
      <c r="N1573" s="103"/>
      <c r="O1573" s="103"/>
      <c r="Q1573" s="16"/>
      <c r="R1573" s="16"/>
      <c r="S1573" s="16"/>
      <c r="T1573" s="103"/>
      <c r="U1573" s="16"/>
      <c r="V1573" s="16"/>
      <c r="W1573" s="16"/>
      <c r="X1573" s="103"/>
    </row>
    <row r="1574" spans="2:24" x14ac:dyDescent="0.25">
      <c r="B1574" s="103"/>
      <c r="C1574" s="103"/>
      <c r="D1574" s="103"/>
      <c r="E1574" s="103"/>
      <c r="F1574" s="103"/>
      <c r="H1574" s="103"/>
      <c r="I1574" s="103"/>
      <c r="J1574" s="103"/>
      <c r="K1574" s="103"/>
      <c r="L1574" s="103"/>
      <c r="N1574" s="103"/>
      <c r="O1574" s="103"/>
      <c r="Q1574" s="16"/>
      <c r="R1574" s="16"/>
      <c r="S1574" s="16"/>
      <c r="T1574" s="103"/>
      <c r="U1574" s="16"/>
      <c r="V1574" s="16"/>
      <c r="W1574" s="16"/>
      <c r="X1574" s="103"/>
    </row>
    <row r="1575" spans="2:24" x14ac:dyDescent="0.25">
      <c r="B1575" s="103"/>
      <c r="C1575" s="103"/>
      <c r="D1575" s="103"/>
      <c r="E1575" s="103"/>
      <c r="F1575" s="103"/>
      <c r="H1575" s="103"/>
      <c r="I1575" s="103"/>
      <c r="J1575" s="103"/>
      <c r="K1575" s="103"/>
      <c r="L1575" s="103"/>
      <c r="N1575" s="103"/>
      <c r="O1575" s="103"/>
      <c r="Q1575" s="16"/>
      <c r="R1575" s="16"/>
      <c r="S1575" s="16"/>
      <c r="T1575" s="103"/>
      <c r="U1575" s="16"/>
      <c r="V1575" s="16"/>
      <c r="W1575" s="16"/>
      <c r="X1575" s="103"/>
    </row>
    <row r="1576" spans="2:24" x14ac:dyDescent="0.25">
      <c r="B1576" s="103"/>
      <c r="C1576" s="103"/>
      <c r="D1576" s="103"/>
      <c r="E1576" s="103"/>
      <c r="F1576" s="103"/>
      <c r="H1576" s="103"/>
      <c r="I1576" s="103"/>
      <c r="J1576" s="103"/>
      <c r="K1576" s="103"/>
      <c r="L1576" s="103"/>
      <c r="N1576" s="103"/>
      <c r="O1576" s="103"/>
      <c r="Q1576" s="16"/>
      <c r="R1576" s="16"/>
      <c r="S1576" s="16"/>
      <c r="T1576" s="103"/>
      <c r="U1576" s="16"/>
      <c r="V1576" s="16"/>
      <c r="W1576" s="16"/>
      <c r="X1576" s="103"/>
    </row>
    <row r="1577" spans="2:24" x14ac:dyDescent="0.25">
      <c r="B1577" s="103"/>
      <c r="C1577" s="103"/>
      <c r="D1577" s="103"/>
      <c r="E1577" s="103"/>
      <c r="F1577" s="103"/>
      <c r="H1577" s="103"/>
      <c r="I1577" s="103"/>
      <c r="J1577" s="103"/>
      <c r="K1577" s="103"/>
      <c r="L1577" s="103"/>
      <c r="N1577" s="103"/>
      <c r="O1577" s="103"/>
      <c r="Q1577" s="16"/>
      <c r="R1577" s="16"/>
      <c r="S1577" s="16"/>
      <c r="T1577" s="103"/>
      <c r="U1577" s="16"/>
      <c r="V1577" s="16"/>
      <c r="W1577" s="16"/>
      <c r="X1577" s="103"/>
    </row>
    <row r="1578" spans="2:24" x14ac:dyDescent="0.25">
      <c r="B1578" s="103"/>
      <c r="C1578" s="103"/>
      <c r="D1578" s="103"/>
      <c r="E1578" s="103"/>
      <c r="F1578" s="103"/>
      <c r="H1578" s="103"/>
      <c r="I1578" s="103"/>
      <c r="J1578" s="103"/>
      <c r="K1578" s="103"/>
      <c r="L1578" s="103"/>
      <c r="N1578" s="103"/>
      <c r="O1578" s="103"/>
      <c r="Q1578" s="16"/>
      <c r="R1578" s="16"/>
      <c r="S1578" s="16"/>
      <c r="T1578" s="103"/>
      <c r="U1578" s="16"/>
      <c r="V1578" s="16"/>
      <c r="W1578" s="16"/>
      <c r="X1578" s="103"/>
    </row>
    <row r="1579" spans="2:24" x14ac:dyDescent="0.25">
      <c r="B1579" s="103"/>
      <c r="C1579" s="103"/>
      <c r="D1579" s="103"/>
      <c r="E1579" s="103"/>
      <c r="F1579" s="103"/>
      <c r="H1579" s="103"/>
      <c r="I1579" s="103"/>
      <c r="J1579" s="103"/>
      <c r="K1579" s="103"/>
      <c r="L1579" s="103"/>
      <c r="N1579" s="103"/>
      <c r="O1579" s="103"/>
      <c r="Q1579" s="16"/>
      <c r="R1579" s="16"/>
      <c r="S1579" s="16"/>
      <c r="T1579" s="103"/>
      <c r="U1579" s="16"/>
      <c r="V1579" s="16"/>
      <c r="W1579" s="16"/>
      <c r="X1579" s="103"/>
    </row>
    <row r="1580" spans="2:24" x14ac:dyDescent="0.25">
      <c r="B1580" s="103"/>
      <c r="C1580" s="103"/>
      <c r="D1580" s="103"/>
      <c r="E1580" s="103"/>
      <c r="F1580" s="103"/>
      <c r="H1580" s="103"/>
      <c r="I1580" s="103"/>
      <c r="J1580" s="103"/>
      <c r="K1580" s="103"/>
      <c r="L1580" s="103"/>
      <c r="N1580" s="103"/>
      <c r="O1580" s="103"/>
      <c r="Q1580" s="16"/>
      <c r="R1580" s="16"/>
      <c r="S1580" s="16"/>
      <c r="T1580" s="103"/>
      <c r="U1580" s="16"/>
      <c r="V1580" s="16"/>
      <c r="W1580" s="16"/>
      <c r="X1580" s="103"/>
    </row>
    <row r="1581" spans="2:24" x14ac:dyDescent="0.25">
      <c r="B1581" s="103"/>
      <c r="C1581" s="103"/>
      <c r="D1581" s="103"/>
      <c r="E1581" s="103"/>
      <c r="F1581" s="103"/>
      <c r="H1581" s="103"/>
      <c r="I1581" s="103"/>
      <c r="J1581" s="103"/>
      <c r="K1581" s="103"/>
      <c r="L1581" s="103"/>
      <c r="N1581" s="103"/>
      <c r="O1581" s="103"/>
      <c r="Q1581" s="16"/>
      <c r="R1581" s="16"/>
      <c r="S1581" s="16"/>
      <c r="T1581" s="103"/>
      <c r="U1581" s="16"/>
      <c r="V1581" s="16"/>
      <c r="W1581" s="16"/>
      <c r="X1581" s="103"/>
    </row>
    <row r="1582" spans="2:24" x14ac:dyDescent="0.25">
      <c r="B1582" s="103"/>
      <c r="C1582" s="103"/>
      <c r="D1582" s="103"/>
      <c r="E1582" s="103"/>
      <c r="F1582" s="103"/>
      <c r="H1582" s="103"/>
      <c r="I1582" s="103"/>
      <c r="J1582" s="103"/>
      <c r="K1582" s="103"/>
      <c r="L1582" s="103"/>
      <c r="N1582" s="103"/>
      <c r="O1582" s="103"/>
      <c r="Q1582" s="16"/>
      <c r="R1582" s="16"/>
      <c r="S1582" s="16"/>
      <c r="T1582" s="103"/>
      <c r="U1582" s="16"/>
      <c r="V1582" s="16"/>
      <c r="W1582" s="16"/>
      <c r="X1582" s="103"/>
    </row>
    <row r="1583" spans="2:24" x14ac:dyDescent="0.25">
      <c r="B1583" s="103"/>
      <c r="C1583" s="103"/>
      <c r="D1583" s="103"/>
      <c r="E1583" s="103"/>
      <c r="F1583" s="103"/>
      <c r="H1583" s="103"/>
      <c r="I1583" s="103"/>
      <c r="J1583" s="103"/>
      <c r="K1583" s="103"/>
      <c r="L1583" s="103"/>
      <c r="N1583" s="103"/>
      <c r="O1583" s="103"/>
      <c r="Q1583" s="16"/>
      <c r="R1583" s="16"/>
      <c r="S1583" s="16"/>
      <c r="T1583" s="103"/>
      <c r="U1583" s="16"/>
      <c r="V1583" s="16"/>
      <c r="W1583" s="16"/>
      <c r="X1583" s="103"/>
    </row>
    <row r="1584" spans="2:24" x14ac:dyDescent="0.25">
      <c r="B1584" s="103"/>
      <c r="C1584" s="103"/>
      <c r="D1584" s="103"/>
      <c r="E1584" s="103"/>
      <c r="F1584" s="103"/>
      <c r="H1584" s="103"/>
      <c r="I1584" s="103"/>
      <c r="J1584" s="103"/>
      <c r="K1584" s="103"/>
      <c r="L1584" s="103"/>
      <c r="N1584" s="103"/>
      <c r="O1584" s="103"/>
      <c r="Q1584" s="16"/>
      <c r="R1584" s="16"/>
      <c r="S1584" s="16"/>
      <c r="T1584" s="103"/>
      <c r="U1584" s="16"/>
      <c r="V1584" s="16"/>
      <c r="W1584" s="16"/>
      <c r="X1584" s="103"/>
    </row>
    <row r="1585" spans="2:24" x14ac:dyDescent="0.25">
      <c r="B1585" s="103"/>
      <c r="C1585" s="103"/>
      <c r="D1585" s="103"/>
      <c r="E1585" s="103"/>
      <c r="F1585" s="103"/>
      <c r="H1585" s="103"/>
      <c r="I1585" s="103"/>
      <c r="J1585" s="103"/>
      <c r="K1585" s="103"/>
      <c r="L1585" s="103"/>
      <c r="N1585" s="103"/>
      <c r="O1585" s="103"/>
      <c r="Q1585" s="16"/>
      <c r="R1585" s="16"/>
      <c r="S1585" s="16"/>
      <c r="T1585" s="103"/>
      <c r="U1585" s="16"/>
      <c r="V1585" s="16"/>
      <c r="W1585" s="16"/>
      <c r="X1585" s="103"/>
    </row>
    <row r="1586" spans="2:24" x14ac:dyDescent="0.25">
      <c r="B1586" s="103"/>
      <c r="C1586" s="103"/>
      <c r="D1586" s="103"/>
      <c r="E1586" s="103"/>
      <c r="F1586" s="103"/>
      <c r="H1586" s="103"/>
      <c r="I1586" s="103"/>
      <c r="J1586" s="103"/>
      <c r="K1586" s="103"/>
      <c r="L1586" s="103"/>
      <c r="N1586" s="103"/>
      <c r="O1586" s="103"/>
      <c r="Q1586" s="16"/>
      <c r="R1586" s="16"/>
      <c r="S1586" s="16"/>
      <c r="T1586" s="103"/>
      <c r="U1586" s="16"/>
      <c r="V1586" s="16"/>
      <c r="W1586" s="16"/>
      <c r="X1586" s="103"/>
    </row>
    <row r="1587" spans="2:24" x14ac:dyDescent="0.25">
      <c r="B1587" s="103"/>
      <c r="C1587" s="103"/>
      <c r="D1587" s="103"/>
      <c r="E1587" s="103"/>
      <c r="F1587" s="103"/>
      <c r="H1587" s="103"/>
      <c r="I1587" s="103"/>
      <c r="J1587" s="103"/>
      <c r="K1587" s="103"/>
      <c r="L1587" s="103"/>
      <c r="N1587" s="103"/>
      <c r="O1587" s="103"/>
      <c r="Q1587" s="16"/>
      <c r="R1587" s="16"/>
      <c r="S1587" s="16"/>
      <c r="T1587" s="103"/>
      <c r="U1587" s="16"/>
      <c r="V1587" s="16"/>
      <c r="W1587" s="16"/>
      <c r="X1587" s="103"/>
    </row>
    <row r="1588" spans="2:24" x14ac:dyDescent="0.25">
      <c r="B1588" s="103"/>
      <c r="C1588" s="103"/>
      <c r="D1588" s="103"/>
      <c r="E1588" s="103"/>
      <c r="F1588" s="103"/>
      <c r="H1588" s="103"/>
      <c r="I1588" s="103"/>
      <c r="J1588" s="103"/>
      <c r="K1588" s="103"/>
      <c r="L1588" s="103"/>
      <c r="N1588" s="103"/>
      <c r="O1588" s="103"/>
      <c r="Q1588" s="16"/>
      <c r="R1588" s="16"/>
      <c r="S1588" s="16"/>
      <c r="T1588" s="103"/>
      <c r="U1588" s="16"/>
      <c r="V1588" s="16"/>
      <c r="W1588" s="16"/>
      <c r="X1588" s="103"/>
    </row>
    <row r="1589" spans="2:24" x14ac:dyDescent="0.25">
      <c r="B1589" s="103"/>
      <c r="C1589" s="103"/>
      <c r="D1589" s="103"/>
      <c r="E1589" s="103"/>
      <c r="F1589" s="103"/>
      <c r="H1589" s="103"/>
      <c r="I1589" s="103"/>
      <c r="J1589" s="103"/>
      <c r="K1589" s="103"/>
      <c r="L1589" s="103"/>
      <c r="N1589" s="103"/>
      <c r="O1589" s="103"/>
      <c r="Q1589" s="16"/>
      <c r="R1589" s="16"/>
      <c r="S1589" s="16"/>
      <c r="T1589" s="103"/>
      <c r="U1589" s="16"/>
      <c r="V1589" s="16"/>
      <c r="W1589" s="16"/>
      <c r="X1589" s="103"/>
    </row>
    <row r="1590" spans="2:24" x14ac:dyDescent="0.25">
      <c r="B1590" s="103"/>
      <c r="C1590" s="103"/>
      <c r="D1590" s="103"/>
      <c r="E1590" s="103"/>
      <c r="F1590" s="103"/>
      <c r="H1590" s="103"/>
      <c r="I1590" s="103"/>
      <c r="J1590" s="103"/>
      <c r="K1590" s="103"/>
      <c r="L1590" s="103"/>
      <c r="N1590" s="103"/>
      <c r="O1590" s="103"/>
      <c r="Q1590" s="16"/>
      <c r="R1590" s="16"/>
      <c r="S1590" s="16"/>
      <c r="T1590" s="103"/>
      <c r="U1590" s="16"/>
      <c r="V1590" s="16"/>
      <c r="W1590" s="16"/>
      <c r="X1590" s="103"/>
    </row>
    <row r="1591" spans="2:24" x14ac:dyDescent="0.25">
      <c r="B1591" s="103"/>
      <c r="C1591" s="103"/>
      <c r="D1591" s="103"/>
      <c r="E1591" s="103"/>
      <c r="F1591" s="103"/>
      <c r="H1591" s="103"/>
      <c r="I1591" s="103"/>
      <c r="J1591" s="103"/>
      <c r="K1591" s="103"/>
      <c r="L1591" s="103"/>
      <c r="N1591" s="103"/>
      <c r="O1591" s="103"/>
      <c r="Q1591" s="16"/>
      <c r="R1591" s="16"/>
      <c r="S1591" s="16"/>
      <c r="T1591" s="103"/>
      <c r="U1591" s="16"/>
      <c r="V1591" s="16"/>
      <c r="W1591" s="16"/>
      <c r="X1591" s="103"/>
    </row>
    <row r="1592" spans="2:24" x14ac:dyDescent="0.25">
      <c r="B1592" s="103"/>
      <c r="C1592" s="103"/>
      <c r="D1592" s="103"/>
      <c r="E1592" s="103"/>
      <c r="F1592" s="103"/>
      <c r="H1592" s="103"/>
      <c r="I1592" s="103"/>
      <c r="J1592" s="103"/>
      <c r="K1592" s="103"/>
      <c r="L1592" s="103"/>
      <c r="N1592" s="103"/>
      <c r="O1592" s="103"/>
      <c r="Q1592" s="16"/>
      <c r="R1592" s="16"/>
      <c r="S1592" s="16"/>
      <c r="T1592" s="103"/>
      <c r="U1592" s="16"/>
      <c r="V1592" s="16"/>
      <c r="W1592" s="16"/>
      <c r="X1592" s="103"/>
    </row>
    <row r="1593" spans="2:24" x14ac:dyDescent="0.25">
      <c r="B1593" s="103"/>
      <c r="C1593" s="103"/>
      <c r="D1593" s="103"/>
      <c r="E1593" s="103"/>
      <c r="F1593" s="103"/>
      <c r="H1593" s="103"/>
      <c r="I1593" s="103"/>
      <c r="J1593" s="103"/>
      <c r="K1593" s="103"/>
      <c r="L1593" s="103"/>
      <c r="N1593" s="103"/>
      <c r="O1593" s="103"/>
      <c r="Q1593" s="16"/>
      <c r="R1593" s="16"/>
      <c r="S1593" s="16"/>
      <c r="T1593" s="103"/>
      <c r="U1593" s="16"/>
      <c r="V1593" s="16"/>
      <c r="W1593" s="16"/>
      <c r="X1593" s="103"/>
    </row>
    <row r="1594" spans="2:24" x14ac:dyDescent="0.25">
      <c r="B1594" s="103"/>
      <c r="C1594" s="103"/>
      <c r="D1594" s="103"/>
      <c r="E1594" s="103"/>
      <c r="F1594" s="103"/>
      <c r="H1594" s="103"/>
      <c r="I1594" s="103"/>
      <c r="J1594" s="103"/>
      <c r="K1594" s="103"/>
      <c r="L1594" s="103"/>
      <c r="N1594" s="103"/>
      <c r="O1594" s="103"/>
      <c r="Q1594" s="16"/>
      <c r="R1594" s="16"/>
      <c r="S1594" s="16"/>
      <c r="T1594" s="103"/>
      <c r="U1594" s="16"/>
      <c r="V1594" s="16"/>
      <c r="W1594" s="16"/>
      <c r="X1594" s="103"/>
    </row>
    <row r="1595" spans="2:24" x14ac:dyDescent="0.25">
      <c r="B1595" s="103"/>
      <c r="C1595" s="103"/>
      <c r="D1595" s="103"/>
      <c r="E1595" s="103"/>
      <c r="F1595" s="103"/>
      <c r="H1595" s="103"/>
      <c r="I1595" s="103"/>
      <c r="J1595" s="103"/>
      <c r="K1595" s="103"/>
      <c r="L1595" s="103"/>
      <c r="N1595" s="103"/>
      <c r="O1595" s="103"/>
      <c r="Q1595" s="16"/>
      <c r="R1595" s="16"/>
      <c r="S1595" s="16"/>
      <c r="T1595" s="103"/>
      <c r="U1595" s="16"/>
      <c r="V1595" s="16"/>
      <c r="W1595" s="16"/>
      <c r="X1595" s="103"/>
    </row>
    <row r="1596" spans="2:24" x14ac:dyDescent="0.25">
      <c r="B1596" s="103"/>
      <c r="C1596" s="103"/>
      <c r="D1596" s="103"/>
      <c r="E1596" s="103"/>
      <c r="F1596" s="103"/>
      <c r="H1596" s="103"/>
      <c r="I1596" s="103"/>
      <c r="J1596" s="103"/>
      <c r="K1596" s="103"/>
      <c r="L1596" s="103"/>
      <c r="N1596" s="103"/>
      <c r="O1596" s="103"/>
      <c r="Q1596" s="16"/>
      <c r="R1596" s="16"/>
      <c r="S1596" s="16"/>
      <c r="T1596" s="103"/>
      <c r="U1596" s="16"/>
      <c r="V1596" s="16"/>
      <c r="W1596" s="16"/>
      <c r="X1596" s="103"/>
    </row>
    <row r="1597" spans="2:24" x14ac:dyDescent="0.25">
      <c r="B1597" s="103"/>
      <c r="C1597" s="103"/>
      <c r="D1597" s="103"/>
      <c r="E1597" s="103"/>
      <c r="F1597" s="103"/>
      <c r="H1597" s="103"/>
      <c r="I1597" s="103"/>
      <c r="J1597" s="103"/>
      <c r="K1597" s="103"/>
      <c r="L1597" s="103"/>
      <c r="N1597" s="103"/>
      <c r="O1597" s="103"/>
      <c r="Q1597" s="16"/>
      <c r="R1597" s="16"/>
      <c r="S1597" s="16"/>
      <c r="T1597" s="103"/>
      <c r="U1597" s="16"/>
      <c r="V1597" s="16"/>
      <c r="W1597" s="16"/>
      <c r="X1597" s="103"/>
    </row>
    <row r="1598" spans="2:24" x14ac:dyDescent="0.25">
      <c r="B1598" s="103"/>
      <c r="C1598" s="103"/>
      <c r="D1598" s="103"/>
      <c r="E1598" s="103"/>
      <c r="F1598" s="103"/>
      <c r="H1598" s="103"/>
      <c r="I1598" s="103"/>
      <c r="J1598" s="103"/>
      <c r="K1598" s="103"/>
      <c r="L1598" s="103"/>
      <c r="N1598" s="103"/>
      <c r="O1598" s="103"/>
      <c r="Q1598" s="16"/>
      <c r="R1598" s="16"/>
      <c r="S1598" s="16"/>
      <c r="T1598" s="103"/>
      <c r="U1598" s="16"/>
      <c r="V1598" s="16"/>
      <c r="W1598" s="16"/>
      <c r="X1598" s="103"/>
    </row>
    <row r="1599" spans="2:24" x14ac:dyDescent="0.25">
      <c r="B1599" s="103"/>
      <c r="C1599" s="103"/>
      <c r="D1599" s="103"/>
      <c r="E1599" s="103"/>
      <c r="F1599" s="103"/>
      <c r="H1599" s="103"/>
      <c r="I1599" s="103"/>
      <c r="J1599" s="103"/>
      <c r="K1599" s="103"/>
      <c r="L1599" s="103"/>
      <c r="N1599" s="103"/>
      <c r="O1599" s="103"/>
      <c r="Q1599" s="16"/>
      <c r="R1599" s="16"/>
      <c r="S1599" s="16"/>
      <c r="T1599" s="103"/>
      <c r="U1599" s="16"/>
      <c r="V1599" s="16"/>
      <c r="W1599" s="16"/>
      <c r="X1599" s="103"/>
    </row>
    <row r="1600" spans="2:24" x14ac:dyDescent="0.25">
      <c r="B1600" s="103"/>
      <c r="C1600" s="103"/>
      <c r="D1600" s="103"/>
      <c r="E1600" s="103"/>
      <c r="F1600" s="103"/>
      <c r="H1600" s="103"/>
      <c r="I1600" s="103"/>
      <c r="J1600" s="103"/>
      <c r="K1600" s="103"/>
      <c r="L1600" s="103"/>
      <c r="N1600" s="103"/>
      <c r="O1600" s="103"/>
      <c r="Q1600" s="16"/>
      <c r="R1600" s="16"/>
      <c r="S1600" s="16"/>
      <c r="T1600" s="103"/>
      <c r="U1600" s="16"/>
      <c r="V1600" s="16"/>
      <c r="W1600" s="16"/>
      <c r="X1600" s="103"/>
    </row>
    <row r="1601" spans="2:24" x14ac:dyDescent="0.25">
      <c r="B1601" s="103"/>
      <c r="C1601" s="103"/>
      <c r="D1601" s="103"/>
      <c r="E1601" s="103"/>
      <c r="F1601" s="103"/>
      <c r="H1601" s="103"/>
      <c r="I1601" s="103"/>
      <c r="J1601" s="103"/>
      <c r="K1601" s="103"/>
      <c r="L1601" s="103"/>
      <c r="N1601" s="103"/>
      <c r="O1601" s="103"/>
      <c r="Q1601" s="16"/>
      <c r="R1601" s="16"/>
      <c r="S1601" s="16"/>
      <c r="T1601" s="103"/>
      <c r="U1601" s="16"/>
      <c r="V1601" s="16"/>
      <c r="W1601" s="16"/>
      <c r="X1601" s="103"/>
    </row>
    <row r="1602" spans="2:24" x14ac:dyDescent="0.25">
      <c r="B1602" s="103"/>
      <c r="C1602" s="103"/>
      <c r="D1602" s="103"/>
      <c r="E1602" s="103"/>
      <c r="F1602" s="103"/>
      <c r="H1602" s="103"/>
      <c r="I1602" s="103"/>
      <c r="J1602" s="103"/>
      <c r="K1602" s="103"/>
      <c r="L1602" s="103"/>
      <c r="N1602" s="103"/>
      <c r="O1602" s="103"/>
      <c r="Q1602" s="16"/>
      <c r="R1602" s="16"/>
      <c r="S1602" s="16"/>
      <c r="T1602" s="103"/>
      <c r="U1602" s="16"/>
      <c r="V1602" s="16"/>
      <c r="W1602" s="16"/>
      <c r="X1602" s="103"/>
    </row>
    <row r="1603" spans="2:24" x14ac:dyDescent="0.25">
      <c r="B1603" s="103"/>
      <c r="C1603" s="103"/>
      <c r="D1603" s="103"/>
      <c r="E1603" s="103"/>
      <c r="F1603" s="103"/>
      <c r="H1603" s="103"/>
      <c r="I1603" s="103"/>
      <c r="J1603" s="103"/>
      <c r="K1603" s="103"/>
      <c r="L1603" s="103"/>
      <c r="N1603" s="103"/>
      <c r="O1603" s="103"/>
      <c r="Q1603" s="16"/>
      <c r="R1603" s="16"/>
      <c r="S1603" s="16"/>
      <c r="T1603" s="103"/>
      <c r="U1603" s="16"/>
      <c r="V1603" s="16"/>
      <c r="W1603" s="16"/>
      <c r="X1603" s="103"/>
    </row>
    <row r="1604" spans="2:24" x14ac:dyDescent="0.25">
      <c r="B1604" s="103"/>
      <c r="C1604" s="103"/>
      <c r="D1604" s="103"/>
      <c r="E1604" s="103"/>
      <c r="F1604" s="103"/>
      <c r="H1604" s="103"/>
      <c r="I1604" s="103"/>
      <c r="J1604" s="103"/>
      <c r="K1604" s="103"/>
      <c r="L1604" s="103"/>
      <c r="N1604" s="103"/>
      <c r="O1604" s="103"/>
      <c r="Q1604" s="16"/>
      <c r="R1604" s="16"/>
      <c r="S1604" s="16"/>
      <c r="T1604" s="103"/>
      <c r="U1604" s="16"/>
      <c r="V1604" s="16"/>
      <c r="W1604" s="16"/>
      <c r="X1604" s="103"/>
    </row>
    <row r="1605" spans="2:24" x14ac:dyDescent="0.25">
      <c r="B1605" s="103"/>
      <c r="C1605" s="103"/>
      <c r="D1605" s="103"/>
      <c r="E1605" s="103"/>
      <c r="F1605" s="103"/>
      <c r="H1605" s="103"/>
      <c r="I1605" s="103"/>
      <c r="J1605" s="103"/>
      <c r="K1605" s="103"/>
      <c r="L1605" s="103"/>
      <c r="N1605" s="103"/>
      <c r="O1605" s="103"/>
      <c r="Q1605" s="16"/>
      <c r="R1605" s="16"/>
      <c r="S1605" s="16"/>
      <c r="T1605" s="103"/>
      <c r="U1605" s="16"/>
      <c r="V1605" s="16"/>
      <c r="W1605" s="16"/>
      <c r="X1605" s="103"/>
    </row>
    <row r="1606" spans="2:24" x14ac:dyDescent="0.25">
      <c r="B1606" s="103"/>
      <c r="C1606" s="103"/>
      <c r="D1606" s="103"/>
      <c r="E1606" s="103"/>
      <c r="F1606" s="103"/>
      <c r="H1606" s="103"/>
      <c r="I1606" s="103"/>
      <c r="J1606" s="103"/>
      <c r="K1606" s="103"/>
      <c r="L1606" s="103"/>
      <c r="N1606" s="103"/>
      <c r="O1606" s="103"/>
      <c r="Q1606" s="16"/>
      <c r="R1606" s="16"/>
      <c r="S1606" s="16"/>
      <c r="T1606" s="103"/>
      <c r="U1606" s="16"/>
      <c r="V1606" s="16"/>
      <c r="W1606" s="16"/>
      <c r="X1606" s="103"/>
    </row>
    <row r="1607" spans="2:24" x14ac:dyDescent="0.25">
      <c r="B1607" s="103"/>
      <c r="C1607" s="103"/>
      <c r="D1607" s="103"/>
      <c r="E1607" s="103"/>
      <c r="F1607" s="103"/>
      <c r="H1607" s="103"/>
      <c r="I1607" s="103"/>
      <c r="J1607" s="103"/>
      <c r="K1607" s="103"/>
      <c r="L1607" s="103"/>
      <c r="N1607" s="103"/>
      <c r="O1607" s="103"/>
      <c r="Q1607" s="16"/>
      <c r="R1607" s="16"/>
      <c r="S1607" s="16"/>
      <c r="T1607" s="103"/>
      <c r="U1607" s="16"/>
      <c r="V1607" s="16"/>
      <c r="W1607" s="16"/>
      <c r="X1607" s="103"/>
    </row>
    <row r="1608" spans="2:24" x14ac:dyDescent="0.25">
      <c r="B1608" s="103"/>
      <c r="C1608" s="103"/>
      <c r="D1608" s="103"/>
      <c r="E1608" s="103"/>
      <c r="F1608" s="103"/>
      <c r="H1608" s="103"/>
      <c r="I1608" s="103"/>
      <c r="J1608" s="103"/>
      <c r="K1608" s="103"/>
      <c r="L1608" s="103"/>
      <c r="N1608" s="103"/>
      <c r="O1608" s="103"/>
      <c r="Q1608" s="16"/>
      <c r="R1608" s="16"/>
      <c r="S1608" s="16"/>
      <c r="T1608" s="103"/>
      <c r="U1608" s="16"/>
      <c r="V1608" s="16"/>
      <c r="W1608" s="16"/>
      <c r="X1608" s="103"/>
    </row>
    <row r="1609" spans="2:24" x14ac:dyDescent="0.25">
      <c r="B1609" s="103"/>
      <c r="C1609" s="103"/>
      <c r="D1609" s="103"/>
      <c r="E1609" s="103"/>
      <c r="F1609" s="103"/>
      <c r="H1609" s="103"/>
      <c r="I1609" s="103"/>
      <c r="J1609" s="103"/>
      <c r="K1609" s="103"/>
      <c r="L1609" s="103"/>
      <c r="N1609" s="103"/>
      <c r="O1609" s="103"/>
      <c r="Q1609" s="16"/>
      <c r="R1609" s="16"/>
      <c r="S1609" s="16"/>
      <c r="T1609" s="103"/>
      <c r="U1609" s="16"/>
      <c r="V1609" s="16"/>
      <c r="W1609" s="16"/>
      <c r="X1609" s="103"/>
    </row>
    <row r="1610" spans="2:24" x14ac:dyDescent="0.25">
      <c r="B1610" s="103"/>
      <c r="C1610" s="103"/>
      <c r="D1610" s="103"/>
      <c r="E1610" s="103"/>
      <c r="F1610" s="103"/>
      <c r="H1610" s="103"/>
      <c r="I1610" s="103"/>
      <c r="J1610" s="103"/>
      <c r="K1610" s="103"/>
      <c r="L1610" s="103"/>
      <c r="N1610" s="103"/>
      <c r="O1610" s="103"/>
      <c r="Q1610" s="16"/>
      <c r="R1610" s="16"/>
      <c r="S1610" s="16"/>
      <c r="T1610" s="103"/>
      <c r="U1610" s="16"/>
      <c r="V1610" s="16"/>
      <c r="W1610" s="16"/>
      <c r="X1610" s="103"/>
    </row>
    <row r="1611" spans="2:24" x14ac:dyDescent="0.25">
      <c r="B1611" s="103"/>
      <c r="C1611" s="103"/>
      <c r="D1611" s="103"/>
      <c r="E1611" s="103"/>
      <c r="F1611" s="103"/>
      <c r="H1611" s="103"/>
      <c r="I1611" s="103"/>
      <c r="J1611" s="103"/>
      <c r="K1611" s="103"/>
      <c r="L1611" s="103"/>
      <c r="N1611" s="103"/>
      <c r="O1611" s="103"/>
      <c r="Q1611" s="16"/>
      <c r="R1611" s="16"/>
      <c r="S1611" s="16"/>
      <c r="T1611" s="103"/>
      <c r="U1611" s="16"/>
      <c r="V1611" s="16"/>
      <c r="W1611" s="16"/>
      <c r="X1611" s="103"/>
    </row>
    <row r="1612" spans="2:24" x14ac:dyDescent="0.25">
      <c r="B1612" s="103"/>
      <c r="C1612" s="103"/>
      <c r="D1612" s="103"/>
      <c r="E1612" s="103"/>
      <c r="F1612" s="103"/>
      <c r="H1612" s="103"/>
      <c r="I1612" s="103"/>
      <c r="J1612" s="103"/>
      <c r="K1612" s="103"/>
      <c r="L1612" s="103"/>
      <c r="N1612" s="103"/>
      <c r="O1612" s="103"/>
      <c r="Q1612" s="16"/>
      <c r="R1612" s="16"/>
      <c r="S1612" s="16"/>
      <c r="T1612" s="103"/>
      <c r="U1612" s="16"/>
      <c r="V1612" s="16"/>
      <c r="W1612" s="16"/>
      <c r="X1612" s="103"/>
    </row>
    <row r="1613" spans="2:24" x14ac:dyDescent="0.25">
      <c r="B1613" s="103"/>
      <c r="C1613" s="103"/>
      <c r="D1613" s="103"/>
      <c r="E1613" s="103"/>
      <c r="F1613" s="103"/>
      <c r="H1613" s="103"/>
      <c r="I1613" s="103"/>
      <c r="J1613" s="103"/>
      <c r="K1613" s="103"/>
      <c r="L1613" s="103"/>
      <c r="N1613" s="103"/>
      <c r="O1613" s="103"/>
      <c r="Q1613" s="16"/>
      <c r="R1613" s="16"/>
      <c r="S1613" s="16"/>
      <c r="T1613" s="103"/>
      <c r="U1613" s="16"/>
      <c r="V1613" s="16"/>
      <c r="W1613" s="16"/>
      <c r="X1613" s="103"/>
    </row>
    <row r="1614" spans="2:24" x14ac:dyDescent="0.25">
      <c r="B1614" s="103"/>
      <c r="C1614" s="103"/>
      <c r="D1614" s="103"/>
      <c r="E1614" s="103"/>
      <c r="F1614" s="103"/>
      <c r="H1614" s="103"/>
      <c r="I1614" s="103"/>
      <c r="J1614" s="103"/>
      <c r="K1614" s="103"/>
      <c r="L1614" s="103"/>
      <c r="N1614" s="103"/>
      <c r="O1614" s="103"/>
      <c r="Q1614" s="16"/>
      <c r="R1614" s="16"/>
      <c r="S1614" s="16"/>
      <c r="T1614" s="103"/>
      <c r="U1614" s="16"/>
      <c r="V1614" s="16"/>
      <c r="W1614" s="16"/>
      <c r="X1614" s="103"/>
    </row>
    <row r="1615" spans="2:24" x14ac:dyDescent="0.25">
      <c r="B1615" s="103"/>
      <c r="C1615" s="103"/>
      <c r="D1615" s="103"/>
      <c r="E1615" s="103"/>
      <c r="F1615" s="103"/>
      <c r="H1615" s="103"/>
      <c r="I1615" s="103"/>
      <c r="J1615" s="103"/>
      <c r="K1615" s="103"/>
      <c r="L1615" s="103"/>
      <c r="N1615" s="103"/>
      <c r="O1615" s="103"/>
      <c r="Q1615" s="16"/>
      <c r="R1615" s="16"/>
      <c r="S1615" s="16"/>
      <c r="T1615" s="103"/>
      <c r="U1615" s="16"/>
      <c r="V1615" s="16"/>
      <c r="W1615" s="16"/>
      <c r="X1615" s="103"/>
    </row>
    <row r="1616" spans="2:24" x14ac:dyDescent="0.25">
      <c r="B1616" s="103"/>
      <c r="C1616" s="103"/>
      <c r="D1616" s="103"/>
      <c r="E1616" s="103"/>
      <c r="F1616" s="103"/>
      <c r="H1616" s="103"/>
      <c r="I1616" s="103"/>
      <c r="J1616" s="103"/>
      <c r="K1616" s="103"/>
      <c r="L1616" s="103"/>
      <c r="N1616" s="103"/>
      <c r="O1616" s="103"/>
      <c r="Q1616" s="16"/>
      <c r="R1616" s="16"/>
      <c r="S1616" s="16"/>
      <c r="T1616" s="103"/>
      <c r="U1616" s="16"/>
      <c r="V1616" s="16"/>
      <c r="W1616" s="16"/>
      <c r="X1616" s="103"/>
    </row>
    <row r="1617" spans="2:24" x14ac:dyDescent="0.25">
      <c r="B1617" s="103"/>
      <c r="C1617" s="103"/>
      <c r="D1617" s="103"/>
      <c r="E1617" s="103"/>
      <c r="F1617" s="103"/>
      <c r="H1617" s="103"/>
      <c r="I1617" s="103"/>
      <c r="J1617" s="103"/>
      <c r="K1617" s="103"/>
      <c r="L1617" s="103"/>
      <c r="N1617" s="103"/>
      <c r="O1617" s="103"/>
      <c r="Q1617" s="16"/>
      <c r="R1617" s="16"/>
      <c r="S1617" s="16"/>
      <c r="T1617" s="103"/>
      <c r="U1617" s="16"/>
      <c r="V1617" s="16"/>
      <c r="W1617" s="16"/>
      <c r="X1617" s="103"/>
    </row>
    <row r="1618" spans="2:24" x14ac:dyDescent="0.25">
      <c r="B1618" s="103"/>
      <c r="C1618" s="103"/>
      <c r="D1618" s="103"/>
      <c r="E1618" s="103"/>
      <c r="F1618" s="103"/>
      <c r="H1618" s="103"/>
      <c r="I1618" s="103"/>
      <c r="J1618" s="103"/>
      <c r="K1618" s="103"/>
      <c r="L1618" s="103"/>
      <c r="N1618" s="103"/>
      <c r="O1618" s="103"/>
      <c r="Q1618" s="16"/>
      <c r="R1618" s="16"/>
      <c r="S1618" s="16"/>
      <c r="T1618" s="103"/>
      <c r="U1618" s="16"/>
      <c r="V1618" s="16"/>
      <c r="W1618" s="16"/>
      <c r="X1618" s="103"/>
    </row>
    <row r="1619" spans="2:24" x14ac:dyDescent="0.25">
      <c r="B1619" s="103"/>
      <c r="C1619" s="103"/>
      <c r="D1619" s="103"/>
      <c r="E1619" s="103"/>
      <c r="F1619" s="103"/>
      <c r="H1619" s="103"/>
      <c r="I1619" s="103"/>
      <c r="J1619" s="103"/>
      <c r="K1619" s="103"/>
      <c r="L1619" s="103"/>
      <c r="N1619" s="103"/>
      <c r="O1619" s="103"/>
      <c r="Q1619" s="16"/>
      <c r="R1619" s="16"/>
      <c r="S1619" s="16"/>
      <c r="T1619" s="103"/>
      <c r="U1619" s="16"/>
      <c r="V1619" s="16"/>
      <c r="W1619" s="16"/>
      <c r="X1619" s="103"/>
    </row>
    <row r="1620" spans="2:24" x14ac:dyDescent="0.25">
      <c r="B1620" s="103"/>
      <c r="C1620" s="103"/>
      <c r="D1620" s="103"/>
      <c r="E1620" s="103"/>
      <c r="F1620" s="103"/>
      <c r="H1620" s="103"/>
      <c r="I1620" s="103"/>
      <c r="J1620" s="103"/>
      <c r="K1620" s="103"/>
      <c r="L1620" s="103"/>
      <c r="N1620" s="103"/>
      <c r="O1620" s="103"/>
      <c r="Q1620" s="16"/>
      <c r="R1620" s="16"/>
      <c r="S1620" s="16"/>
      <c r="T1620" s="103"/>
      <c r="U1620" s="16"/>
      <c r="V1620" s="16"/>
      <c r="W1620" s="16"/>
      <c r="X1620" s="103"/>
    </row>
    <row r="1621" spans="2:24" x14ac:dyDescent="0.25">
      <c r="B1621" s="103"/>
      <c r="C1621" s="103"/>
      <c r="D1621" s="103"/>
      <c r="E1621" s="103"/>
      <c r="F1621" s="103"/>
      <c r="H1621" s="103"/>
      <c r="I1621" s="103"/>
      <c r="J1621" s="103"/>
      <c r="K1621" s="103"/>
      <c r="L1621" s="103"/>
      <c r="N1621" s="103"/>
      <c r="O1621" s="103"/>
      <c r="Q1621" s="16"/>
      <c r="R1621" s="16"/>
      <c r="S1621" s="16"/>
      <c r="T1621" s="103"/>
      <c r="U1621" s="16"/>
      <c r="V1621" s="16"/>
      <c r="W1621" s="16"/>
      <c r="X1621" s="103"/>
    </row>
    <row r="1622" spans="2:24" x14ac:dyDescent="0.25">
      <c r="B1622" s="103"/>
      <c r="C1622" s="103"/>
      <c r="D1622" s="103"/>
      <c r="E1622" s="103"/>
      <c r="F1622" s="103"/>
      <c r="H1622" s="103"/>
      <c r="I1622" s="103"/>
      <c r="J1622" s="103"/>
      <c r="K1622" s="103"/>
      <c r="L1622" s="103"/>
      <c r="N1622" s="103"/>
      <c r="O1622" s="103"/>
      <c r="Q1622" s="16"/>
      <c r="R1622" s="16"/>
      <c r="S1622" s="16"/>
      <c r="T1622" s="103"/>
      <c r="U1622" s="16"/>
      <c r="V1622" s="16"/>
      <c r="W1622" s="16"/>
      <c r="X1622" s="103"/>
    </row>
    <row r="1623" spans="2:24" x14ac:dyDescent="0.25">
      <c r="B1623" s="103"/>
      <c r="C1623" s="103"/>
      <c r="D1623" s="103"/>
      <c r="E1623" s="103"/>
      <c r="F1623" s="103"/>
      <c r="H1623" s="103"/>
      <c r="I1623" s="103"/>
      <c r="J1623" s="103"/>
      <c r="K1623" s="103"/>
      <c r="L1623" s="103"/>
      <c r="N1623" s="103"/>
      <c r="O1623" s="103"/>
      <c r="Q1623" s="16"/>
      <c r="R1623" s="16"/>
      <c r="S1623" s="16"/>
      <c r="T1623" s="103"/>
      <c r="U1623" s="16"/>
      <c r="V1623" s="16"/>
      <c r="W1623" s="16"/>
      <c r="X1623" s="103"/>
    </row>
    <row r="1624" spans="2:24" x14ac:dyDescent="0.25">
      <c r="B1624" s="103"/>
      <c r="C1624" s="103"/>
      <c r="D1624" s="103"/>
      <c r="E1624" s="103"/>
      <c r="F1624" s="103"/>
      <c r="H1624" s="103"/>
      <c r="I1624" s="103"/>
      <c r="J1624" s="103"/>
      <c r="K1624" s="103"/>
      <c r="L1624" s="103"/>
      <c r="N1624" s="103"/>
      <c r="O1624" s="103"/>
      <c r="Q1624" s="16"/>
      <c r="R1624" s="16"/>
      <c r="S1624" s="16"/>
      <c r="T1624" s="103"/>
      <c r="U1624" s="16"/>
      <c r="V1624" s="16"/>
      <c r="W1624" s="16"/>
      <c r="X1624" s="103"/>
    </row>
    <row r="1625" spans="2:24" x14ac:dyDescent="0.25">
      <c r="B1625" s="103"/>
      <c r="C1625" s="103"/>
      <c r="D1625" s="103"/>
      <c r="E1625" s="103"/>
      <c r="F1625" s="103"/>
      <c r="H1625" s="103"/>
      <c r="I1625" s="103"/>
      <c r="J1625" s="103"/>
      <c r="K1625" s="103"/>
      <c r="L1625" s="103"/>
      <c r="N1625" s="103"/>
      <c r="O1625" s="103"/>
      <c r="Q1625" s="16"/>
      <c r="R1625" s="16"/>
      <c r="S1625" s="16"/>
      <c r="T1625" s="103"/>
      <c r="U1625" s="16"/>
      <c r="V1625" s="16"/>
      <c r="W1625" s="16"/>
      <c r="X1625" s="103"/>
    </row>
    <row r="1626" spans="2:24" x14ac:dyDescent="0.25">
      <c r="B1626" s="103"/>
      <c r="C1626" s="103"/>
      <c r="D1626" s="103"/>
      <c r="E1626" s="103"/>
      <c r="F1626" s="103"/>
      <c r="H1626" s="103"/>
      <c r="I1626" s="103"/>
      <c r="J1626" s="103"/>
      <c r="K1626" s="103"/>
      <c r="L1626" s="103"/>
      <c r="N1626" s="103"/>
      <c r="O1626" s="103"/>
      <c r="Q1626" s="16"/>
      <c r="R1626" s="16"/>
      <c r="S1626" s="16"/>
      <c r="T1626" s="103"/>
      <c r="U1626" s="16"/>
      <c r="V1626" s="16"/>
      <c r="W1626" s="16"/>
      <c r="X1626" s="103"/>
    </row>
    <row r="1627" spans="2:24" x14ac:dyDescent="0.25">
      <c r="B1627" s="103"/>
      <c r="C1627" s="103"/>
      <c r="D1627" s="103"/>
      <c r="E1627" s="103"/>
      <c r="F1627" s="103"/>
      <c r="H1627" s="103"/>
      <c r="I1627" s="103"/>
      <c r="J1627" s="103"/>
      <c r="K1627" s="103"/>
      <c r="L1627" s="103"/>
      <c r="N1627" s="103"/>
      <c r="O1627" s="103"/>
      <c r="Q1627" s="16"/>
      <c r="R1627" s="16"/>
      <c r="S1627" s="16"/>
      <c r="T1627" s="103"/>
      <c r="U1627" s="16"/>
      <c r="V1627" s="16"/>
      <c r="W1627" s="16"/>
      <c r="X1627" s="103"/>
    </row>
    <row r="1628" spans="2:24" x14ac:dyDescent="0.25">
      <c r="B1628" s="103"/>
      <c r="C1628" s="103"/>
      <c r="D1628" s="103"/>
      <c r="E1628" s="103"/>
      <c r="F1628" s="103"/>
      <c r="H1628" s="103"/>
      <c r="I1628" s="103"/>
      <c r="J1628" s="103"/>
      <c r="K1628" s="103"/>
      <c r="L1628" s="103"/>
      <c r="N1628" s="103"/>
      <c r="O1628" s="103"/>
      <c r="Q1628" s="16"/>
      <c r="R1628" s="16"/>
      <c r="S1628" s="16"/>
      <c r="T1628" s="103"/>
      <c r="U1628" s="16"/>
      <c r="V1628" s="16"/>
      <c r="W1628" s="16"/>
      <c r="X1628" s="103"/>
    </row>
    <row r="1629" spans="2:24" x14ac:dyDescent="0.25">
      <c r="B1629" s="103"/>
      <c r="C1629" s="103"/>
      <c r="D1629" s="103"/>
      <c r="E1629" s="103"/>
      <c r="F1629" s="103"/>
      <c r="H1629" s="103"/>
      <c r="I1629" s="103"/>
      <c r="J1629" s="103"/>
      <c r="K1629" s="103"/>
      <c r="L1629" s="103"/>
      <c r="N1629" s="103"/>
      <c r="O1629" s="103"/>
      <c r="Q1629" s="16"/>
      <c r="R1629" s="16"/>
      <c r="S1629" s="16"/>
      <c r="T1629" s="103"/>
      <c r="U1629" s="16"/>
      <c r="V1629" s="16"/>
      <c r="W1629" s="16"/>
      <c r="X1629" s="103"/>
    </row>
    <row r="1630" spans="2:24" x14ac:dyDescent="0.25">
      <c r="B1630" s="103"/>
      <c r="C1630" s="103"/>
      <c r="D1630" s="103"/>
      <c r="E1630" s="103"/>
      <c r="F1630" s="103"/>
      <c r="H1630" s="103"/>
      <c r="I1630" s="103"/>
      <c r="J1630" s="103"/>
      <c r="K1630" s="103"/>
      <c r="L1630" s="103"/>
      <c r="N1630" s="103"/>
      <c r="O1630" s="103"/>
      <c r="Q1630" s="16"/>
      <c r="R1630" s="16"/>
      <c r="S1630" s="16"/>
      <c r="T1630" s="103"/>
      <c r="U1630" s="16"/>
      <c r="V1630" s="16"/>
      <c r="W1630" s="16"/>
      <c r="X1630" s="103"/>
    </row>
    <row r="1631" spans="2:24" x14ac:dyDescent="0.25">
      <c r="B1631" s="103"/>
      <c r="C1631" s="103"/>
      <c r="D1631" s="103"/>
      <c r="E1631" s="103"/>
      <c r="F1631" s="103"/>
      <c r="H1631" s="103"/>
      <c r="I1631" s="103"/>
      <c r="J1631" s="103"/>
      <c r="K1631" s="103"/>
      <c r="L1631" s="103"/>
      <c r="N1631" s="103"/>
      <c r="O1631" s="103"/>
      <c r="Q1631" s="16"/>
      <c r="R1631" s="16"/>
      <c r="S1631" s="16"/>
      <c r="T1631" s="103"/>
      <c r="U1631" s="16"/>
      <c r="V1631" s="16"/>
      <c r="W1631" s="16"/>
      <c r="X1631" s="103"/>
    </row>
    <row r="1632" spans="2:24" x14ac:dyDescent="0.25">
      <c r="B1632" s="103"/>
      <c r="C1632" s="103"/>
      <c r="D1632" s="103"/>
      <c r="E1632" s="103"/>
      <c r="F1632" s="103"/>
      <c r="H1632" s="103"/>
      <c r="I1632" s="103"/>
      <c r="J1632" s="103"/>
      <c r="K1632" s="103"/>
      <c r="L1632" s="103"/>
      <c r="N1632" s="103"/>
      <c r="O1632" s="103"/>
      <c r="Q1632" s="16"/>
      <c r="R1632" s="16"/>
      <c r="S1632" s="16"/>
      <c r="T1632" s="103"/>
      <c r="U1632" s="16"/>
      <c r="V1632" s="16"/>
      <c r="W1632" s="16"/>
      <c r="X1632" s="103"/>
    </row>
    <row r="1633" spans="2:24" x14ac:dyDescent="0.25">
      <c r="B1633" s="103"/>
      <c r="C1633" s="103"/>
      <c r="D1633" s="103"/>
      <c r="E1633" s="103"/>
      <c r="F1633" s="103"/>
      <c r="H1633" s="103"/>
      <c r="I1633" s="103"/>
      <c r="J1633" s="103"/>
      <c r="K1633" s="103"/>
      <c r="L1633" s="103"/>
      <c r="N1633" s="103"/>
      <c r="O1633" s="103"/>
      <c r="Q1633" s="16"/>
      <c r="R1633" s="16"/>
      <c r="S1633" s="16"/>
      <c r="T1633" s="103"/>
      <c r="U1633" s="16"/>
      <c r="V1633" s="16"/>
      <c r="W1633" s="16"/>
      <c r="X1633" s="103"/>
    </row>
    <row r="1634" spans="2:24" x14ac:dyDescent="0.25">
      <c r="B1634" s="103"/>
      <c r="C1634" s="103"/>
      <c r="D1634" s="103"/>
      <c r="E1634" s="103"/>
      <c r="F1634" s="103"/>
      <c r="H1634" s="103"/>
      <c r="I1634" s="103"/>
      <c r="J1634" s="103"/>
      <c r="K1634" s="103"/>
      <c r="L1634" s="103"/>
      <c r="N1634" s="103"/>
      <c r="O1634" s="103"/>
      <c r="Q1634" s="16"/>
      <c r="R1634" s="16"/>
      <c r="S1634" s="16"/>
      <c r="T1634" s="103"/>
      <c r="U1634" s="16"/>
      <c r="V1634" s="16"/>
      <c r="W1634" s="16"/>
      <c r="X1634" s="103"/>
    </row>
    <row r="1635" spans="2:24" x14ac:dyDescent="0.25">
      <c r="B1635" s="103"/>
      <c r="C1635" s="103"/>
      <c r="D1635" s="103"/>
      <c r="E1635" s="103"/>
      <c r="F1635" s="103"/>
      <c r="H1635" s="103"/>
      <c r="I1635" s="103"/>
      <c r="J1635" s="103"/>
      <c r="K1635" s="103"/>
      <c r="L1635" s="103"/>
      <c r="N1635" s="103"/>
      <c r="O1635" s="103"/>
      <c r="Q1635" s="16"/>
      <c r="R1635" s="16"/>
      <c r="S1635" s="16"/>
      <c r="T1635" s="103"/>
      <c r="U1635" s="16"/>
      <c r="V1635" s="16"/>
      <c r="W1635" s="16"/>
      <c r="X1635" s="103"/>
    </row>
    <row r="1636" spans="2:24" x14ac:dyDescent="0.25">
      <c r="B1636" s="103"/>
      <c r="C1636" s="103"/>
      <c r="D1636" s="103"/>
      <c r="E1636" s="103"/>
      <c r="F1636" s="103"/>
      <c r="H1636" s="103"/>
      <c r="I1636" s="103"/>
      <c r="J1636" s="103"/>
      <c r="K1636" s="103"/>
      <c r="L1636" s="103"/>
      <c r="N1636" s="103"/>
      <c r="O1636" s="103"/>
      <c r="Q1636" s="16"/>
      <c r="R1636" s="16"/>
      <c r="S1636" s="16"/>
      <c r="T1636" s="103"/>
      <c r="U1636" s="16"/>
      <c r="V1636" s="16"/>
      <c r="W1636" s="16"/>
      <c r="X1636" s="103"/>
    </row>
    <row r="1637" spans="2:24" x14ac:dyDescent="0.25">
      <c r="B1637" s="103"/>
      <c r="C1637" s="103"/>
      <c r="D1637" s="103"/>
      <c r="E1637" s="103"/>
      <c r="F1637" s="103"/>
      <c r="H1637" s="103"/>
      <c r="I1637" s="103"/>
      <c r="J1637" s="103"/>
      <c r="K1637" s="103"/>
      <c r="L1637" s="103"/>
      <c r="N1637" s="103"/>
      <c r="O1637" s="103"/>
      <c r="Q1637" s="16"/>
      <c r="R1637" s="16"/>
      <c r="S1637" s="16"/>
      <c r="T1637" s="103"/>
      <c r="U1637" s="16"/>
      <c r="V1637" s="16"/>
      <c r="W1637" s="16"/>
      <c r="X1637" s="103"/>
    </row>
    <row r="1638" spans="2:24" x14ac:dyDescent="0.25">
      <c r="B1638" s="103"/>
      <c r="C1638" s="103"/>
      <c r="D1638" s="103"/>
      <c r="E1638" s="103"/>
      <c r="F1638" s="103"/>
      <c r="H1638" s="103"/>
      <c r="I1638" s="103"/>
      <c r="J1638" s="103"/>
      <c r="K1638" s="103"/>
      <c r="L1638" s="103"/>
      <c r="N1638" s="103"/>
      <c r="O1638" s="103"/>
      <c r="Q1638" s="16"/>
      <c r="R1638" s="16"/>
      <c r="S1638" s="16"/>
      <c r="T1638" s="103"/>
      <c r="U1638" s="16"/>
      <c r="V1638" s="16"/>
      <c r="W1638" s="16"/>
      <c r="X1638" s="103"/>
    </row>
    <row r="1639" spans="2:24" x14ac:dyDescent="0.25">
      <c r="B1639" s="103"/>
      <c r="C1639" s="103"/>
      <c r="D1639" s="103"/>
      <c r="E1639" s="103"/>
      <c r="F1639" s="103"/>
      <c r="H1639" s="103"/>
      <c r="I1639" s="103"/>
      <c r="J1639" s="103"/>
      <c r="K1639" s="103"/>
      <c r="L1639" s="103"/>
      <c r="N1639" s="103"/>
      <c r="O1639" s="103"/>
      <c r="Q1639" s="16"/>
      <c r="R1639" s="16"/>
      <c r="S1639" s="16"/>
      <c r="T1639" s="103"/>
      <c r="U1639" s="16"/>
      <c r="V1639" s="16"/>
      <c r="W1639" s="16"/>
      <c r="X1639" s="103"/>
    </row>
    <row r="1640" spans="2:24" x14ac:dyDescent="0.25">
      <c r="B1640" s="103"/>
      <c r="C1640" s="103"/>
      <c r="D1640" s="103"/>
      <c r="E1640" s="103"/>
      <c r="F1640" s="103"/>
      <c r="H1640" s="103"/>
      <c r="I1640" s="103"/>
      <c r="J1640" s="103"/>
      <c r="K1640" s="103"/>
      <c r="L1640" s="103"/>
      <c r="N1640" s="103"/>
      <c r="O1640" s="103"/>
      <c r="Q1640" s="16"/>
      <c r="R1640" s="16"/>
      <c r="S1640" s="16"/>
      <c r="T1640" s="103"/>
      <c r="U1640" s="16"/>
      <c r="V1640" s="16"/>
      <c r="W1640" s="16"/>
      <c r="X1640" s="103"/>
    </row>
    <row r="1641" spans="2:24" x14ac:dyDescent="0.25">
      <c r="B1641" s="103"/>
      <c r="C1641" s="103"/>
      <c r="D1641" s="103"/>
      <c r="E1641" s="103"/>
      <c r="F1641" s="103"/>
      <c r="H1641" s="103"/>
      <c r="I1641" s="103"/>
      <c r="J1641" s="103"/>
      <c r="K1641" s="103"/>
      <c r="L1641" s="103"/>
      <c r="N1641" s="103"/>
      <c r="O1641" s="103"/>
      <c r="Q1641" s="16"/>
      <c r="R1641" s="16"/>
      <c r="S1641" s="16"/>
      <c r="T1641" s="103"/>
      <c r="U1641" s="16"/>
      <c r="V1641" s="16"/>
      <c r="W1641" s="16"/>
      <c r="X1641" s="103"/>
    </row>
    <row r="1642" spans="2:24" x14ac:dyDescent="0.25">
      <c r="B1642" s="103"/>
      <c r="C1642" s="103"/>
      <c r="D1642" s="103"/>
      <c r="E1642" s="103"/>
      <c r="F1642" s="103"/>
      <c r="H1642" s="103"/>
      <c r="I1642" s="103"/>
      <c r="J1642" s="103"/>
      <c r="K1642" s="103"/>
      <c r="L1642" s="103"/>
      <c r="N1642" s="103"/>
      <c r="O1642" s="103"/>
      <c r="Q1642" s="16"/>
      <c r="R1642" s="16"/>
      <c r="S1642" s="16"/>
      <c r="T1642" s="103"/>
      <c r="U1642" s="16"/>
      <c r="V1642" s="16"/>
      <c r="W1642" s="16"/>
      <c r="X1642" s="103"/>
    </row>
    <row r="1643" spans="2:24" x14ac:dyDescent="0.25">
      <c r="B1643" s="103"/>
      <c r="C1643" s="103"/>
      <c r="D1643" s="103"/>
      <c r="E1643" s="103"/>
      <c r="F1643" s="103"/>
      <c r="H1643" s="103"/>
      <c r="I1643" s="103"/>
      <c r="J1643" s="103"/>
      <c r="K1643" s="103"/>
      <c r="L1643" s="103"/>
      <c r="N1643" s="103"/>
      <c r="O1643" s="103"/>
      <c r="Q1643" s="16"/>
      <c r="R1643" s="16"/>
      <c r="S1643" s="16"/>
      <c r="T1643" s="103"/>
      <c r="U1643" s="16"/>
      <c r="V1643" s="16"/>
      <c r="W1643" s="16"/>
      <c r="X1643" s="103"/>
    </row>
    <row r="1644" spans="2:24" x14ac:dyDescent="0.25">
      <c r="B1644" s="103"/>
      <c r="C1644" s="103"/>
      <c r="D1644" s="103"/>
      <c r="E1644" s="103"/>
      <c r="F1644" s="103"/>
      <c r="H1644" s="103"/>
      <c r="I1644" s="103"/>
      <c r="J1644" s="103"/>
      <c r="K1644" s="103"/>
      <c r="L1644" s="103"/>
      <c r="N1644" s="103"/>
      <c r="O1644" s="103"/>
      <c r="Q1644" s="16"/>
      <c r="R1644" s="16"/>
      <c r="S1644" s="16"/>
      <c r="T1644" s="103"/>
      <c r="U1644" s="16"/>
      <c r="V1644" s="16"/>
      <c r="W1644" s="16"/>
      <c r="X1644" s="103"/>
    </row>
    <row r="1645" spans="2:24" x14ac:dyDescent="0.25">
      <c r="B1645" s="103"/>
      <c r="C1645" s="103"/>
      <c r="D1645" s="103"/>
      <c r="E1645" s="103"/>
      <c r="F1645" s="103"/>
      <c r="H1645" s="103"/>
      <c r="I1645" s="103"/>
      <c r="J1645" s="103"/>
      <c r="K1645" s="103"/>
      <c r="L1645" s="103"/>
      <c r="N1645" s="103"/>
      <c r="O1645" s="103"/>
      <c r="Q1645" s="16"/>
      <c r="R1645" s="16"/>
      <c r="S1645" s="16"/>
      <c r="T1645" s="103"/>
      <c r="U1645" s="16"/>
      <c r="V1645" s="16"/>
      <c r="W1645" s="16"/>
      <c r="X1645" s="103"/>
    </row>
    <row r="1646" spans="2:24" x14ac:dyDescent="0.25">
      <c r="B1646" s="103"/>
      <c r="C1646" s="103"/>
      <c r="D1646" s="103"/>
      <c r="E1646" s="103"/>
      <c r="F1646" s="103"/>
      <c r="H1646" s="103"/>
      <c r="I1646" s="103"/>
      <c r="J1646" s="103"/>
      <c r="K1646" s="103"/>
      <c r="L1646" s="103"/>
      <c r="N1646" s="103"/>
      <c r="O1646" s="103"/>
      <c r="Q1646" s="16"/>
      <c r="R1646" s="16"/>
      <c r="S1646" s="16"/>
      <c r="T1646" s="103"/>
      <c r="U1646" s="16"/>
      <c r="V1646" s="16"/>
      <c r="W1646" s="16"/>
      <c r="X1646" s="103"/>
    </row>
    <row r="1647" spans="2:24" x14ac:dyDescent="0.25">
      <c r="B1647" s="103"/>
      <c r="C1647" s="103"/>
      <c r="D1647" s="103"/>
      <c r="E1647" s="103"/>
      <c r="F1647" s="103"/>
      <c r="H1647" s="103"/>
      <c r="I1647" s="103"/>
      <c r="J1647" s="103"/>
      <c r="K1647" s="103"/>
      <c r="L1647" s="103"/>
      <c r="N1647" s="103"/>
      <c r="O1647" s="103"/>
      <c r="Q1647" s="16"/>
      <c r="R1647" s="16"/>
      <c r="S1647" s="16"/>
      <c r="T1647" s="103"/>
      <c r="U1647" s="16"/>
      <c r="V1647" s="16"/>
      <c r="W1647" s="16"/>
      <c r="X1647" s="103"/>
    </row>
    <row r="1648" spans="2:24" x14ac:dyDescent="0.25">
      <c r="B1648" s="103"/>
      <c r="C1648" s="103"/>
      <c r="D1648" s="103"/>
      <c r="E1648" s="103"/>
      <c r="F1648" s="103"/>
      <c r="H1648" s="103"/>
      <c r="I1648" s="103"/>
      <c r="J1648" s="103"/>
      <c r="K1648" s="103"/>
      <c r="L1648" s="103"/>
      <c r="N1648" s="103"/>
      <c r="O1648" s="103"/>
      <c r="Q1648" s="16"/>
      <c r="R1648" s="16"/>
      <c r="S1648" s="16"/>
      <c r="T1648" s="103"/>
      <c r="U1648" s="16"/>
      <c r="V1648" s="16"/>
      <c r="W1648" s="16"/>
      <c r="X1648" s="103"/>
    </row>
    <row r="1649" spans="2:24" x14ac:dyDescent="0.25">
      <c r="B1649" s="103"/>
      <c r="C1649" s="103"/>
      <c r="D1649" s="103"/>
      <c r="E1649" s="103"/>
      <c r="F1649" s="103"/>
      <c r="H1649" s="103"/>
      <c r="I1649" s="103"/>
      <c r="J1649" s="103"/>
      <c r="K1649" s="103"/>
      <c r="L1649" s="103"/>
      <c r="N1649" s="103"/>
      <c r="O1649" s="103"/>
      <c r="Q1649" s="16"/>
      <c r="R1649" s="16"/>
      <c r="S1649" s="16"/>
      <c r="T1649" s="103"/>
      <c r="U1649" s="16"/>
      <c r="V1649" s="16"/>
      <c r="W1649" s="16"/>
      <c r="X1649" s="103"/>
    </row>
    <row r="1650" spans="2:24" x14ac:dyDescent="0.25">
      <c r="B1650" s="103"/>
      <c r="C1650" s="103"/>
      <c r="D1650" s="103"/>
      <c r="E1650" s="103"/>
      <c r="F1650" s="103"/>
      <c r="H1650" s="103"/>
      <c r="I1650" s="103"/>
      <c r="J1650" s="103"/>
      <c r="K1650" s="103"/>
      <c r="L1650" s="103"/>
      <c r="N1650" s="103"/>
      <c r="O1650" s="103"/>
      <c r="Q1650" s="16"/>
      <c r="R1650" s="16"/>
      <c r="S1650" s="16"/>
      <c r="T1650" s="103"/>
      <c r="U1650" s="16"/>
      <c r="V1650" s="16"/>
      <c r="W1650" s="16"/>
      <c r="X1650" s="103"/>
    </row>
    <row r="1651" spans="2:24" x14ac:dyDescent="0.25">
      <c r="B1651" s="103"/>
      <c r="C1651" s="103"/>
      <c r="D1651" s="103"/>
      <c r="E1651" s="103"/>
      <c r="F1651" s="103"/>
      <c r="H1651" s="103"/>
      <c r="I1651" s="103"/>
      <c r="J1651" s="103"/>
      <c r="K1651" s="103"/>
      <c r="L1651" s="103"/>
      <c r="N1651" s="103"/>
      <c r="O1651" s="103"/>
      <c r="Q1651" s="16"/>
      <c r="R1651" s="16"/>
      <c r="S1651" s="16"/>
      <c r="T1651" s="103"/>
      <c r="U1651" s="16"/>
      <c r="V1651" s="16"/>
      <c r="W1651" s="16"/>
      <c r="X1651" s="103"/>
    </row>
    <row r="1652" spans="2:24" x14ac:dyDescent="0.25">
      <c r="B1652" s="103"/>
      <c r="C1652" s="103"/>
      <c r="D1652" s="103"/>
      <c r="E1652" s="103"/>
      <c r="F1652" s="103"/>
      <c r="H1652" s="103"/>
      <c r="I1652" s="103"/>
      <c r="J1652" s="103"/>
      <c r="K1652" s="103"/>
      <c r="L1652" s="103"/>
      <c r="N1652" s="103"/>
      <c r="O1652" s="103"/>
      <c r="Q1652" s="16"/>
      <c r="R1652" s="16"/>
      <c r="S1652" s="16"/>
      <c r="T1652" s="103"/>
      <c r="U1652" s="16"/>
      <c r="V1652" s="16"/>
      <c r="W1652" s="16"/>
      <c r="X1652" s="103"/>
    </row>
    <row r="1653" spans="2:24" x14ac:dyDescent="0.25">
      <c r="B1653" s="103"/>
      <c r="C1653" s="103"/>
      <c r="D1653" s="103"/>
      <c r="E1653" s="103"/>
      <c r="F1653" s="103"/>
      <c r="H1653" s="103"/>
      <c r="I1653" s="103"/>
      <c r="J1653" s="103"/>
      <c r="K1653" s="103"/>
      <c r="L1653" s="103"/>
      <c r="N1653" s="103"/>
      <c r="O1653" s="103"/>
      <c r="Q1653" s="16"/>
      <c r="R1653" s="16"/>
      <c r="S1653" s="16"/>
      <c r="T1653" s="103"/>
      <c r="U1653" s="16"/>
      <c r="V1653" s="16"/>
      <c r="W1653" s="16"/>
      <c r="X1653" s="103"/>
    </row>
    <row r="1654" spans="2:24" x14ac:dyDescent="0.25">
      <c r="B1654" s="103"/>
      <c r="C1654" s="103"/>
      <c r="D1654" s="103"/>
      <c r="E1654" s="103"/>
      <c r="F1654" s="103"/>
      <c r="H1654" s="103"/>
      <c r="I1654" s="103"/>
      <c r="J1654" s="103"/>
      <c r="K1654" s="103"/>
      <c r="L1654" s="103"/>
      <c r="N1654" s="103"/>
      <c r="O1654" s="103"/>
      <c r="Q1654" s="16"/>
      <c r="R1654" s="16"/>
      <c r="S1654" s="16"/>
      <c r="T1654" s="103"/>
      <c r="U1654" s="16"/>
      <c r="V1654" s="16"/>
      <c r="W1654" s="16"/>
      <c r="X1654" s="103"/>
    </row>
    <row r="1655" spans="2:24" x14ac:dyDescent="0.25">
      <c r="B1655" s="103"/>
      <c r="C1655" s="103"/>
      <c r="D1655" s="103"/>
      <c r="E1655" s="103"/>
      <c r="F1655" s="103"/>
      <c r="H1655" s="103"/>
      <c r="I1655" s="103"/>
      <c r="J1655" s="103"/>
      <c r="K1655" s="103"/>
      <c r="L1655" s="103"/>
      <c r="N1655" s="103"/>
      <c r="O1655" s="103"/>
      <c r="Q1655" s="16"/>
      <c r="R1655" s="16"/>
      <c r="S1655" s="16"/>
      <c r="T1655" s="103"/>
      <c r="U1655" s="16"/>
      <c r="V1655" s="16"/>
      <c r="W1655" s="16"/>
      <c r="X1655" s="103"/>
    </row>
    <row r="1656" spans="2:24" x14ac:dyDescent="0.25">
      <c r="B1656" s="103"/>
      <c r="C1656" s="103"/>
      <c r="D1656" s="103"/>
      <c r="E1656" s="103"/>
      <c r="F1656" s="103"/>
      <c r="H1656" s="103"/>
      <c r="I1656" s="103"/>
      <c r="J1656" s="103"/>
      <c r="K1656" s="103"/>
      <c r="L1656" s="103"/>
      <c r="N1656" s="103"/>
      <c r="O1656" s="103"/>
      <c r="Q1656" s="16"/>
      <c r="R1656" s="16"/>
      <c r="S1656" s="16"/>
      <c r="T1656" s="103"/>
      <c r="U1656" s="16"/>
      <c r="V1656" s="16"/>
      <c r="W1656" s="16"/>
      <c r="X1656" s="103"/>
    </row>
    <row r="1657" spans="2:24" x14ac:dyDescent="0.25">
      <c r="B1657" s="103"/>
      <c r="C1657" s="103"/>
      <c r="D1657" s="103"/>
      <c r="E1657" s="103"/>
      <c r="F1657" s="103"/>
      <c r="H1657" s="103"/>
      <c r="I1657" s="103"/>
      <c r="J1657" s="103"/>
      <c r="K1657" s="103"/>
      <c r="L1657" s="103"/>
      <c r="N1657" s="103"/>
      <c r="O1657" s="103"/>
      <c r="Q1657" s="16"/>
      <c r="R1657" s="16"/>
      <c r="S1657" s="16"/>
      <c r="T1657" s="103"/>
      <c r="U1657" s="16"/>
      <c r="V1657" s="16"/>
      <c r="W1657" s="16"/>
      <c r="X1657" s="103"/>
    </row>
    <row r="1658" spans="2:24" x14ac:dyDescent="0.25">
      <c r="B1658" s="103"/>
      <c r="C1658" s="103"/>
      <c r="D1658" s="103"/>
      <c r="E1658" s="103"/>
      <c r="F1658" s="103"/>
      <c r="H1658" s="103"/>
      <c r="I1658" s="103"/>
      <c r="J1658" s="103"/>
      <c r="K1658" s="103"/>
      <c r="L1658" s="103"/>
      <c r="N1658" s="103"/>
      <c r="O1658" s="103"/>
      <c r="Q1658" s="16"/>
      <c r="R1658" s="16"/>
      <c r="S1658" s="16"/>
      <c r="T1658" s="103"/>
      <c r="U1658" s="16"/>
      <c r="V1658" s="16"/>
      <c r="W1658" s="16"/>
      <c r="X1658" s="103"/>
    </row>
    <row r="1659" spans="2:24" x14ac:dyDescent="0.25">
      <c r="B1659" s="103"/>
      <c r="C1659" s="103"/>
      <c r="D1659" s="103"/>
      <c r="E1659" s="103"/>
      <c r="F1659" s="103"/>
      <c r="H1659" s="103"/>
      <c r="I1659" s="103"/>
      <c r="J1659" s="103"/>
      <c r="K1659" s="103"/>
      <c r="L1659" s="103"/>
      <c r="N1659" s="103"/>
      <c r="O1659" s="103"/>
      <c r="Q1659" s="16"/>
      <c r="R1659" s="16"/>
      <c r="S1659" s="16"/>
      <c r="T1659" s="103"/>
      <c r="U1659" s="16"/>
      <c r="V1659" s="16"/>
      <c r="W1659" s="16"/>
      <c r="X1659" s="103"/>
    </row>
    <row r="1660" spans="2:24" x14ac:dyDescent="0.25">
      <c r="B1660" s="103"/>
      <c r="C1660" s="103"/>
      <c r="D1660" s="103"/>
      <c r="E1660" s="103"/>
      <c r="F1660" s="103"/>
      <c r="H1660" s="103"/>
      <c r="I1660" s="103"/>
      <c r="J1660" s="103"/>
      <c r="K1660" s="103"/>
      <c r="L1660" s="103"/>
      <c r="N1660" s="103"/>
      <c r="O1660" s="103"/>
      <c r="Q1660" s="16"/>
      <c r="R1660" s="16"/>
      <c r="S1660" s="16"/>
      <c r="T1660" s="103"/>
      <c r="U1660" s="16"/>
      <c r="V1660" s="16"/>
      <c r="W1660" s="16"/>
      <c r="X1660" s="103"/>
    </row>
    <row r="1661" spans="2:24" x14ac:dyDescent="0.25">
      <c r="B1661" s="103"/>
      <c r="C1661" s="103"/>
      <c r="D1661" s="103"/>
      <c r="E1661" s="103"/>
      <c r="F1661" s="103"/>
      <c r="H1661" s="103"/>
      <c r="I1661" s="103"/>
      <c r="J1661" s="103"/>
      <c r="K1661" s="103"/>
      <c r="L1661" s="103"/>
      <c r="N1661" s="103"/>
      <c r="O1661" s="103"/>
      <c r="Q1661" s="16"/>
      <c r="R1661" s="16"/>
      <c r="S1661" s="16"/>
      <c r="T1661" s="103"/>
      <c r="U1661" s="16"/>
      <c r="V1661" s="16"/>
      <c r="W1661" s="16"/>
      <c r="X1661" s="103"/>
    </row>
    <row r="1662" spans="2:24" x14ac:dyDescent="0.25">
      <c r="B1662" s="103"/>
      <c r="C1662" s="103"/>
      <c r="D1662" s="103"/>
      <c r="E1662" s="103"/>
      <c r="F1662" s="103"/>
      <c r="H1662" s="103"/>
      <c r="I1662" s="103"/>
      <c r="J1662" s="103"/>
      <c r="K1662" s="103"/>
      <c r="L1662" s="103"/>
      <c r="N1662" s="103"/>
      <c r="O1662" s="103"/>
      <c r="Q1662" s="16"/>
      <c r="R1662" s="16"/>
      <c r="S1662" s="16"/>
      <c r="T1662" s="103"/>
      <c r="U1662" s="16"/>
      <c r="V1662" s="16"/>
      <c r="W1662" s="16"/>
      <c r="X1662" s="103"/>
    </row>
    <row r="1663" spans="2:24" x14ac:dyDescent="0.25">
      <c r="B1663" s="103"/>
      <c r="C1663" s="103"/>
      <c r="D1663" s="103"/>
      <c r="E1663" s="103"/>
      <c r="F1663" s="103"/>
      <c r="H1663" s="103"/>
      <c r="I1663" s="103"/>
      <c r="J1663" s="103"/>
      <c r="K1663" s="103"/>
      <c r="L1663" s="103"/>
      <c r="N1663" s="103"/>
      <c r="O1663" s="103"/>
      <c r="Q1663" s="16"/>
      <c r="R1663" s="16"/>
      <c r="S1663" s="16"/>
      <c r="T1663" s="103"/>
      <c r="U1663" s="16"/>
      <c r="V1663" s="16"/>
      <c r="W1663" s="16"/>
      <c r="X1663" s="103"/>
    </row>
    <row r="1664" spans="2:24" x14ac:dyDescent="0.25">
      <c r="B1664" s="103"/>
      <c r="C1664" s="103"/>
      <c r="D1664" s="103"/>
      <c r="E1664" s="103"/>
      <c r="F1664" s="103"/>
      <c r="H1664" s="103"/>
      <c r="I1664" s="103"/>
      <c r="J1664" s="103"/>
      <c r="K1664" s="103"/>
      <c r="L1664" s="103"/>
      <c r="N1664" s="103"/>
      <c r="O1664" s="103"/>
      <c r="Q1664" s="16"/>
      <c r="R1664" s="16"/>
      <c r="S1664" s="16"/>
      <c r="T1664" s="103"/>
      <c r="U1664" s="16"/>
      <c r="V1664" s="16"/>
      <c r="W1664" s="16"/>
      <c r="X1664" s="103"/>
    </row>
    <row r="1665" spans="2:24" x14ac:dyDescent="0.25">
      <c r="B1665" s="103"/>
      <c r="C1665" s="103"/>
      <c r="D1665" s="103"/>
      <c r="E1665" s="103"/>
      <c r="F1665" s="103"/>
      <c r="H1665" s="103"/>
      <c r="I1665" s="103"/>
      <c r="J1665" s="103"/>
      <c r="K1665" s="103"/>
      <c r="L1665" s="103"/>
      <c r="N1665" s="103"/>
      <c r="O1665" s="103"/>
      <c r="Q1665" s="16"/>
      <c r="R1665" s="16"/>
      <c r="S1665" s="16"/>
      <c r="T1665" s="103"/>
      <c r="U1665" s="16"/>
      <c r="V1665" s="16"/>
      <c r="W1665" s="16"/>
      <c r="X1665" s="103"/>
    </row>
    <row r="1666" spans="2:24" x14ac:dyDescent="0.25">
      <c r="B1666" s="103"/>
      <c r="C1666" s="103"/>
      <c r="D1666" s="103"/>
      <c r="E1666" s="103"/>
      <c r="F1666" s="103"/>
      <c r="H1666" s="103"/>
      <c r="I1666" s="103"/>
      <c r="J1666" s="103"/>
      <c r="K1666" s="103"/>
      <c r="L1666" s="103"/>
      <c r="N1666" s="103"/>
      <c r="O1666" s="103"/>
      <c r="Q1666" s="16"/>
      <c r="R1666" s="16"/>
      <c r="S1666" s="16"/>
      <c r="T1666" s="103"/>
      <c r="U1666" s="16"/>
      <c r="V1666" s="16"/>
      <c r="W1666" s="16"/>
      <c r="X1666" s="103"/>
    </row>
    <row r="1667" spans="2:24" x14ac:dyDescent="0.25">
      <c r="B1667" s="103"/>
      <c r="C1667" s="103"/>
      <c r="D1667" s="103"/>
      <c r="E1667" s="103"/>
      <c r="F1667" s="103"/>
      <c r="H1667" s="103"/>
      <c r="I1667" s="103"/>
      <c r="J1667" s="103"/>
      <c r="K1667" s="103"/>
      <c r="L1667" s="103"/>
      <c r="N1667" s="103"/>
      <c r="O1667" s="103"/>
      <c r="Q1667" s="16"/>
      <c r="R1667" s="16"/>
      <c r="S1667" s="16"/>
      <c r="T1667" s="103"/>
      <c r="U1667" s="16"/>
      <c r="V1667" s="16"/>
      <c r="W1667" s="16"/>
      <c r="X1667" s="103"/>
    </row>
    <row r="1668" spans="2:24" x14ac:dyDescent="0.25">
      <c r="B1668" s="103"/>
      <c r="C1668" s="103"/>
      <c r="D1668" s="103"/>
      <c r="E1668" s="103"/>
      <c r="F1668" s="103"/>
      <c r="H1668" s="103"/>
      <c r="I1668" s="103"/>
      <c r="J1668" s="103"/>
      <c r="K1668" s="103"/>
      <c r="L1668" s="103"/>
      <c r="N1668" s="103"/>
      <c r="O1668" s="103"/>
      <c r="Q1668" s="16"/>
      <c r="R1668" s="16"/>
      <c r="S1668" s="16"/>
      <c r="T1668" s="103"/>
      <c r="U1668" s="16"/>
      <c r="V1668" s="16"/>
      <c r="W1668" s="16"/>
      <c r="X1668" s="103"/>
    </row>
    <row r="1669" spans="2:24" x14ac:dyDescent="0.25">
      <c r="B1669" s="103"/>
      <c r="C1669" s="103"/>
      <c r="D1669" s="103"/>
      <c r="E1669" s="103"/>
      <c r="F1669" s="103"/>
      <c r="H1669" s="103"/>
      <c r="I1669" s="103"/>
      <c r="J1669" s="103"/>
      <c r="K1669" s="103"/>
      <c r="L1669" s="103"/>
      <c r="N1669" s="103"/>
      <c r="O1669" s="103"/>
      <c r="Q1669" s="16"/>
      <c r="R1669" s="16"/>
      <c r="S1669" s="16"/>
      <c r="T1669" s="103"/>
      <c r="U1669" s="16"/>
      <c r="V1669" s="16"/>
      <c r="W1669" s="16"/>
      <c r="X1669" s="103"/>
    </row>
    <row r="1670" spans="2:24" x14ac:dyDescent="0.25">
      <c r="B1670" s="103"/>
      <c r="C1670" s="103"/>
      <c r="D1670" s="103"/>
      <c r="E1670" s="103"/>
      <c r="F1670" s="103"/>
      <c r="H1670" s="103"/>
      <c r="I1670" s="103"/>
      <c r="J1670" s="103"/>
      <c r="K1670" s="103"/>
      <c r="L1670" s="103"/>
      <c r="N1670" s="103"/>
      <c r="O1670" s="103"/>
      <c r="Q1670" s="16"/>
      <c r="R1670" s="16"/>
      <c r="S1670" s="16"/>
      <c r="T1670" s="103"/>
      <c r="U1670" s="16"/>
      <c r="V1670" s="16"/>
      <c r="W1670" s="16"/>
      <c r="X1670" s="103"/>
    </row>
    <row r="1671" spans="2:24" x14ac:dyDescent="0.25">
      <c r="B1671" s="103"/>
      <c r="C1671" s="103"/>
      <c r="D1671" s="103"/>
      <c r="E1671" s="103"/>
      <c r="F1671" s="103"/>
      <c r="H1671" s="103"/>
      <c r="I1671" s="103"/>
      <c r="J1671" s="103"/>
      <c r="K1671" s="103"/>
      <c r="L1671" s="103"/>
      <c r="N1671" s="103"/>
      <c r="O1671" s="103"/>
      <c r="Q1671" s="16"/>
      <c r="R1671" s="16"/>
      <c r="S1671" s="16"/>
      <c r="T1671" s="103"/>
      <c r="U1671" s="16"/>
      <c r="V1671" s="16"/>
      <c r="W1671" s="16"/>
      <c r="X1671" s="103"/>
    </row>
    <row r="1672" spans="2:24" x14ac:dyDescent="0.25">
      <c r="B1672" s="103"/>
      <c r="C1672" s="103"/>
      <c r="D1672" s="103"/>
      <c r="E1672" s="103"/>
      <c r="F1672" s="103"/>
      <c r="H1672" s="103"/>
      <c r="I1672" s="103"/>
      <c r="J1672" s="103"/>
      <c r="K1672" s="103"/>
      <c r="L1672" s="103"/>
      <c r="N1672" s="103"/>
      <c r="O1672" s="103"/>
      <c r="Q1672" s="16"/>
      <c r="R1672" s="16"/>
      <c r="S1672" s="16"/>
      <c r="T1672" s="103"/>
      <c r="U1672" s="16"/>
      <c r="V1672" s="16"/>
      <c r="W1672" s="16"/>
      <c r="X1672" s="103"/>
    </row>
    <row r="1673" spans="2:24" x14ac:dyDescent="0.25">
      <c r="B1673" s="103"/>
      <c r="C1673" s="103"/>
      <c r="D1673" s="103"/>
      <c r="E1673" s="103"/>
      <c r="F1673" s="103"/>
      <c r="H1673" s="103"/>
      <c r="I1673" s="103"/>
      <c r="J1673" s="103"/>
      <c r="K1673" s="103"/>
      <c r="L1673" s="103"/>
      <c r="N1673" s="103"/>
      <c r="O1673" s="103"/>
      <c r="Q1673" s="16"/>
      <c r="R1673" s="16"/>
      <c r="S1673" s="16"/>
      <c r="T1673" s="103"/>
      <c r="U1673" s="16"/>
      <c r="V1673" s="16"/>
      <c r="W1673" s="16"/>
      <c r="X1673" s="103"/>
    </row>
    <row r="1674" spans="2:24" x14ac:dyDescent="0.25">
      <c r="B1674" s="103"/>
      <c r="C1674" s="103"/>
      <c r="D1674" s="103"/>
      <c r="E1674" s="103"/>
      <c r="F1674" s="103"/>
      <c r="H1674" s="103"/>
      <c r="I1674" s="103"/>
      <c r="J1674" s="103"/>
      <c r="K1674" s="103"/>
      <c r="L1674" s="103"/>
      <c r="N1674" s="103"/>
      <c r="O1674" s="103"/>
      <c r="Q1674" s="16"/>
      <c r="R1674" s="16"/>
      <c r="S1674" s="16"/>
      <c r="T1674" s="103"/>
      <c r="U1674" s="16"/>
      <c r="V1674" s="16"/>
      <c r="W1674" s="16"/>
      <c r="X1674" s="103"/>
    </row>
    <row r="1675" spans="2:24" x14ac:dyDescent="0.25">
      <c r="B1675" s="103"/>
      <c r="C1675" s="103"/>
      <c r="D1675" s="103"/>
      <c r="E1675" s="103"/>
      <c r="F1675" s="103"/>
      <c r="H1675" s="103"/>
      <c r="I1675" s="103"/>
      <c r="J1675" s="103"/>
      <c r="K1675" s="103"/>
      <c r="L1675" s="103"/>
      <c r="N1675" s="103"/>
      <c r="O1675" s="103"/>
      <c r="Q1675" s="16"/>
      <c r="R1675" s="16"/>
      <c r="S1675" s="16"/>
      <c r="T1675" s="103"/>
      <c r="U1675" s="16"/>
      <c r="V1675" s="16"/>
      <c r="W1675" s="16"/>
      <c r="X1675" s="103"/>
    </row>
    <row r="1676" spans="2:24" x14ac:dyDescent="0.25">
      <c r="B1676" s="103"/>
      <c r="C1676" s="103"/>
      <c r="D1676" s="103"/>
      <c r="E1676" s="103"/>
      <c r="F1676" s="103"/>
      <c r="H1676" s="103"/>
      <c r="I1676" s="103"/>
      <c r="J1676" s="103"/>
      <c r="K1676" s="103"/>
      <c r="L1676" s="103"/>
      <c r="N1676" s="103"/>
      <c r="O1676" s="103"/>
      <c r="Q1676" s="16"/>
      <c r="R1676" s="16"/>
      <c r="S1676" s="16"/>
      <c r="T1676" s="103"/>
      <c r="U1676" s="16"/>
      <c r="V1676" s="16"/>
      <c r="W1676" s="16"/>
      <c r="X1676" s="103"/>
    </row>
    <row r="1677" spans="2:24" x14ac:dyDescent="0.25">
      <c r="B1677" s="103"/>
      <c r="C1677" s="103"/>
      <c r="D1677" s="103"/>
      <c r="E1677" s="103"/>
      <c r="F1677" s="103"/>
      <c r="H1677" s="103"/>
      <c r="I1677" s="103"/>
      <c r="J1677" s="103"/>
      <c r="K1677" s="103"/>
      <c r="L1677" s="103"/>
      <c r="N1677" s="103"/>
      <c r="O1677" s="103"/>
      <c r="Q1677" s="16"/>
      <c r="R1677" s="16"/>
      <c r="S1677" s="16"/>
      <c r="T1677" s="103"/>
      <c r="U1677" s="16"/>
      <c r="V1677" s="16"/>
      <c r="W1677" s="16"/>
      <c r="X1677" s="103"/>
    </row>
    <row r="1678" spans="2:24" x14ac:dyDescent="0.25">
      <c r="B1678" s="103"/>
      <c r="C1678" s="103"/>
      <c r="D1678" s="103"/>
      <c r="E1678" s="103"/>
      <c r="F1678" s="103"/>
      <c r="H1678" s="103"/>
      <c r="I1678" s="103"/>
      <c r="J1678" s="103"/>
      <c r="K1678" s="103"/>
      <c r="L1678" s="103"/>
      <c r="N1678" s="103"/>
      <c r="O1678" s="103"/>
      <c r="Q1678" s="16"/>
      <c r="R1678" s="16"/>
      <c r="S1678" s="16"/>
      <c r="T1678" s="103"/>
      <c r="U1678" s="16"/>
      <c r="V1678" s="16"/>
      <c r="W1678" s="16"/>
      <c r="X1678" s="103"/>
    </row>
    <row r="1679" spans="2:24" x14ac:dyDescent="0.25">
      <c r="B1679" s="103"/>
      <c r="C1679" s="103"/>
      <c r="D1679" s="103"/>
      <c r="E1679" s="103"/>
      <c r="F1679" s="103"/>
      <c r="H1679" s="103"/>
      <c r="I1679" s="103"/>
      <c r="J1679" s="103"/>
      <c r="K1679" s="103"/>
      <c r="L1679" s="103"/>
      <c r="N1679" s="103"/>
      <c r="O1679" s="103"/>
      <c r="Q1679" s="16"/>
      <c r="R1679" s="16"/>
      <c r="S1679" s="16"/>
      <c r="T1679" s="103"/>
      <c r="U1679" s="16"/>
      <c r="V1679" s="16"/>
      <c r="W1679" s="16"/>
      <c r="X1679" s="103"/>
    </row>
    <row r="1680" spans="2:24" x14ac:dyDescent="0.25">
      <c r="B1680" s="103"/>
      <c r="C1680" s="103"/>
      <c r="D1680" s="103"/>
      <c r="E1680" s="103"/>
      <c r="F1680" s="103"/>
      <c r="H1680" s="103"/>
      <c r="I1680" s="103"/>
      <c r="J1680" s="103"/>
      <c r="K1680" s="103"/>
      <c r="L1680" s="103"/>
      <c r="N1680" s="103"/>
      <c r="O1680" s="103"/>
      <c r="Q1680" s="16"/>
      <c r="R1680" s="16"/>
      <c r="S1680" s="16"/>
      <c r="T1680" s="103"/>
      <c r="U1680" s="16"/>
      <c r="V1680" s="16"/>
      <c r="W1680" s="16"/>
      <c r="X1680" s="103"/>
    </row>
    <row r="1681" spans="2:24" x14ac:dyDescent="0.25">
      <c r="B1681" s="103"/>
      <c r="C1681" s="103"/>
      <c r="D1681" s="103"/>
      <c r="E1681" s="103"/>
      <c r="F1681" s="103"/>
      <c r="H1681" s="103"/>
      <c r="I1681" s="103"/>
      <c r="J1681" s="103"/>
      <c r="K1681" s="103"/>
      <c r="L1681" s="103"/>
      <c r="N1681" s="103"/>
      <c r="O1681" s="103"/>
      <c r="Q1681" s="16"/>
      <c r="R1681" s="16"/>
      <c r="S1681" s="16"/>
      <c r="T1681" s="103"/>
      <c r="U1681" s="16"/>
      <c r="V1681" s="16"/>
      <c r="W1681" s="16"/>
      <c r="X1681" s="103"/>
    </row>
    <row r="1682" spans="2:24" x14ac:dyDescent="0.25">
      <c r="B1682" s="103"/>
      <c r="C1682" s="103"/>
      <c r="D1682" s="103"/>
      <c r="E1682" s="103"/>
      <c r="F1682" s="103"/>
      <c r="H1682" s="103"/>
      <c r="I1682" s="103"/>
      <c r="J1682" s="103"/>
      <c r="K1682" s="103"/>
      <c r="L1682" s="103"/>
      <c r="N1682" s="103"/>
      <c r="O1682" s="103"/>
      <c r="Q1682" s="16"/>
      <c r="R1682" s="16"/>
      <c r="S1682" s="16"/>
      <c r="T1682" s="103"/>
      <c r="U1682" s="16"/>
      <c r="V1682" s="16"/>
      <c r="W1682" s="16"/>
      <c r="X1682" s="103"/>
    </row>
    <row r="1683" spans="2:24" x14ac:dyDescent="0.25">
      <c r="B1683" s="103"/>
      <c r="C1683" s="103"/>
      <c r="D1683" s="103"/>
      <c r="E1683" s="103"/>
      <c r="F1683" s="103"/>
      <c r="H1683" s="103"/>
      <c r="I1683" s="103"/>
      <c r="J1683" s="103"/>
      <c r="K1683" s="103"/>
      <c r="L1683" s="103"/>
      <c r="N1683" s="103"/>
      <c r="O1683" s="103"/>
      <c r="Q1683" s="16"/>
      <c r="R1683" s="16"/>
      <c r="S1683" s="16"/>
      <c r="T1683" s="103"/>
      <c r="U1683" s="16"/>
      <c r="V1683" s="16"/>
      <c r="W1683" s="16"/>
      <c r="X1683" s="103"/>
    </row>
    <row r="1684" spans="2:24" x14ac:dyDescent="0.25">
      <c r="B1684" s="103"/>
      <c r="C1684" s="103"/>
      <c r="D1684" s="103"/>
      <c r="E1684" s="103"/>
      <c r="F1684" s="103"/>
      <c r="H1684" s="103"/>
      <c r="I1684" s="103"/>
      <c r="J1684" s="103"/>
      <c r="K1684" s="103"/>
      <c r="L1684" s="103"/>
      <c r="N1684" s="103"/>
      <c r="O1684" s="103"/>
      <c r="Q1684" s="16"/>
      <c r="R1684" s="16"/>
      <c r="S1684" s="16"/>
      <c r="T1684" s="103"/>
      <c r="U1684" s="16"/>
      <c r="V1684" s="16"/>
      <c r="W1684" s="16"/>
      <c r="X1684" s="103"/>
    </row>
    <row r="1685" spans="2:24" x14ac:dyDescent="0.25">
      <c r="B1685" s="103"/>
      <c r="C1685" s="103"/>
      <c r="D1685" s="103"/>
      <c r="E1685" s="103"/>
      <c r="F1685" s="103"/>
      <c r="H1685" s="103"/>
      <c r="I1685" s="103"/>
      <c r="J1685" s="103"/>
      <c r="K1685" s="103"/>
      <c r="L1685" s="103"/>
      <c r="N1685" s="103"/>
      <c r="O1685" s="103"/>
      <c r="Q1685" s="16"/>
      <c r="R1685" s="16"/>
      <c r="S1685" s="16"/>
      <c r="T1685" s="103"/>
      <c r="U1685" s="16"/>
      <c r="V1685" s="16"/>
      <c r="W1685" s="16"/>
      <c r="X1685" s="103"/>
    </row>
    <row r="1686" spans="2:24" x14ac:dyDescent="0.25">
      <c r="B1686" s="103"/>
      <c r="C1686" s="103"/>
      <c r="D1686" s="103"/>
      <c r="E1686" s="103"/>
      <c r="F1686" s="103"/>
      <c r="H1686" s="103"/>
      <c r="I1686" s="103"/>
      <c r="J1686" s="103"/>
      <c r="K1686" s="103"/>
      <c r="L1686" s="103"/>
      <c r="N1686" s="103"/>
      <c r="O1686" s="103"/>
      <c r="Q1686" s="16"/>
      <c r="R1686" s="16"/>
      <c r="S1686" s="16"/>
      <c r="T1686" s="103"/>
      <c r="U1686" s="16"/>
      <c r="V1686" s="16"/>
      <c r="W1686" s="16"/>
      <c r="X1686" s="103"/>
    </row>
    <row r="1687" spans="2:24" x14ac:dyDescent="0.25">
      <c r="B1687" s="103"/>
      <c r="C1687" s="103"/>
      <c r="D1687" s="103"/>
      <c r="E1687" s="103"/>
      <c r="F1687" s="103"/>
      <c r="H1687" s="103"/>
      <c r="I1687" s="103"/>
      <c r="J1687" s="103"/>
      <c r="K1687" s="103"/>
      <c r="L1687" s="103"/>
      <c r="N1687" s="103"/>
      <c r="O1687" s="103"/>
      <c r="Q1687" s="16"/>
      <c r="R1687" s="16"/>
      <c r="S1687" s="16"/>
      <c r="T1687" s="103"/>
      <c r="U1687" s="16"/>
      <c r="V1687" s="16"/>
      <c r="W1687" s="16"/>
      <c r="X1687" s="103"/>
    </row>
    <row r="1688" spans="2:24" x14ac:dyDescent="0.25">
      <c r="B1688" s="103"/>
      <c r="C1688" s="103"/>
      <c r="D1688" s="103"/>
      <c r="E1688" s="103"/>
      <c r="F1688" s="103"/>
      <c r="H1688" s="103"/>
      <c r="I1688" s="103"/>
      <c r="J1688" s="103"/>
      <c r="K1688" s="103"/>
      <c r="L1688" s="103"/>
      <c r="N1688" s="103"/>
      <c r="O1688" s="103"/>
      <c r="Q1688" s="16"/>
      <c r="R1688" s="16"/>
      <c r="S1688" s="16"/>
      <c r="T1688" s="103"/>
      <c r="U1688" s="16"/>
      <c r="V1688" s="16"/>
      <c r="W1688" s="16"/>
      <c r="X1688" s="103"/>
    </row>
    <row r="1689" spans="2:24" x14ac:dyDescent="0.25">
      <c r="B1689" s="103"/>
      <c r="C1689" s="103"/>
      <c r="D1689" s="103"/>
      <c r="E1689" s="103"/>
      <c r="F1689" s="103"/>
      <c r="H1689" s="103"/>
      <c r="I1689" s="103"/>
      <c r="J1689" s="103"/>
      <c r="K1689" s="103"/>
      <c r="L1689" s="103"/>
      <c r="N1689" s="103"/>
      <c r="O1689" s="103"/>
      <c r="Q1689" s="16"/>
      <c r="R1689" s="16"/>
      <c r="S1689" s="16"/>
      <c r="T1689" s="103"/>
      <c r="U1689" s="16"/>
      <c r="V1689" s="16"/>
      <c r="W1689" s="16"/>
      <c r="X1689" s="103"/>
    </row>
    <row r="1690" spans="2:24" x14ac:dyDescent="0.25">
      <c r="B1690" s="103"/>
      <c r="C1690" s="103"/>
      <c r="D1690" s="103"/>
      <c r="E1690" s="103"/>
      <c r="F1690" s="103"/>
      <c r="H1690" s="103"/>
      <c r="I1690" s="103"/>
      <c r="J1690" s="103"/>
      <c r="K1690" s="103"/>
      <c r="L1690" s="103"/>
      <c r="N1690" s="103"/>
      <c r="O1690" s="103"/>
      <c r="Q1690" s="16"/>
      <c r="R1690" s="16"/>
      <c r="S1690" s="16"/>
      <c r="T1690" s="103"/>
      <c r="U1690" s="16"/>
      <c r="V1690" s="16"/>
      <c r="W1690" s="16"/>
      <c r="X1690" s="103"/>
    </row>
    <row r="1691" spans="2:24" x14ac:dyDescent="0.25">
      <c r="B1691" s="103"/>
      <c r="C1691" s="103"/>
      <c r="D1691" s="103"/>
      <c r="E1691" s="103"/>
      <c r="F1691" s="103"/>
      <c r="H1691" s="103"/>
      <c r="I1691" s="103"/>
      <c r="J1691" s="103"/>
      <c r="K1691" s="103"/>
      <c r="L1691" s="103"/>
      <c r="N1691" s="103"/>
      <c r="O1691" s="103"/>
      <c r="Q1691" s="16"/>
      <c r="R1691" s="16"/>
      <c r="S1691" s="16"/>
      <c r="T1691" s="103"/>
      <c r="U1691" s="16"/>
      <c r="V1691" s="16"/>
      <c r="W1691" s="16"/>
      <c r="X1691" s="103"/>
    </row>
    <row r="1692" spans="2:24" x14ac:dyDescent="0.25">
      <c r="B1692" s="103"/>
      <c r="C1692" s="103"/>
      <c r="D1692" s="103"/>
      <c r="E1692" s="103"/>
      <c r="F1692" s="103"/>
      <c r="H1692" s="103"/>
      <c r="I1692" s="103"/>
      <c r="J1692" s="103"/>
      <c r="K1692" s="103"/>
      <c r="L1692" s="103"/>
      <c r="N1692" s="103"/>
      <c r="O1692" s="103"/>
      <c r="Q1692" s="16"/>
      <c r="R1692" s="16"/>
      <c r="S1692" s="16"/>
      <c r="T1692" s="103"/>
      <c r="U1692" s="16"/>
      <c r="V1692" s="16"/>
      <c r="W1692" s="16"/>
      <c r="X1692" s="103"/>
    </row>
    <row r="1693" spans="2:24" x14ac:dyDescent="0.25">
      <c r="B1693" s="103"/>
      <c r="C1693" s="103"/>
      <c r="D1693" s="103"/>
      <c r="E1693" s="103"/>
      <c r="F1693" s="103"/>
      <c r="H1693" s="103"/>
      <c r="I1693" s="103"/>
      <c r="J1693" s="103"/>
      <c r="K1693" s="103"/>
      <c r="L1693" s="103"/>
      <c r="N1693" s="103"/>
      <c r="O1693" s="103"/>
      <c r="Q1693" s="16"/>
      <c r="R1693" s="16"/>
      <c r="S1693" s="16"/>
      <c r="T1693" s="103"/>
      <c r="U1693" s="16"/>
      <c r="V1693" s="16"/>
      <c r="W1693" s="16"/>
      <c r="X1693" s="103"/>
    </row>
    <row r="1694" spans="2:24" x14ac:dyDescent="0.25">
      <c r="B1694" s="103"/>
      <c r="C1694" s="103"/>
      <c r="D1694" s="103"/>
      <c r="E1694" s="103"/>
      <c r="F1694" s="103"/>
      <c r="H1694" s="103"/>
      <c r="I1694" s="103"/>
      <c r="J1694" s="103"/>
      <c r="K1694" s="103"/>
      <c r="L1694" s="103"/>
      <c r="N1694" s="103"/>
      <c r="O1694" s="103"/>
      <c r="Q1694" s="16"/>
      <c r="R1694" s="16"/>
      <c r="S1694" s="16"/>
      <c r="T1694" s="103"/>
      <c r="U1694" s="16"/>
      <c r="V1694" s="16"/>
      <c r="W1694" s="16"/>
      <c r="X1694" s="103"/>
    </row>
    <row r="1695" spans="2:24" x14ac:dyDescent="0.25">
      <c r="B1695" s="103"/>
      <c r="C1695" s="103"/>
      <c r="D1695" s="103"/>
      <c r="E1695" s="103"/>
      <c r="F1695" s="103"/>
      <c r="H1695" s="103"/>
      <c r="I1695" s="103"/>
      <c r="J1695" s="103"/>
      <c r="K1695" s="103"/>
      <c r="L1695" s="103"/>
      <c r="N1695" s="103"/>
      <c r="O1695" s="103"/>
      <c r="Q1695" s="16"/>
      <c r="R1695" s="16"/>
      <c r="S1695" s="16"/>
      <c r="T1695" s="103"/>
      <c r="U1695" s="16"/>
      <c r="V1695" s="16"/>
      <c r="W1695" s="16"/>
      <c r="X1695" s="103"/>
    </row>
    <row r="1696" spans="2:24" x14ac:dyDescent="0.25">
      <c r="B1696" s="103"/>
      <c r="C1696" s="103"/>
      <c r="D1696" s="103"/>
      <c r="E1696" s="103"/>
      <c r="F1696" s="103"/>
      <c r="H1696" s="103"/>
      <c r="I1696" s="103"/>
      <c r="J1696" s="103"/>
      <c r="K1696" s="103"/>
      <c r="L1696" s="103"/>
      <c r="N1696" s="103"/>
      <c r="O1696" s="103"/>
      <c r="Q1696" s="16"/>
      <c r="R1696" s="16"/>
      <c r="S1696" s="16"/>
      <c r="T1696" s="103"/>
      <c r="U1696" s="16"/>
      <c r="V1696" s="16"/>
      <c r="W1696" s="16"/>
      <c r="X1696" s="103"/>
    </row>
    <row r="1697" spans="2:24" x14ac:dyDescent="0.25">
      <c r="B1697" s="103"/>
      <c r="C1697" s="103"/>
      <c r="D1697" s="103"/>
      <c r="E1697" s="103"/>
      <c r="F1697" s="103"/>
      <c r="H1697" s="103"/>
      <c r="I1697" s="103"/>
      <c r="J1697" s="103"/>
      <c r="K1697" s="103"/>
      <c r="L1697" s="103"/>
      <c r="N1697" s="103"/>
      <c r="O1697" s="103"/>
      <c r="Q1697" s="16"/>
      <c r="R1697" s="16"/>
      <c r="S1697" s="16"/>
      <c r="T1697" s="103"/>
      <c r="U1697" s="16"/>
      <c r="V1697" s="16"/>
      <c r="W1697" s="16"/>
      <c r="X1697" s="103"/>
    </row>
    <row r="1698" spans="2:24" x14ac:dyDescent="0.25">
      <c r="B1698" s="103"/>
      <c r="C1698" s="103"/>
      <c r="D1698" s="103"/>
      <c r="E1698" s="103"/>
      <c r="F1698" s="103"/>
      <c r="H1698" s="103"/>
      <c r="I1698" s="103"/>
      <c r="J1698" s="103"/>
      <c r="K1698" s="103"/>
      <c r="L1698" s="103"/>
      <c r="N1698" s="103"/>
      <c r="O1698" s="103"/>
      <c r="Q1698" s="16"/>
      <c r="R1698" s="16"/>
      <c r="S1698" s="16"/>
      <c r="T1698" s="103"/>
      <c r="U1698" s="16"/>
      <c r="V1698" s="16"/>
      <c r="W1698" s="16"/>
      <c r="X1698" s="103"/>
    </row>
    <row r="1699" spans="2:24" x14ac:dyDescent="0.25">
      <c r="B1699" s="103"/>
      <c r="C1699" s="103"/>
      <c r="D1699" s="103"/>
      <c r="E1699" s="103"/>
      <c r="F1699" s="103"/>
      <c r="H1699" s="103"/>
      <c r="I1699" s="103"/>
      <c r="J1699" s="103"/>
      <c r="K1699" s="103"/>
      <c r="L1699" s="103"/>
      <c r="N1699" s="103"/>
      <c r="O1699" s="103"/>
      <c r="Q1699" s="16"/>
      <c r="R1699" s="16"/>
      <c r="S1699" s="16"/>
      <c r="T1699" s="103"/>
      <c r="U1699" s="16"/>
      <c r="V1699" s="16"/>
      <c r="W1699" s="16"/>
      <c r="X1699" s="103"/>
    </row>
    <row r="1700" spans="2:24" x14ac:dyDescent="0.25">
      <c r="B1700" s="103"/>
      <c r="C1700" s="103"/>
      <c r="D1700" s="103"/>
      <c r="E1700" s="103"/>
      <c r="F1700" s="103"/>
      <c r="H1700" s="103"/>
      <c r="I1700" s="103"/>
      <c r="J1700" s="103"/>
      <c r="K1700" s="103"/>
      <c r="L1700" s="103"/>
      <c r="N1700" s="103"/>
      <c r="O1700" s="103"/>
      <c r="Q1700" s="16"/>
      <c r="R1700" s="16"/>
      <c r="S1700" s="16"/>
      <c r="T1700" s="103"/>
      <c r="U1700" s="16"/>
      <c r="V1700" s="16"/>
      <c r="W1700" s="16"/>
      <c r="X1700" s="103"/>
    </row>
    <row r="1701" spans="2:24" x14ac:dyDescent="0.25">
      <c r="B1701" s="103"/>
      <c r="C1701" s="103"/>
      <c r="D1701" s="103"/>
      <c r="E1701" s="103"/>
      <c r="F1701" s="103"/>
      <c r="H1701" s="103"/>
      <c r="I1701" s="103"/>
      <c r="J1701" s="103"/>
      <c r="K1701" s="103"/>
      <c r="L1701" s="103"/>
      <c r="N1701" s="103"/>
      <c r="O1701" s="103"/>
      <c r="Q1701" s="16"/>
      <c r="R1701" s="16"/>
      <c r="S1701" s="16"/>
      <c r="T1701" s="103"/>
      <c r="U1701" s="16"/>
      <c r="V1701" s="16"/>
      <c r="W1701" s="16"/>
      <c r="X1701" s="103"/>
    </row>
    <row r="1702" spans="2:24" x14ac:dyDescent="0.25">
      <c r="B1702" s="103"/>
      <c r="C1702" s="103"/>
      <c r="D1702" s="103"/>
      <c r="E1702" s="103"/>
      <c r="F1702" s="103"/>
      <c r="H1702" s="103"/>
      <c r="I1702" s="103"/>
      <c r="J1702" s="103"/>
      <c r="K1702" s="103"/>
      <c r="L1702" s="103"/>
      <c r="N1702" s="103"/>
      <c r="O1702" s="103"/>
      <c r="Q1702" s="16"/>
      <c r="R1702" s="16"/>
      <c r="S1702" s="16"/>
      <c r="T1702" s="103"/>
      <c r="U1702" s="16"/>
      <c r="V1702" s="16"/>
      <c r="W1702" s="16"/>
      <c r="X1702" s="103"/>
    </row>
    <row r="1703" spans="2:24" x14ac:dyDescent="0.25">
      <c r="B1703" s="103"/>
      <c r="C1703" s="103"/>
      <c r="D1703" s="103"/>
      <c r="E1703" s="103"/>
      <c r="F1703" s="103"/>
      <c r="H1703" s="103"/>
      <c r="I1703" s="103"/>
      <c r="J1703" s="103"/>
      <c r="K1703" s="103"/>
      <c r="L1703" s="103"/>
      <c r="N1703" s="103"/>
      <c r="O1703" s="103"/>
      <c r="Q1703" s="16"/>
      <c r="R1703" s="16"/>
      <c r="S1703" s="16"/>
      <c r="T1703" s="103"/>
      <c r="U1703" s="16"/>
      <c r="V1703" s="16"/>
      <c r="W1703" s="16"/>
      <c r="X1703" s="103"/>
    </row>
    <row r="1704" spans="2:24" x14ac:dyDescent="0.25">
      <c r="B1704" s="103"/>
      <c r="C1704" s="103"/>
      <c r="D1704" s="103"/>
      <c r="E1704" s="103"/>
      <c r="F1704" s="103"/>
      <c r="H1704" s="103"/>
      <c r="I1704" s="103"/>
      <c r="J1704" s="103"/>
      <c r="K1704" s="103"/>
      <c r="L1704" s="103"/>
      <c r="N1704" s="103"/>
      <c r="O1704" s="103"/>
      <c r="Q1704" s="16"/>
      <c r="R1704" s="16"/>
      <c r="S1704" s="16"/>
      <c r="T1704" s="103"/>
      <c r="U1704" s="16"/>
      <c r="V1704" s="16"/>
      <c r="W1704" s="16"/>
      <c r="X1704" s="103"/>
    </row>
    <row r="1705" spans="2:24" x14ac:dyDescent="0.25">
      <c r="B1705" s="103"/>
      <c r="C1705" s="103"/>
      <c r="D1705" s="103"/>
      <c r="E1705" s="103"/>
      <c r="F1705" s="103"/>
      <c r="H1705" s="103"/>
      <c r="I1705" s="103"/>
      <c r="J1705" s="103"/>
      <c r="K1705" s="103"/>
      <c r="L1705" s="103"/>
      <c r="N1705" s="103"/>
      <c r="O1705" s="103"/>
      <c r="Q1705" s="16"/>
      <c r="R1705" s="16"/>
      <c r="S1705" s="16"/>
      <c r="T1705" s="103"/>
      <c r="U1705" s="16"/>
      <c r="V1705" s="16"/>
      <c r="W1705" s="16"/>
      <c r="X1705" s="103"/>
    </row>
    <row r="1706" spans="2:24" x14ac:dyDescent="0.25">
      <c r="B1706" s="103"/>
      <c r="C1706" s="103"/>
      <c r="D1706" s="103"/>
      <c r="E1706" s="103"/>
      <c r="F1706" s="103"/>
      <c r="H1706" s="103"/>
      <c r="I1706" s="103"/>
      <c r="J1706" s="103"/>
      <c r="K1706" s="103"/>
      <c r="L1706" s="103"/>
      <c r="N1706" s="103"/>
      <c r="O1706" s="103"/>
      <c r="Q1706" s="16"/>
      <c r="R1706" s="16"/>
      <c r="S1706" s="16"/>
      <c r="T1706" s="103"/>
      <c r="U1706" s="16"/>
      <c r="V1706" s="16"/>
      <c r="W1706" s="16"/>
      <c r="X1706" s="103"/>
    </row>
    <row r="1707" spans="2:24" x14ac:dyDescent="0.25">
      <c r="B1707" s="103"/>
      <c r="C1707" s="103"/>
      <c r="D1707" s="103"/>
      <c r="E1707" s="103"/>
      <c r="F1707" s="103"/>
      <c r="H1707" s="103"/>
      <c r="I1707" s="103"/>
      <c r="J1707" s="103"/>
      <c r="K1707" s="103"/>
      <c r="L1707" s="103"/>
      <c r="N1707" s="103"/>
      <c r="O1707" s="103"/>
      <c r="Q1707" s="16"/>
      <c r="R1707" s="16"/>
      <c r="S1707" s="16"/>
      <c r="T1707" s="103"/>
      <c r="U1707" s="16"/>
      <c r="V1707" s="16"/>
      <c r="W1707" s="16"/>
      <c r="X1707" s="103"/>
    </row>
    <row r="1708" spans="2:24" x14ac:dyDescent="0.25">
      <c r="B1708" s="103"/>
      <c r="C1708" s="103"/>
      <c r="D1708" s="103"/>
      <c r="E1708" s="103"/>
      <c r="F1708" s="103"/>
      <c r="H1708" s="103"/>
      <c r="I1708" s="103"/>
      <c r="J1708" s="103"/>
      <c r="K1708" s="103"/>
      <c r="L1708" s="103"/>
      <c r="N1708" s="103"/>
      <c r="O1708" s="103"/>
      <c r="Q1708" s="16"/>
      <c r="R1708" s="16"/>
      <c r="S1708" s="16"/>
      <c r="T1708" s="103"/>
      <c r="U1708" s="16"/>
      <c r="V1708" s="16"/>
      <c r="W1708" s="16"/>
      <c r="X1708" s="103"/>
    </row>
    <row r="1709" spans="2:24" x14ac:dyDescent="0.25">
      <c r="B1709" s="103"/>
      <c r="C1709" s="103"/>
      <c r="D1709" s="103"/>
      <c r="E1709" s="103"/>
      <c r="F1709" s="103"/>
      <c r="H1709" s="103"/>
      <c r="I1709" s="103"/>
      <c r="J1709" s="103"/>
      <c r="K1709" s="103"/>
      <c r="L1709" s="103"/>
      <c r="N1709" s="103"/>
      <c r="O1709" s="103"/>
      <c r="Q1709" s="16"/>
      <c r="R1709" s="16"/>
      <c r="S1709" s="16"/>
      <c r="T1709" s="103"/>
      <c r="U1709" s="16"/>
      <c r="V1709" s="16"/>
      <c r="W1709" s="16"/>
      <c r="X1709" s="103"/>
    </row>
    <row r="1710" spans="2:24" x14ac:dyDescent="0.25">
      <c r="B1710" s="103"/>
      <c r="C1710" s="103"/>
      <c r="D1710" s="103"/>
      <c r="E1710" s="103"/>
      <c r="F1710" s="103"/>
      <c r="H1710" s="103"/>
      <c r="I1710" s="103"/>
      <c r="J1710" s="103"/>
      <c r="K1710" s="103"/>
      <c r="L1710" s="103"/>
      <c r="N1710" s="103"/>
      <c r="O1710" s="103"/>
      <c r="Q1710" s="16"/>
      <c r="R1710" s="16"/>
      <c r="S1710" s="16"/>
      <c r="T1710" s="103"/>
      <c r="U1710" s="16"/>
      <c r="V1710" s="16"/>
      <c r="W1710" s="16"/>
      <c r="X1710" s="103"/>
    </row>
    <row r="1711" spans="2:24" x14ac:dyDescent="0.25">
      <c r="B1711" s="103"/>
      <c r="C1711" s="103"/>
      <c r="D1711" s="103"/>
      <c r="E1711" s="103"/>
      <c r="F1711" s="103"/>
      <c r="H1711" s="103"/>
      <c r="I1711" s="103"/>
      <c r="J1711" s="103"/>
      <c r="K1711" s="103"/>
      <c r="L1711" s="103"/>
      <c r="N1711" s="103"/>
      <c r="O1711" s="103"/>
      <c r="Q1711" s="16"/>
      <c r="R1711" s="16"/>
      <c r="S1711" s="16"/>
      <c r="T1711" s="103"/>
      <c r="U1711" s="16"/>
      <c r="V1711" s="16"/>
      <c r="W1711" s="16"/>
      <c r="X1711" s="103"/>
    </row>
    <row r="1712" spans="2:24" x14ac:dyDescent="0.25">
      <c r="B1712" s="103"/>
      <c r="C1712" s="103"/>
      <c r="D1712" s="103"/>
      <c r="E1712" s="103"/>
      <c r="F1712" s="103"/>
      <c r="H1712" s="103"/>
      <c r="I1712" s="103"/>
      <c r="J1712" s="103"/>
      <c r="K1712" s="103"/>
      <c r="L1712" s="103"/>
      <c r="N1712" s="103"/>
      <c r="O1712" s="103"/>
      <c r="Q1712" s="16"/>
      <c r="R1712" s="16"/>
      <c r="S1712" s="16"/>
      <c r="T1712" s="103"/>
      <c r="U1712" s="16"/>
      <c r="V1712" s="16"/>
      <c r="W1712" s="16"/>
      <c r="X1712" s="103"/>
    </row>
    <row r="1713" spans="2:24" x14ac:dyDescent="0.25">
      <c r="B1713" s="103"/>
      <c r="C1713" s="103"/>
      <c r="D1713" s="103"/>
      <c r="E1713" s="103"/>
      <c r="F1713" s="103"/>
      <c r="H1713" s="103"/>
      <c r="I1713" s="103"/>
      <c r="J1713" s="103"/>
      <c r="K1713" s="103"/>
      <c r="L1713" s="103"/>
      <c r="N1713" s="103"/>
      <c r="O1713" s="103"/>
      <c r="Q1713" s="16"/>
      <c r="R1713" s="16"/>
      <c r="S1713" s="16"/>
      <c r="T1713" s="103"/>
      <c r="U1713" s="16"/>
      <c r="V1713" s="16"/>
      <c r="W1713" s="16"/>
      <c r="X1713" s="103"/>
    </row>
    <row r="1714" spans="2:24" x14ac:dyDescent="0.25">
      <c r="B1714" s="103"/>
      <c r="C1714" s="103"/>
      <c r="D1714" s="103"/>
      <c r="E1714" s="103"/>
      <c r="F1714" s="103"/>
      <c r="H1714" s="103"/>
      <c r="I1714" s="103"/>
      <c r="J1714" s="103"/>
      <c r="K1714" s="103"/>
      <c r="L1714" s="103"/>
      <c r="N1714" s="103"/>
      <c r="O1714" s="103"/>
      <c r="Q1714" s="16"/>
      <c r="R1714" s="16"/>
      <c r="S1714" s="16"/>
      <c r="T1714" s="103"/>
      <c r="U1714" s="16"/>
      <c r="V1714" s="16"/>
      <c r="W1714" s="16"/>
      <c r="X1714" s="103"/>
    </row>
    <row r="1715" spans="2:24" x14ac:dyDescent="0.25">
      <c r="B1715" s="103"/>
      <c r="C1715" s="103"/>
      <c r="D1715" s="103"/>
      <c r="E1715" s="103"/>
      <c r="F1715" s="103"/>
      <c r="H1715" s="103"/>
      <c r="I1715" s="103"/>
      <c r="J1715" s="103"/>
      <c r="K1715" s="103"/>
      <c r="L1715" s="103"/>
      <c r="N1715" s="103"/>
      <c r="O1715" s="103"/>
      <c r="Q1715" s="16"/>
      <c r="R1715" s="16"/>
      <c r="S1715" s="16"/>
      <c r="T1715" s="103"/>
      <c r="U1715" s="16"/>
      <c r="V1715" s="16"/>
      <c r="W1715" s="16"/>
      <c r="X1715" s="103"/>
    </row>
    <row r="1716" spans="2:24" x14ac:dyDescent="0.25">
      <c r="B1716" s="103"/>
      <c r="C1716" s="103"/>
      <c r="D1716" s="103"/>
      <c r="E1716" s="103"/>
      <c r="F1716" s="103"/>
      <c r="H1716" s="103"/>
      <c r="I1716" s="103"/>
      <c r="J1716" s="103"/>
      <c r="K1716" s="103"/>
      <c r="L1716" s="103"/>
      <c r="N1716" s="103"/>
      <c r="O1716" s="103"/>
      <c r="Q1716" s="16"/>
      <c r="R1716" s="16"/>
      <c r="S1716" s="16"/>
      <c r="T1716" s="103"/>
      <c r="U1716" s="16"/>
      <c r="V1716" s="16"/>
      <c r="W1716" s="16"/>
      <c r="X1716" s="103"/>
    </row>
    <row r="1717" spans="2:24" x14ac:dyDescent="0.25">
      <c r="B1717" s="103"/>
      <c r="C1717" s="103"/>
      <c r="D1717" s="103"/>
      <c r="E1717" s="103"/>
      <c r="F1717" s="103"/>
      <c r="H1717" s="103"/>
      <c r="I1717" s="103"/>
      <c r="J1717" s="103"/>
      <c r="K1717" s="103"/>
      <c r="L1717" s="103"/>
      <c r="N1717" s="103"/>
      <c r="O1717" s="103"/>
      <c r="Q1717" s="16"/>
      <c r="R1717" s="16"/>
      <c r="S1717" s="16"/>
      <c r="T1717" s="103"/>
      <c r="U1717" s="16"/>
      <c r="V1717" s="16"/>
      <c r="W1717" s="16"/>
      <c r="X1717" s="103"/>
    </row>
    <row r="1718" spans="2:24" x14ac:dyDescent="0.25">
      <c r="B1718" s="103"/>
      <c r="C1718" s="103"/>
      <c r="D1718" s="103"/>
      <c r="E1718" s="103"/>
      <c r="F1718" s="103"/>
      <c r="H1718" s="103"/>
      <c r="I1718" s="103"/>
      <c r="J1718" s="103"/>
      <c r="K1718" s="103"/>
      <c r="L1718" s="103"/>
      <c r="N1718" s="103"/>
      <c r="O1718" s="103"/>
      <c r="Q1718" s="16"/>
      <c r="R1718" s="16"/>
      <c r="S1718" s="16"/>
      <c r="T1718" s="103"/>
      <c r="U1718" s="16"/>
      <c r="V1718" s="16"/>
      <c r="W1718" s="16"/>
      <c r="X1718" s="103"/>
    </row>
    <row r="1719" spans="2:24" x14ac:dyDescent="0.25">
      <c r="B1719" s="103"/>
      <c r="C1719" s="103"/>
      <c r="D1719" s="103"/>
      <c r="E1719" s="103"/>
      <c r="F1719" s="103"/>
      <c r="H1719" s="103"/>
      <c r="I1719" s="103"/>
      <c r="J1719" s="103"/>
      <c r="K1719" s="103"/>
      <c r="L1719" s="103"/>
      <c r="N1719" s="103"/>
      <c r="O1719" s="103"/>
      <c r="Q1719" s="16"/>
      <c r="R1719" s="16"/>
      <c r="S1719" s="16"/>
      <c r="T1719" s="103"/>
      <c r="U1719" s="16"/>
      <c r="V1719" s="16"/>
      <c r="W1719" s="16"/>
      <c r="X1719" s="103"/>
    </row>
    <row r="1720" spans="2:24" x14ac:dyDescent="0.25">
      <c r="B1720" s="103"/>
      <c r="C1720" s="103"/>
      <c r="D1720" s="103"/>
      <c r="E1720" s="103"/>
      <c r="F1720" s="103"/>
      <c r="H1720" s="103"/>
      <c r="I1720" s="103"/>
      <c r="J1720" s="103"/>
      <c r="K1720" s="103"/>
      <c r="L1720" s="103"/>
      <c r="N1720" s="103"/>
      <c r="O1720" s="103"/>
      <c r="Q1720" s="16"/>
      <c r="R1720" s="16"/>
      <c r="S1720" s="16"/>
      <c r="T1720" s="103"/>
      <c r="U1720" s="16"/>
      <c r="V1720" s="16"/>
      <c r="W1720" s="16"/>
      <c r="X1720" s="103"/>
    </row>
    <row r="1721" spans="2:24" x14ac:dyDescent="0.25">
      <c r="B1721" s="103"/>
      <c r="C1721" s="103"/>
      <c r="D1721" s="103"/>
      <c r="E1721" s="103"/>
      <c r="F1721" s="103"/>
      <c r="H1721" s="103"/>
      <c r="I1721" s="103"/>
      <c r="J1721" s="103"/>
      <c r="K1721" s="103"/>
      <c r="L1721" s="103"/>
      <c r="N1721" s="103"/>
      <c r="O1721" s="103"/>
      <c r="Q1721" s="16"/>
      <c r="R1721" s="16"/>
      <c r="S1721" s="16"/>
      <c r="T1721" s="103"/>
      <c r="U1721" s="16"/>
      <c r="V1721" s="16"/>
      <c r="W1721" s="16"/>
      <c r="X1721" s="103"/>
    </row>
    <row r="1722" spans="2:24" x14ac:dyDescent="0.25">
      <c r="B1722" s="103"/>
      <c r="C1722" s="103"/>
      <c r="D1722" s="103"/>
      <c r="E1722" s="103"/>
      <c r="F1722" s="103"/>
      <c r="H1722" s="103"/>
      <c r="I1722" s="103"/>
      <c r="J1722" s="103"/>
      <c r="K1722" s="103"/>
      <c r="L1722" s="103"/>
      <c r="N1722" s="103"/>
      <c r="O1722" s="103"/>
      <c r="Q1722" s="16"/>
      <c r="R1722" s="16"/>
      <c r="S1722" s="16"/>
      <c r="T1722" s="103"/>
      <c r="U1722" s="16"/>
      <c r="V1722" s="16"/>
      <c r="W1722" s="16"/>
      <c r="X1722" s="103"/>
    </row>
    <row r="1723" spans="2:24" x14ac:dyDescent="0.25">
      <c r="B1723" s="103"/>
      <c r="C1723" s="103"/>
      <c r="D1723" s="103"/>
      <c r="E1723" s="103"/>
      <c r="F1723" s="103"/>
      <c r="H1723" s="103"/>
      <c r="I1723" s="103"/>
      <c r="J1723" s="103"/>
      <c r="K1723" s="103"/>
      <c r="L1723" s="103"/>
      <c r="N1723" s="103"/>
      <c r="O1723" s="103"/>
      <c r="Q1723" s="16"/>
      <c r="R1723" s="16"/>
      <c r="S1723" s="16"/>
      <c r="T1723" s="103"/>
      <c r="U1723" s="16"/>
      <c r="V1723" s="16"/>
      <c r="W1723" s="16"/>
      <c r="X1723" s="103"/>
    </row>
    <row r="1724" spans="2:24" x14ac:dyDescent="0.25">
      <c r="B1724" s="103"/>
      <c r="C1724" s="103"/>
      <c r="D1724" s="103"/>
      <c r="E1724" s="103"/>
      <c r="F1724" s="103"/>
      <c r="H1724" s="103"/>
      <c r="I1724" s="103"/>
      <c r="J1724" s="103"/>
      <c r="K1724" s="103"/>
      <c r="L1724" s="103"/>
      <c r="N1724" s="103"/>
      <c r="O1724" s="103"/>
      <c r="Q1724" s="16"/>
      <c r="R1724" s="16"/>
      <c r="S1724" s="16"/>
      <c r="T1724" s="103"/>
      <c r="U1724" s="16"/>
      <c r="V1724" s="16"/>
      <c r="W1724" s="16"/>
      <c r="X1724" s="103"/>
    </row>
    <row r="1725" spans="2:24" x14ac:dyDescent="0.25">
      <c r="B1725" s="103"/>
      <c r="C1725" s="103"/>
      <c r="D1725" s="103"/>
      <c r="E1725" s="103"/>
      <c r="F1725" s="103"/>
      <c r="H1725" s="103"/>
      <c r="I1725" s="103"/>
      <c r="J1725" s="103"/>
      <c r="K1725" s="103"/>
      <c r="L1725" s="103"/>
      <c r="N1725" s="103"/>
      <c r="O1725" s="103"/>
      <c r="Q1725" s="16"/>
      <c r="R1725" s="16"/>
      <c r="S1725" s="16"/>
      <c r="T1725" s="103"/>
      <c r="U1725" s="16"/>
      <c r="V1725" s="16"/>
      <c r="W1725" s="16"/>
      <c r="X1725" s="103"/>
    </row>
    <row r="1726" spans="2:24" x14ac:dyDescent="0.25">
      <c r="B1726" s="103"/>
      <c r="C1726" s="103"/>
      <c r="D1726" s="103"/>
      <c r="E1726" s="103"/>
      <c r="F1726" s="103"/>
      <c r="H1726" s="103"/>
      <c r="I1726" s="103"/>
      <c r="J1726" s="103"/>
      <c r="K1726" s="103"/>
      <c r="L1726" s="103"/>
      <c r="N1726" s="103"/>
      <c r="O1726" s="103"/>
      <c r="Q1726" s="16"/>
      <c r="R1726" s="16"/>
      <c r="S1726" s="16"/>
      <c r="T1726" s="103"/>
      <c r="U1726" s="16"/>
      <c r="V1726" s="16"/>
      <c r="W1726" s="16"/>
      <c r="X1726" s="103"/>
    </row>
    <row r="1727" spans="2:24" x14ac:dyDescent="0.25">
      <c r="B1727" s="103"/>
      <c r="C1727" s="103"/>
      <c r="D1727" s="103"/>
      <c r="E1727" s="103"/>
      <c r="F1727" s="103"/>
      <c r="H1727" s="103"/>
      <c r="I1727" s="103"/>
      <c r="J1727" s="103"/>
      <c r="K1727" s="103"/>
      <c r="L1727" s="103"/>
      <c r="N1727" s="103"/>
      <c r="O1727" s="103"/>
      <c r="Q1727" s="16"/>
      <c r="R1727" s="16"/>
      <c r="S1727" s="16"/>
      <c r="T1727" s="103"/>
      <c r="U1727" s="16"/>
      <c r="V1727" s="16"/>
      <c r="W1727" s="16"/>
      <c r="X1727" s="103"/>
    </row>
    <row r="1728" spans="2:24" x14ac:dyDescent="0.25">
      <c r="B1728" s="103"/>
      <c r="C1728" s="103"/>
      <c r="D1728" s="103"/>
      <c r="E1728" s="103"/>
      <c r="F1728" s="103"/>
      <c r="H1728" s="103"/>
      <c r="I1728" s="103"/>
      <c r="J1728" s="103"/>
      <c r="K1728" s="103"/>
      <c r="L1728" s="103"/>
      <c r="N1728" s="103"/>
      <c r="O1728" s="103"/>
      <c r="Q1728" s="16"/>
      <c r="R1728" s="16"/>
      <c r="S1728" s="16"/>
      <c r="T1728" s="103"/>
      <c r="U1728" s="16"/>
      <c r="V1728" s="16"/>
      <c r="W1728" s="16"/>
      <c r="X1728" s="103"/>
    </row>
    <row r="1729" spans="2:24" x14ac:dyDescent="0.25">
      <c r="B1729" s="103"/>
      <c r="C1729" s="103"/>
      <c r="D1729" s="103"/>
      <c r="E1729" s="103"/>
      <c r="F1729" s="103"/>
      <c r="H1729" s="103"/>
      <c r="I1729" s="103"/>
      <c r="J1729" s="103"/>
      <c r="K1729" s="103"/>
      <c r="L1729" s="103"/>
      <c r="N1729" s="103"/>
      <c r="O1729" s="103"/>
      <c r="Q1729" s="16"/>
      <c r="R1729" s="16"/>
      <c r="S1729" s="16"/>
      <c r="T1729" s="103"/>
      <c r="U1729" s="16"/>
      <c r="V1729" s="16"/>
      <c r="W1729" s="16"/>
      <c r="X1729" s="103"/>
    </row>
    <row r="1730" spans="2:24" x14ac:dyDescent="0.25">
      <c r="B1730" s="103"/>
      <c r="C1730" s="103"/>
      <c r="D1730" s="103"/>
      <c r="E1730" s="103"/>
      <c r="F1730" s="103"/>
      <c r="H1730" s="103"/>
      <c r="I1730" s="103"/>
      <c r="J1730" s="103"/>
      <c r="K1730" s="103"/>
      <c r="L1730" s="103"/>
      <c r="N1730" s="103"/>
      <c r="O1730" s="103"/>
      <c r="Q1730" s="16"/>
      <c r="R1730" s="16"/>
      <c r="S1730" s="16"/>
      <c r="T1730" s="103"/>
      <c r="U1730" s="16"/>
      <c r="V1730" s="16"/>
      <c r="W1730" s="16"/>
      <c r="X1730" s="103"/>
    </row>
    <row r="1731" spans="2:24" x14ac:dyDescent="0.25">
      <c r="B1731" s="103"/>
      <c r="C1731" s="103"/>
      <c r="D1731" s="103"/>
      <c r="E1731" s="103"/>
      <c r="F1731" s="103"/>
      <c r="H1731" s="103"/>
      <c r="I1731" s="103"/>
      <c r="J1731" s="103"/>
      <c r="K1731" s="103"/>
      <c r="L1731" s="103"/>
      <c r="N1731" s="103"/>
      <c r="O1731" s="103"/>
      <c r="Q1731" s="16"/>
      <c r="R1731" s="16"/>
      <c r="S1731" s="16"/>
      <c r="T1731" s="103"/>
      <c r="U1731" s="16"/>
      <c r="V1731" s="16"/>
      <c r="W1731" s="16"/>
      <c r="X1731" s="103"/>
    </row>
    <row r="1732" spans="2:24" x14ac:dyDescent="0.25">
      <c r="B1732" s="103"/>
      <c r="C1732" s="103"/>
      <c r="D1732" s="103"/>
      <c r="E1732" s="103"/>
      <c r="F1732" s="103"/>
      <c r="H1732" s="103"/>
      <c r="I1732" s="103"/>
      <c r="J1732" s="103"/>
      <c r="K1732" s="103"/>
      <c r="L1732" s="103"/>
      <c r="N1732" s="103"/>
      <c r="O1732" s="103"/>
      <c r="Q1732" s="16"/>
      <c r="R1732" s="16"/>
      <c r="S1732" s="16"/>
      <c r="T1732" s="103"/>
      <c r="U1732" s="16"/>
      <c r="V1732" s="16"/>
      <c r="W1732" s="16"/>
      <c r="X1732" s="103"/>
    </row>
    <row r="1733" spans="2:24" x14ac:dyDescent="0.25">
      <c r="B1733" s="103"/>
      <c r="C1733" s="103"/>
      <c r="D1733" s="103"/>
      <c r="E1733" s="103"/>
      <c r="F1733" s="103"/>
      <c r="H1733" s="103"/>
      <c r="I1733" s="103"/>
      <c r="J1733" s="103"/>
      <c r="K1733" s="103"/>
      <c r="L1733" s="103"/>
      <c r="N1733" s="103"/>
      <c r="O1733" s="103"/>
      <c r="Q1733" s="16"/>
      <c r="R1733" s="16"/>
      <c r="S1733" s="16"/>
      <c r="T1733" s="103"/>
      <c r="U1733" s="16"/>
      <c r="V1733" s="16"/>
      <c r="W1733" s="16"/>
      <c r="X1733" s="103"/>
    </row>
    <row r="1734" spans="2:24" x14ac:dyDescent="0.25">
      <c r="B1734" s="103"/>
      <c r="C1734" s="103"/>
      <c r="D1734" s="103"/>
      <c r="E1734" s="103"/>
      <c r="F1734" s="103"/>
      <c r="H1734" s="103"/>
      <c r="I1734" s="103"/>
      <c r="J1734" s="103"/>
      <c r="K1734" s="103"/>
      <c r="L1734" s="103"/>
      <c r="N1734" s="103"/>
      <c r="O1734" s="103"/>
      <c r="Q1734" s="16"/>
      <c r="R1734" s="16"/>
      <c r="S1734" s="16"/>
      <c r="T1734" s="103"/>
      <c r="U1734" s="16"/>
      <c r="V1734" s="16"/>
      <c r="W1734" s="16"/>
      <c r="X1734" s="103"/>
    </row>
    <row r="1735" spans="2:24" x14ac:dyDescent="0.25">
      <c r="B1735" s="103"/>
      <c r="C1735" s="103"/>
      <c r="D1735" s="103"/>
      <c r="E1735" s="103"/>
      <c r="F1735" s="103"/>
      <c r="H1735" s="103"/>
      <c r="I1735" s="103"/>
      <c r="J1735" s="103"/>
      <c r="K1735" s="103"/>
      <c r="L1735" s="103"/>
      <c r="N1735" s="103"/>
      <c r="O1735" s="103"/>
      <c r="Q1735" s="16"/>
      <c r="R1735" s="16"/>
      <c r="S1735" s="16"/>
      <c r="T1735" s="103"/>
      <c r="U1735" s="16"/>
      <c r="V1735" s="16"/>
      <c r="W1735" s="16"/>
      <c r="X1735" s="103"/>
    </row>
    <row r="1736" spans="2:24" x14ac:dyDescent="0.25">
      <c r="B1736" s="103"/>
      <c r="C1736" s="103"/>
      <c r="D1736" s="103"/>
      <c r="E1736" s="103"/>
      <c r="F1736" s="103"/>
      <c r="H1736" s="103"/>
      <c r="I1736" s="103"/>
      <c r="J1736" s="103"/>
      <c r="K1736" s="103"/>
      <c r="L1736" s="103"/>
      <c r="N1736" s="103"/>
      <c r="O1736" s="103"/>
      <c r="Q1736" s="16"/>
      <c r="R1736" s="16"/>
      <c r="S1736" s="16"/>
      <c r="T1736" s="103"/>
      <c r="U1736" s="16"/>
      <c r="V1736" s="16"/>
      <c r="W1736" s="16"/>
      <c r="X1736" s="103"/>
    </row>
    <row r="1737" spans="2:24" x14ac:dyDescent="0.25">
      <c r="B1737" s="103"/>
      <c r="C1737" s="103"/>
      <c r="D1737" s="103"/>
      <c r="E1737" s="103"/>
      <c r="F1737" s="103"/>
      <c r="H1737" s="103"/>
      <c r="I1737" s="103"/>
      <c r="J1737" s="103"/>
      <c r="K1737" s="103"/>
      <c r="L1737" s="103"/>
      <c r="N1737" s="103"/>
      <c r="O1737" s="103"/>
      <c r="Q1737" s="16"/>
      <c r="R1737" s="16"/>
      <c r="S1737" s="16"/>
      <c r="T1737" s="103"/>
      <c r="U1737" s="16"/>
      <c r="V1737" s="16"/>
      <c r="W1737" s="16"/>
      <c r="X1737" s="103"/>
    </row>
    <row r="1738" spans="2:24" x14ac:dyDescent="0.25">
      <c r="B1738" s="103"/>
      <c r="C1738" s="103"/>
      <c r="D1738" s="103"/>
      <c r="E1738" s="103"/>
      <c r="F1738" s="103"/>
      <c r="H1738" s="103"/>
      <c r="I1738" s="103"/>
      <c r="J1738" s="103"/>
      <c r="K1738" s="103"/>
      <c r="L1738" s="103"/>
      <c r="N1738" s="103"/>
      <c r="O1738" s="103"/>
      <c r="Q1738" s="16"/>
      <c r="R1738" s="16"/>
      <c r="S1738" s="16"/>
      <c r="T1738" s="103"/>
      <c r="U1738" s="16"/>
      <c r="V1738" s="16"/>
      <c r="W1738" s="16"/>
      <c r="X1738" s="103"/>
    </row>
    <row r="1739" spans="2:24" x14ac:dyDescent="0.25">
      <c r="B1739" s="103"/>
      <c r="C1739" s="103"/>
      <c r="D1739" s="103"/>
      <c r="E1739" s="103"/>
      <c r="F1739" s="103"/>
      <c r="H1739" s="103"/>
      <c r="I1739" s="103"/>
      <c r="J1739" s="103"/>
      <c r="K1739" s="103"/>
      <c r="L1739" s="103"/>
      <c r="N1739" s="103"/>
      <c r="O1739" s="103"/>
      <c r="Q1739" s="16"/>
      <c r="R1739" s="16"/>
      <c r="S1739" s="16"/>
      <c r="T1739" s="103"/>
      <c r="U1739" s="16"/>
      <c r="V1739" s="16"/>
      <c r="W1739" s="16"/>
      <c r="X1739" s="103"/>
    </row>
    <row r="1740" spans="2:24" x14ac:dyDescent="0.25">
      <c r="B1740" s="103"/>
      <c r="C1740" s="103"/>
      <c r="D1740" s="103"/>
      <c r="E1740" s="103"/>
      <c r="F1740" s="103"/>
      <c r="H1740" s="103"/>
      <c r="I1740" s="103"/>
      <c r="J1740" s="103"/>
      <c r="K1740" s="103"/>
      <c r="L1740" s="103"/>
      <c r="N1740" s="103"/>
      <c r="O1740" s="103"/>
      <c r="Q1740" s="16"/>
      <c r="R1740" s="16"/>
      <c r="S1740" s="16"/>
      <c r="T1740" s="103"/>
      <c r="U1740" s="16"/>
      <c r="V1740" s="16"/>
      <c r="W1740" s="16"/>
      <c r="X1740" s="103"/>
    </row>
    <row r="1741" spans="2:24" x14ac:dyDescent="0.25">
      <c r="B1741" s="103"/>
      <c r="C1741" s="103"/>
      <c r="D1741" s="103"/>
      <c r="E1741" s="103"/>
      <c r="F1741" s="103"/>
      <c r="H1741" s="103"/>
      <c r="I1741" s="103"/>
      <c r="J1741" s="103"/>
      <c r="K1741" s="103"/>
      <c r="L1741" s="103"/>
      <c r="N1741" s="103"/>
      <c r="O1741" s="103"/>
      <c r="Q1741" s="16"/>
      <c r="R1741" s="16"/>
      <c r="S1741" s="16"/>
      <c r="T1741" s="103"/>
      <c r="U1741" s="16"/>
      <c r="V1741" s="16"/>
      <c r="W1741" s="16"/>
      <c r="X1741" s="103"/>
    </row>
    <row r="1742" spans="2:24" x14ac:dyDescent="0.25">
      <c r="B1742" s="103"/>
      <c r="C1742" s="103"/>
      <c r="D1742" s="103"/>
      <c r="E1742" s="103"/>
      <c r="F1742" s="103"/>
      <c r="H1742" s="103"/>
      <c r="I1742" s="103"/>
      <c r="J1742" s="103"/>
      <c r="K1742" s="103"/>
      <c r="L1742" s="103"/>
      <c r="N1742" s="103"/>
      <c r="O1742" s="103"/>
      <c r="Q1742" s="16"/>
      <c r="R1742" s="16"/>
      <c r="S1742" s="16"/>
      <c r="T1742" s="103"/>
      <c r="U1742" s="16"/>
      <c r="V1742" s="16"/>
      <c r="W1742" s="16"/>
      <c r="X1742" s="103"/>
    </row>
    <row r="1743" spans="2:24" x14ac:dyDescent="0.25">
      <c r="B1743" s="103"/>
      <c r="C1743" s="103"/>
      <c r="D1743" s="103"/>
      <c r="E1743" s="103"/>
      <c r="F1743" s="103"/>
      <c r="H1743" s="103"/>
      <c r="I1743" s="103"/>
      <c r="J1743" s="103"/>
      <c r="K1743" s="103"/>
      <c r="L1743" s="103"/>
      <c r="N1743" s="103"/>
      <c r="O1743" s="103"/>
      <c r="Q1743" s="16"/>
      <c r="R1743" s="16"/>
      <c r="S1743" s="16"/>
      <c r="T1743" s="103"/>
      <c r="U1743" s="16"/>
      <c r="V1743" s="16"/>
      <c r="W1743" s="16"/>
      <c r="X1743" s="103"/>
    </row>
    <row r="1744" spans="2:24" x14ac:dyDescent="0.25">
      <c r="B1744" s="103"/>
      <c r="C1744" s="103"/>
      <c r="D1744" s="103"/>
      <c r="E1744" s="103"/>
      <c r="F1744" s="103"/>
      <c r="H1744" s="103"/>
      <c r="I1744" s="103"/>
      <c r="J1744" s="103"/>
      <c r="K1744" s="103"/>
      <c r="L1744" s="103"/>
      <c r="N1744" s="103"/>
      <c r="O1744" s="103"/>
      <c r="Q1744" s="16"/>
      <c r="R1744" s="16"/>
      <c r="S1744" s="16"/>
      <c r="T1744" s="103"/>
      <c r="U1744" s="16"/>
      <c r="V1744" s="16"/>
      <c r="W1744" s="16"/>
      <c r="X1744" s="103"/>
    </row>
    <row r="1745" spans="2:24" x14ac:dyDescent="0.25">
      <c r="B1745" s="103"/>
      <c r="C1745" s="103"/>
      <c r="D1745" s="103"/>
      <c r="E1745" s="103"/>
      <c r="F1745" s="103"/>
      <c r="H1745" s="103"/>
      <c r="I1745" s="103"/>
      <c r="J1745" s="103"/>
      <c r="K1745" s="103"/>
      <c r="L1745" s="103"/>
      <c r="N1745" s="103"/>
      <c r="O1745" s="103"/>
      <c r="Q1745" s="16"/>
      <c r="R1745" s="16"/>
      <c r="S1745" s="16"/>
      <c r="T1745" s="103"/>
      <c r="U1745" s="16"/>
      <c r="V1745" s="16"/>
      <c r="W1745" s="16"/>
      <c r="X1745" s="103"/>
    </row>
    <row r="1746" spans="2:24" x14ac:dyDescent="0.25">
      <c r="B1746" s="103"/>
      <c r="C1746" s="103"/>
      <c r="D1746" s="103"/>
      <c r="E1746" s="103"/>
      <c r="F1746" s="103"/>
      <c r="H1746" s="103"/>
      <c r="I1746" s="103"/>
      <c r="J1746" s="103"/>
      <c r="K1746" s="103"/>
      <c r="L1746" s="103"/>
      <c r="N1746" s="103"/>
      <c r="O1746" s="103"/>
      <c r="Q1746" s="16"/>
      <c r="R1746" s="16"/>
      <c r="S1746" s="16"/>
      <c r="T1746" s="103"/>
      <c r="U1746" s="16"/>
      <c r="V1746" s="16"/>
      <c r="W1746" s="16"/>
      <c r="X1746" s="103"/>
    </row>
    <row r="1747" spans="2:24" x14ac:dyDescent="0.25">
      <c r="B1747" s="103"/>
      <c r="C1747" s="103"/>
      <c r="D1747" s="103"/>
      <c r="E1747" s="103"/>
      <c r="F1747" s="103"/>
      <c r="H1747" s="103"/>
      <c r="I1747" s="103"/>
      <c r="J1747" s="103"/>
      <c r="K1747" s="103"/>
      <c r="L1747" s="103"/>
      <c r="N1747" s="103"/>
      <c r="O1747" s="103"/>
      <c r="Q1747" s="16"/>
      <c r="R1747" s="16"/>
      <c r="S1747" s="16"/>
      <c r="T1747" s="103"/>
      <c r="U1747" s="16"/>
      <c r="V1747" s="16"/>
      <c r="W1747" s="16"/>
      <c r="X1747" s="103"/>
    </row>
    <row r="1748" spans="2:24" x14ac:dyDescent="0.25">
      <c r="B1748" s="103"/>
      <c r="C1748" s="103"/>
      <c r="D1748" s="103"/>
      <c r="E1748" s="103"/>
      <c r="F1748" s="103"/>
      <c r="H1748" s="103"/>
      <c r="I1748" s="103"/>
      <c r="J1748" s="103"/>
      <c r="K1748" s="103"/>
      <c r="L1748" s="103"/>
      <c r="N1748" s="103"/>
      <c r="O1748" s="103"/>
      <c r="Q1748" s="16"/>
      <c r="R1748" s="16"/>
      <c r="S1748" s="16"/>
      <c r="T1748" s="103"/>
      <c r="U1748" s="16"/>
      <c r="V1748" s="16"/>
      <c r="W1748" s="16"/>
      <c r="X1748" s="103"/>
    </row>
    <row r="1749" spans="2:24" x14ac:dyDescent="0.25">
      <c r="B1749" s="103"/>
      <c r="C1749" s="103"/>
      <c r="D1749" s="103"/>
      <c r="E1749" s="103"/>
      <c r="F1749" s="103"/>
      <c r="H1749" s="103"/>
      <c r="I1749" s="103"/>
      <c r="J1749" s="103"/>
      <c r="K1749" s="103"/>
      <c r="L1749" s="103"/>
      <c r="N1749" s="103"/>
      <c r="O1749" s="103"/>
      <c r="Q1749" s="16"/>
      <c r="R1749" s="16"/>
      <c r="S1749" s="16"/>
      <c r="T1749" s="103"/>
      <c r="U1749" s="16"/>
      <c r="V1749" s="16"/>
      <c r="W1749" s="16"/>
      <c r="X1749" s="103"/>
    </row>
    <row r="1750" spans="2:24" x14ac:dyDescent="0.25">
      <c r="B1750" s="103"/>
      <c r="C1750" s="103"/>
      <c r="D1750" s="103"/>
      <c r="E1750" s="103"/>
      <c r="F1750" s="103"/>
      <c r="H1750" s="103"/>
      <c r="I1750" s="103"/>
      <c r="J1750" s="103"/>
      <c r="K1750" s="103"/>
      <c r="L1750" s="103"/>
      <c r="N1750" s="103"/>
      <c r="O1750" s="103"/>
      <c r="Q1750" s="16"/>
      <c r="R1750" s="16"/>
      <c r="S1750" s="16"/>
      <c r="T1750" s="103"/>
      <c r="U1750" s="16"/>
      <c r="V1750" s="16"/>
      <c r="W1750" s="16"/>
      <c r="X1750" s="103"/>
    </row>
    <row r="1751" spans="2:24" x14ac:dyDescent="0.25">
      <c r="B1751" s="103"/>
      <c r="C1751" s="103"/>
      <c r="D1751" s="103"/>
      <c r="E1751" s="103"/>
      <c r="F1751" s="103"/>
      <c r="H1751" s="103"/>
      <c r="I1751" s="103"/>
      <c r="J1751" s="103"/>
      <c r="K1751" s="103"/>
      <c r="L1751" s="103"/>
      <c r="N1751" s="103"/>
      <c r="O1751" s="103"/>
      <c r="Q1751" s="16"/>
      <c r="R1751" s="16"/>
      <c r="S1751" s="16"/>
      <c r="T1751" s="103"/>
      <c r="U1751" s="16"/>
      <c r="V1751" s="16"/>
      <c r="W1751" s="16"/>
      <c r="X1751" s="103"/>
    </row>
    <row r="1752" spans="2:24" x14ac:dyDescent="0.25">
      <c r="B1752" s="103"/>
      <c r="C1752" s="103"/>
      <c r="D1752" s="103"/>
      <c r="E1752" s="103"/>
      <c r="F1752" s="103"/>
      <c r="H1752" s="103"/>
      <c r="I1752" s="103"/>
      <c r="J1752" s="103"/>
      <c r="K1752" s="103"/>
      <c r="L1752" s="103"/>
      <c r="N1752" s="103"/>
      <c r="O1752" s="103"/>
      <c r="Q1752" s="16"/>
      <c r="R1752" s="16"/>
      <c r="S1752" s="16"/>
      <c r="T1752" s="103"/>
      <c r="U1752" s="16"/>
      <c r="V1752" s="16"/>
      <c r="W1752" s="16"/>
      <c r="X1752" s="103"/>
    </row>
    <row r="1753" spans="2:24" x14ac:dyDescent="0.25">
      <c r="B1753" s="103"/>
      <c r="C1753" s="103"/>
      <c r="D1753" s="103"/>
      <c r="E1753" s="103"/>
      <c r="F1753" s="103"/>
      <c r="H1753" s="103"/>
      <c r="I1753" s="103"/>
      <c r="J1753" s="103"/>
      <c r="K1753" s="103"/>
      <c r="L1753" s="103"/>
      <c r="N1753" s="103"/>
      <c r="O1753" s="103"/>
      <c r="Q1753" s="16"/>
      <c r="R1753" s="16"/>
      <c r="S1753" s="16"/>
      <c r="T1753" s="103"/>
      <c r="U1753" s="16"/>
      <c r="V1753" s="16"/>
      <c r="W1753" s="16"/>
      <c r="X1753" s="103"/>
    </row>
    <row r="1754" spans="2:24" x14ac:dyDescent="0.25">
      <c r="B1754" s="103"/>
      <c r="C1754" s="103"/>
      <c r="D1754" s="103"/>
      <c r="E1754" s="103"/>
      <c r="F1754" s="103"/>
      <c r="H1754" s="103"/>
      <c r="I1754" s="103"/>
      <c r="J1754" s="103"/>
      <c r="K1754" s="103"/>
      <c r="L1754" s="103"/>
      <c r="N1754" s="103"/>
      <c r="O1754" s="103"/>
      <c r="Q1754" s="16"/>
      <c r="R1754" s="16"/>
      <c r="S1754" s="16"/>
      <c r="T1754" s="103"/>
      <c r="U1754" s="16"/>
      <c r="V1754" s="16"/>
      <c r="W1754" s="16"/>
      <c r="X1754" s="103"/>
    </row>
    <row r="1755" spans="2:24" x14ac:dyDescent="0.25">
      <c r="B1755" s="103"/>
      <c r="C1755" s="103"/>
      <c r="D1755" s="103"/>
      <c r="E1755" s="103"/>
      <c r="F1755" s="103"/>
      <c r="H1755" s="103"/>
      <c r="I1755" s="103"/>
      <c r="J1755" s="103"/>
      <c r="K1755" s="103"/>
      <c r="L1755" s="103"/>
      <c r="N1755" s="103"/>
      <c r="O1755" s="103"/>
      <c r="Q1755" s="16"/>
      <c r="R1755" s="16"/>
      <c r="S1755" s="16"/>
      <c r="T1755" s="103"/>
      <c r="U1755" s="16"/>
      <c r="V1755" s="16"/>
      <c r="W1755" s="16"/>
      <c r="X1755" s="103"/>
    </row>
    <row r="1756" spans="2:24" x14ac:dyDescent="0.25">
      <c r="B1756" s="103"/>
      <c r="C1756" s="103"/>
      <c r="D1756" s="103"/>
      <c r="E1756" s="103"/>
      <c r="F1756" s="103"/>
      <c r="H1756" s="103"/>
      <c r="I1756" s="103"/>
      <c r="J1756" s="103"/>
      <c r="K1756" s="103"/>
      <c r="L1756" s="103"/>
      <c r="N1756" s="103"/>
      <c r="O1756" s="103"/>
      <c r="Q1756" s="16"/>
      <c r="R1756" s="16"/>
      <c r="S1756" s="16"/>
      <c r="T1756" s="103"/>
      <c r="U1756" s="16"/>
      <c r="V1756" s="16"/>
      <c r="W1756" s="16"/>
      <c r="X1756" s="103"/>
    </row>
    <row r="1757" spans="2:24" x14ac:dyDescent="0.25">
      <c r="B1757" s="103"/>
      <c r="C1757" s="103"/>
      <c r="D1757" s="103"/>
      <c r="E1757" s="103"/>
      <c r="F1757" s="103"/>
      <c r="H1757" s="103"/>
      <c r="I1757" s="103"/>
      <c r="J1757" s="103"/>
      <c r="K1757" s="103"/>
      <c r="L1757" s="103"/>
      <c r="N1757" s="103"/>
      <c r="O1757" s="103"/>
      <c r="Q1757" s="16"/>
      <c r="R1757" s="16"/>
      <c r="S1757" s="16"/>
      <c r="T1757" s="103"/>
      <c r="U1757" s="16"/>
      <c r="V1757" s="16"/>
      <c r="W1757" s="16"/>
      <c r="X1757" s="103"/>
    </row>
    <row r="1758" spans="2:24" x14ac:dyDescent="0.25">
      <c r="B1758" s="103"/>
      <c r="C1758" s="103"/>
      <c r="D1758" s="103"/>
      <c r="E1758" s="103"/>
      <c r="F1758" s="103"/>
      <c r="H1758" s="103"/>
      <c r="I1758" s="103"/>
      <c r="J1758" s="103"/>
      <c r="K1758" s="103"/>
      <c r="L1758" s="103"/>
      <c r="N1758" s="103"/>
      <c r="O1758" s="103"/>
      <c r="Q1758" s="16"/>
      <c r="R1758" s="16"/>
      <c r="S1758" s="16"/>
      <c r="T1758" s="103"/>
      <c r="U1758" s="16"/>
      <c r="V1758" s="16"/>
      <c r="W1758" s="16"/>
      <c r="X1758" s="103"/>
    </row>
    <row r="1759" spans="2:24" x14ac:dyDescent="0.25">
      <c r="B1759" s="103"/>
      <c r="C1759" s="103"/>
      <c r="D1759" s="103"/>
      <c r="E1759" s="103"/>
      <c r="F1759" s="103"/>
      <c r="H1759" s="103"/>
      <c r="I1759" s="103"/>
      <c r="J1759" s="103"/>
      <c r="K1759" s="103"/>
      <c r="L1759" s="103"/>
      <c r="N1759" s="103"/>
      <c r="O1759" s="103"/>
      <c r="Q1759" s="16"/>
      <c r="R1759" s="16"/>
      <c r="S1759" s="16"/>
      <c r="T1759" s="103"/>
      <c r="U1759" s="16"/>
      <c r="V1759" s="16"/>
      <c r="W1759" s="16"/>
      <c r="X1759" s="103"/>
    </row>
    <row r="1760" spans="2:24" x14ac:dyDescent="0.25">
      <c r="B1760" s="103"/>
      <c r="C1760" s="103"/>
      <c r="D1760" s="103"/>
      <c r="E1760" s="103"/>
      <c r="F1760" s="103"/>
      <c r="H1760" s="103"/>
      <c r="I1760" s="103"/>
      <c r="J1760" s="103"/>
      <c r="K1760" s="103"/>
      <c r="L1760" s="103"/>
      <c r="N1760" s="103"/>
      <c r="O1760" s="103"/>
      <c r="Q1760" s="16"/>
      <c r="R1760" s="16"/>
      <c r="S1760" s="16"/>
      <c r="T1760" s="103"/>
      <c r="U1760" s="16"/>
      <c r="V1760" s="16"/>
      <c r="W1760" s="16"/>
      <c r="X1760" s="103"/>
    </row>
    <row r="1761" spans="2:24" x14ac:dyDescent="0.25">
      <c r="B1761" s="103"/>
      <c r="C1761" s="103"/>
      <c r="D1761" s="103"/>
      <c r="E1761" s="103"/>
      <c r="F1761" s="103"/>
      <c r="H1761" s="103"/>
      <c r="I1761" s="103"/>
      <c r="J1761" s="103"/>
      <c r="K1761" s="103"/>
      <c r="L1761" s="103"/>
      <c r="N1761" s="103"/>
      <c r="O1761" s="103"/>
      <c r="Q1761" s="16"/>
      <c r="R1761" s="16"/>
      <c r="S1761" s="16"/>
      <c r="T1761" s="103"/>
      <c r="U1761" s="16"/>
      <c r="V1761" s="16"/>
      <c r="W1761" s="16"/>
      <c r="X1761" s="103"/>
    </row>
    <row r="1762" spans="2:24" x14ac:dyDescent="0.25">
      <c r="B1762" s="103"/>
      <c r="C1762" s="103"/>
      <c r="D1762" s="103"/>
      <c r="E1762" s="103"/>
      <c r="F1762" s="103"/>
      <c r="H1762" s="103"/>
      <c r="I1762" s="103"/>
      <c r="J1762" s="103"/>
      <c r="K1762" s="103"/>
      <c r="L1762" s="103"/>
      <c r="N1762" s="103"/>
      <c r="O1762" s="103"/>
      <c r="Q1762" s="16"/>
      <c r="R1762" s="16"/>
      <c r="S1762" s="16"/>
      <c r="T1762" s="103"/>
      <c r="U1762" s="16"/>
      <c r="V1762" s="16"/>
      <c r="W1762" s="16"/>
      <c r="X1762" s="103"/>
    </row>
    <row r="1763" spans="2:24" x14ac:dyDescent="0.25">
      <c r="B1763" s="103"/>
      <c r="C1763" s="103"/>
      <c r="D1763" s="103"/>
      <c r="E1763" s="103"/>
      <c r="F1763" s="103"/>
      <c r="H1763" s="103"/>
      <c r="I1763" s="103"/>
      <c r="J1763" s="103"/>
      <c r="K1763" s="103"/>
      <c r="L1763" s="103"/>
      <c r="N1763" s="103"/>
      <c r="O1763" s="103"/>
      <c r="Q1763" s="16"/>
      <c r="R1763" s="16"/>
      <c r="S1763" s="16"/>
      <c r="T1763" s="103"/>
      <c r="U1763" s="16"/>
      <c r="V1763" s="16"/>
      <c r="W1763" s="16"/>
      <c r="X1763" s="103"/>
    </row>
    <row r="1764" spans="2:24" x14ac:dyDescent="0.25">
      <c r="B1764" s="103"/>
      <c r="C1764" s="103"/>
      <c r="D1764" s="103"/>
      <c r="E1764" s="103"/>
      <c r="F1764" s="103"/>
      <c r="H1764" s="103"/>
      <c r="I1764" s="103"/>
      <c r="J1764" s="103"/>
      <c r="K1764" s="103"/>
      <c r="L1764" s="103"/>
      <c r="N1764" s="103"/>
      <c r="O1764" s="103"/>
      <c r="Q1764" s="16"/>
      <c r="R1764" s="16"/>
      <c r="S1764" s="16"/>
      <c r="T1764" s="103"/>
      <c r="U1764" s="16"/>
      <c r="V1764" s="16"/>
      <c r="W1764" s="16"/>
      <c r="X1764" s="103"/>
    </row>
    <row r="1765" spans="2:24" x14ac:dyDescent="0.25">
      <c r="B1765" s="103"/>
      <c r="C1765" s="103"/>
      <c r="D1765" s="103"/>
      <c r="E1765" s="103"/>
      <c r="F1765" s="103"/>
      <c r="H1765" s="103"/>
      <c r="I1765" s="103"/>
      <c r="J1765" s="103"/>
      <c r="K1765" s="103"/>
      <c r="L1765" s="103"/>
      <c r="N1765" s="103"/>
      <c r="O1765" s="103"/>
      <c r="Q1765" s="16"/>
      <c r="R1765" s="16"/>
      <c r="S1765" s="16"/>
      <c r="T1765" s="103"/>
      <c r="U1765" s="16"/>
      <c r="V1765" s="16"/>
      <c r="W1765" s="16"/>
      <c r="X1765" s="103"/>
    </row>
    <row r="1766" spans="2:24" x14ac:dyDescent="0.25">
      <c r="B1766" s="103"/>
      <c r="C1766" s="103"/>
      <c r="D1766" s="103"/>
      <c r="E1766" s="103"/>
      <c r="F1766" s="103"/>
      <c r="H1766" s="103"/>
      <c r="I1766" s="103"/>
      <c r="J1766" s="103"/>
      <c r="K1766" s="103"/>
      <c r="L1766" s="103"/>
      <c r="N1766" s="103"/>
      <c r="O1766" s="103"/>
      <c r="Q1766" s="16"/>
      <c r="R1766" s="16"/>
      <c r="S1766" s="16"/>
      <c r="T1766" s="103"/>
      <c r="U1766" s="16"/>
      <c r="V1766" s="16"/>
      <c r="W1766" s="16"/>
      <c r="X1766" s="103"/>
    </row>
    <row r="1767" spans="2:24" x14ac:dyDescent="0.25">
      <c r="B1767" s="103"/>
      <c r="C1767" s="103"/>
      <c r="D1767" s="103"/>
      <c r="E1767" s="103"/>
      <c r="F1767" s="103"/>
      <c r="H1767" s="103"/>
      <c r="I1767" s="103"/>
      <c r="J1767" s="103"/>
      <c r="K1767" s="103"/>
      <c r="L1767" s="103"/>
      <c r="N1767" s="103"/>
      <c r="O1767" s="103"/>
      <c r="Q1767" s="16"/>
      <c r="R1767" s="16"/>
      <c r="S1767" s="16"/>
      <c r="T1767" s="103"/>
      <c r="U1767" s="16"/>
      <c r="V1767" s="16"/>
      <c r="W1767" s="16"/>
      <c r="X1767" s="103"/>
    </row>
    <row r="1768" spans="2:24" x14ac:dyDescent="0.25">
      <c r="B1768" s="103"/>
      <c r="C1768" s="103"/>
      <c r="D1768" s="103"/>
      <c r="E1768" s="103"/>
      <c r="F1768" s="103"/>
      <c r="H1768" s="103"/>
      <c r="I1768" s="103"/>
      <c r="J1768" s="103"/>
      <c r="K1768" s="103"/>
      <c r="L1768" s="103"/>
      <c r="N1768" s="103"/>
      <c r="O1768" s="103"/>
      <c r="Q1768" s="16"/>
      <c r="R1768" s="16"/>
      <c r="S1768" s="16"/>
      <c r="T1768" s="103"/>
      <c r="U1768" s="16"/>
      <c r="V1768" s="16"/>
      <c r="W1768" s="16"/>
      <c r="X1768" s="103"/>
    </row>
    <row r="1769" spans="2:24" x14ac:dyDescent="0.25">
      <c r="B1769" s="103"/>
      <c r="C1769" s="103"/>
      <c r="D1769" s="103"/>
      <c r="E1769" s="103"/>
      <c r="F1769" s="103"/>
      <c r="H1769" s="103"/>
      <c r="I1769" s="103"/>
      <c r="J1769" s="103"/>
      <c r="K1769" s="103"/>
      <c r="L1769" s="103"/>
      <c r="N1769" s="103"/>
      <c r="O1769" s="103"/>
      <c r="Q1769" s="16"/>
      <c r="R1769" s="16"/>
      <c r="S1769" s="16"/>
      <c r="T1769" s="103"/>
      <c r="U1769" s="16"/>
      <c r="V1769" s="16"/>
      <c r="W1769" s="16"/>
      <c r="X1769" s="103"/>
    </row>
    <row r="1770" spans="2:24" x14ac:dyDescent="0.25">
      <c r="B1770" s="103"/>
      <c r="C1770" s="103"/>
      <c r="D1770" s="103"/>
      <c r="E1770" s="103"/>
      <c r="F1770" s="103"/>
      <c r="H1770" s="103"/>
      <c r="I1770" s="103"/>
      <c r="J1770" s="103"/>
      <c r="K1770" s="103"/>
      <c r="L1770" s="103"/>
      <c r="N1770" s="103"/>
      <c r="O1770" s="103"/>
      <c r="Q1770" s="16"/>
      <c r="R1770" s="16"/>
      <c r="S1770" s="16"/>
      <c r="T1770" s="103"/>
      <c r="U1770" s="16"/>
      <c r="V1770" s="16"/>
      <c r="W1770" s="16"/>
      <c r="X1770" s="103"/>
    </row>
    <row r="1771" spans="2:24" x14ac:dyDescent="0.25">
      <c r="B1771" s="103"/>
      <c r="C1771" s="103"/>
      <c r="D1771" s="103"/>
      <c r="E1771" s="103"/>
      <c r="F1771" s="103"/>
      <c r="H1771" s="103"/>
      <c r="I1771" s="103"/>
      <c r="J1771" s="103"/>
      <c r="K1771" s="103"/>
      <c r="L1771" s="103"/>
      <c r="N1771" s="103"/>
      <c r="O1771" s="103"/>
      <c r="Q1771" s="16"/>
      <c r="R1771" s="16"/>
      <c r="S1771" s="16"/>
      <c r="T1771" s="103"/>
      <c r="U1771" s="16"/>
      <c r="V1771" s="16"/>
      <c r="W1771" s="16"/>
      <c r="X1771" s="103"/>
    </row>
    <row r="1772" spans="2:24" x14ac:dyDescent="0.25">
      <c r="B1772" s="103"/>
      <c r="C1772" s="103"/>
      <c r="D1772" s="103"/>
      <c r="E1772" s="103"/>
      <c r="F1772" s="103"/>
      <c r="H1772" s="103"/>
      <c r="I1772" s="103"/>
      <c r="J1772" s="103"/>
      <c r="K1772" s="103"/>
      <c r="L1772" s="103"/>
      <c r="N1772" s="103"/>
      <c r="O1772" s="103"/>
      <c r="Q1772" s="16"/>
      <c r="R1772" s="16"/>
      <c r="S1772" s="16"/>
      <c r="T1772" s="103"/>
      <c r="U1772" s="16"/>
      <c r="V1772" s="16"/>
      <c r="W1772" s="16"/>
      <c r="X1772" s="103"/>
    </row>
    <row r="1773" spans="2:24" x14ac:dyDescent="0.25">
      <c r="B1773" s="103"/>
      <c r="C1773" s="103"/>
      <c r="D1773" s="103"/>
      <c r="E1773" s="103"/>
      <c r="F1773" s="103"/>
      <c r="H1773" s="103"/>
      <c r="I1773" s="103"/>
      <c r="J1773" s="103"/>
      <c r="K1773" s="103"/>
      <c r="L1773" s="103"/>
      <c r="N1773" s="103"/>
      <c r="O1773" s="103"/>
      <c r="Q1773" s="16"/>
      <c r="R1773" s="16"/>
      <c r="S1773" s="16"/>
      <c r="T1773" s="103"/>
      <c r="U1773" s="16"/>
      <c r="V1773" s="16"/>
      <c r="W1773" s="16"/>
      <c r="X1773" s="103"/>
    </row>
    <row r="1774" spans="2:24" x14ac:dyDescent="0.25">
      <c r="B1774" s="103"/>
      <c r="C1774" s="103"/>
      <c r="D1774" s="103"/>
      <c r="E1774" s="103"/>
      <c r="F1774" s="103"/>
      <c r="H1774" s="103"/>
      <c r="I1774" s="103"/>
      <c r="J1774" s="103"/>
      <c r="K1774" s="103"/>
      <c r="L1774" s="103"/>
      <c r="N1774" s="103"/>
      <c r="O1774" s="103"/>
      <c r="Q1774" s="16"/>
      <c r="R1774" s="16"/>
      <c r="S1774" s="16"/>
      <c r="T1774" s="103"/>
      <c r="U1774" s="16"/>
      <c r="V1774" s="16"/>
      <c r="W1774" s="16"/>
      <c r="X1774" s="103"/>
    </row>
    <row r="1775" spans="2:24" x14ac:dyDescent="0.25">
      <c r="B1775" s="103"/>
      <c r="C1775" s="103"/>
      <c r="D1775" s="103"/>
      <c r="E1775" s="103"/>
      <c r="F1775" s="103"/>
      <c r="H1775" s="103"/>
      <c r="I1775" s="103"/>
      <c r="J1775" s="103"/>
      <c r="K1775" s="103"/>
      <c r="L1775" s="103"/>
      <c r="N1775" s="103"/>
      <c r="O1775" s="103"/>
      <c r="Q1775" s="16"/>
      <c r="R1775" s="16"/>
      <c r="S1775" s="16"/>
      <c r="T1775" s="103"/>
      <c r="U1775" s="16"/>
      <c r="V1775" s="16"/>
      <c r="W1775" s="16"/>
      <c r="X1775" s="103"/>
    </row>
    <row r="1776" spans="2:24" x14ac:dyDescent="0.25">
      <c r="B1776" s="103"/>
      <c r="C1776" s="103"/>
      <c r="D1776" s="103"/>
      <c r="E1776" s="103"/>
      <c r="F1776" s="103"/>
      <c r="H1776" s="103"/>
      <c r="I1776" s="103"/>
      <c r="J1776" s="103"/>
      <c r="K1776" s="103"/>
      <c r="L1776" s="103"/>
      <c r="N1776" s="103"/>
      <c r="O1776" s="103"/>
      <c r="Q1776" s="16"/>
      <c r="R1776" s="16"/>
      <c r="S1776" s="16"/>
      <c r="T1776" s="103"/>
      <c r="U1776" s="16"/>
      <c r="V1776" s="16"/>
      <c r="W1776" s="16"/>
      <c r="X1776" s="103"/>
    </row>
    <row r="1777" spans="2:24" x14ac:dyDescent="0.25">
      <c r="B1777" s="103"/>
      <c r="C1777" s="103"/>
      <c r="D1777" s="103"/>
      <c r="E1777" s="103"/>
      <c r="F1777" s="103"/>
      <c r="H1777" s="103"/>
      <c r="I1777" s="103"/>
      <c r="J1777" s="103"/>
      <c r="K1777" s="103"/>
      <c r="L1777" s="103"/>
      <c r="N1777" s="103"/>
      <c r="O1777" s="103"/>
      <c r="Q1777" s="16"/>
      <c r="R1777" s="16"/>
      <c r="S1777" s="16"/>
      <c r="T1777" s="103"/>
      <c r="U1777" s="16"/>
      <c r="V1777" s="16"/>
      <c r="W1777" s="16"/>
      <c r="X1777" s="103"/>
    </row>
    <row r="1778" spans="2:24" x14ac:dyDescent="0.25">
      <c r="B1778" s="103"/>
      <c r="C1778" s="103"/>
      <c r="D1778" s="103"/>
      <c r="E1778" s="103"/>
      <c r="F1778" s="103"/>
      <c r="H1778" s="103"/>
      <c r="I1778" s="103"/>
      <c r="J1778" s="103"/>
      <c r="K1778" s="103"/>
      <c r="L1778" s="103"/>
      <c r="N1778" s="103"/>
      <c r="O1778" s="103"/>
      <c r="Q1778" s="16"/>
      <c r="R1778" s="16"/>
      <c r="S1778" s="16"/>
      <c r="T1778" s="103"/>
      <c r="U1778" s="16"/>
      <c r="V1778" s="16"/>
      <c r="W1778" s="16"/>
      <c r="X1778" s="103"/>
    </row>
    <row r="1779" spans="2:24" x14ac:dyDescent="0.25">
      <c r="B1779" s="103"/>
      <c r="C1779" s="103"/>
      <c r="D1779" s="103"/>
      <c r="E1779" s="103"/>
      <c r="F1779" s="103"/>
      <c r="H1779" s="103"/>
      <c r="I1779" s="103"/>
      <c r="J1779" s="103"/>
      <c r="K1779" s="103"/>
      <c r="L1779" s="103"/>
      <c r="N1779" s="103"/>
      <c r="O1779" s="103"/>
      <c r="Q1779" s="16"/>
      <c r="R1779" s="16"/>
      <c r="S1779" s="16"/>
      <c r="T1779" s="103"/>
      <c r="U1779" s="16"/>
      <c r="V1779" s="16"/>
      <c r="W1779" s="16"/>
      <c r="X1779" s="103"/>
    </row>
    <row r="1780" spans="2:24" x14ac:dyDescent="0.25">
      <c r="B1780" s="103"/>
      <c r="C1780" s="103"/>
      <c r="D1780" s="103"/>
      <c r="E1780" s="103"/>
      <c r="F1780" s="103"/>
      <c r="H1780" s="103"/>
      <c r="I1780" s="103"/>
      <c r="J1780" s="103"/>
      <c r="K1780" s="103"/>
      <c r="L1780" s="103"/>
      <c r="N1780" s="103"/>
      <c r="O1780" s="103"/>
      <c r="Q1780" s="16"/>
      <c r="R1780" s="16"/>
      <c r="S1780" s="16"/>
      <c r="T1780" s="103"/>
      <c r="U1780" s="16"/>
      <c r="V1780" s="16"/>
      <c r="W1780" s="16"/>
      <c r="X1780" s="103"/>
    </row>
    <row r="1781" spans="2:24" x14ac:dyDescent="0.25">
      <c r="B1781" s="103"/>
      <c r="C1781" s="103"/>
      <c r="D1781" s="103"/>
      <c r="E1781" s="103"/>
      <c r="F1781" s="103"/>
      <c r="H1781" s="103"/>
      <c r="I1781" s="103"/>
      <c r="J1781" s="103"/>
      <c r="K1781" s="103"/>
      <c r="L1781" s="103"/>
      <c r="N1781" s="103"/>
      <c r="O1781" s="103"/>
      <c r="Q1781" s="16"/>
      <c r="R1781" s="16"/>
      <c r="S1781" s="16"/>
      <c r="T1781" s="103"/>
      <c r="U1781" s="16"/>
      <c r="V1781" s="16"/>
      <c r="W1781" s="16"/>
      <c r="X1781" s="103"/>
    </row>
    <row r="1782" spans="2:24" x14ac:dyDescent="0.25">
      <c r="B1782" s="103"/>
      <c r="C1782" s="103"/>
      <c r="D1782" s="103"/>
      <c r="E1782" s="103"/>
      <c r="F1782" s="103"/>
      <c r="H1782" s="103"/>
      <c r="I1782" s="103"/>
      <c r="J1782" s="103"/>
      <c r="K1782" s="103"/>
      <c r="L1782" s="103"/>
      <c r="N1782" s="103"/>
      <c r="O1782" s="103"/>
      <c r="Q1782" s="16"/>
      <c r="R1782" s="16"/>
      <c r="S1782" s="16"/>
      <c r="T1782" s="103"/>
      <c r="U1782" s="16"/>
      <c r="V1782" s="16"/>
      <c r="W1782" s="16"/>
      <c r="X1782" s="103"/>
    </row>
    <row r="1783" spans="2:24" x14ac:dyDescent="0.25">
      <c r="B1783" s="103"/>
      <c r="C1783" s="103"/>
      <c r="D1783" s="103"/>
      <c r="E1783" s="103"/>
      <c r="F1783" s="103"/>
      <c r="H1783" s="103"/>
      <c r="I1783" s="103"/>
      <c r="J1783" s="103"/>
      <c r="K1783" s="103"/>
      <c r="L1783" s="103"/>
      <c r="N1783" s="103"/>
      <c r="O1783" s="103"/>
      <c r="Q1783" s="16"/>
      <c r="R1783" s="16"/>
      <c r="S1783" s="16"/>
      <c r="T1783" s="103"/>
      <c r="U1783" s="16"/>
      <c r="V1783" s="16"/>
      <c r="W1783" s="16"/>
      <c r="X1783" s="103"/>
    </row>
    <row r="1784" spans="2:24" x14ac:dyDescent="0.25">
      <c r="B1784" s="103"/>
      <c r="C1784" s="103"/>
      <c r="D1784" s="103"/>
      <c r="E1784" s="103"/>
      <c r="F1784" s="103"/>
      <c r="H1784" s="103"/>
      <c r="I1784" s="103"/>
      <c r="J1784" s="103"/>
      <c r="K1784" s="103"/>
      <c r="L1784" s="103"/>
      <c r="N1784" s="103"/>
      <c r="O1784" s="103"/>
      <c r="Q1784" s="16"/>
      <c r="R1784" s="16"/>
      <c r="S1784" s="16"/>
      <c r="T1784" s="103"/>
      <c r="U1784" s="16"/>
      <c r="V1784" s="16"/>
      <c r="W1784" s="16"/>
      <c r="X1784" s="103"/>
    </row>
    <row r="1785" spans="2:24" x14ac:dyDescent="0.25">
      <c r="B1785" s="103"/>
      <c r="C1785" s="103"/>
      <c r="D1785" s="103"/>
      <c r="E1785" s="103"/>
      <c r="F1785" s="103"/>
      <c r="H1785" s="103"/>
      <c r="I1785" s="103"/>
      <c r="J1785" s="103"/>
      <c r="K1785" s="103"/>
      <c r="L1785" s="103"/>
      <c r="N1785" s="103"/>
      <c r="O1785" s="103"/>
      <c r="Q1785" s="16"/>
      <c r="R1785" s="16"/>
      <c r="S1785" s="16"/>
      <c r="T1785" s="103"/>
      <c r="U1785" s="16"/>
      <c r="V1785" s="16"/>
      <c r="W1785" s="16"/>
      <c r="X1785" s="103"/>
    </row>
    <row r="1786" spans="2:24" x14ac:dyDescent="0.25">
      <c r="B1786" s="103"/>
      <c r="C1786" s="103"/>
      <c r="D1786" s="103"/>
      <c r="E1786" s="103"/>
      <c r="F1786" s="103"/>
      <c r="H1786" s="103"/>
      <c r="I1786" s="103"/>
      <c r="J1786" s="103"/>
      <c r="K1786" s="103"/>
      <c r="L1786" s="103"/>
      <c r="N1786" s="103"/>
      <c r="O1786" s="103"/>
      <c r="Q1786" s="16"/>
      <c r="R1786" s="16"/>
      <c r="S1786" s="16"/>
      <c r="T1786" s="103"/>
      <c r="U1786" s="16"/>
      <c r="V1786" s="16"/>
      <c r="W1786" s="16"/>
      <c r="X1786" s="103"/>
    </row>
    <row r="1787" spans="2:24" x14ac:dyDescent="0.25">
      <c r="B1787" s="103"/>
      <c r="C1787" s="103"/>
      <c r="D1787" s="103"/>
      <c r="E1787" s="103"/>
      <c r="F1787" s="103"/>
      <c r="H1787" s="103"/>
      <c r="I1787" s="103"/>
      <c r="J1787" s="103"/>
      <c r="K1787" s="103"/>
      <c r="L1787" s="103"/>
      <c r="N1787" s="103"/>
      <c r="O1787" s="103"/>
      <c r="Q1787" s="16"/>
      <c r="R1787" s="16"/>
      <c r="S1787" s="16"/>
      <c r="T1787" s="103"/>
      <c r="U1787" s="16"/>
      <c r="V1787" s="16"/>
      <c r="W1787" s="16"/>
      <c r="X1787" s="103"/>
    </row>
    <row r="1788" spans="2:24" x14ac:dyDescent="0.25">
      <c r="B1788" s="103"/>
      <c r="C1788" s="103"/>
      <c r="D1788" s="103"/>
      <c r="E1788" s="103"/>
      <c r="F1788" s="103"/>
      <c r="H1788" s="103"/>
      <c r="I1788" s="103"/>
      <c r="J1788" s="103"/>
      <c r="K1788" s="103"/>
      <c r="L1788" s="103"/>
      <c r="N1788" s="103"/>
      <c r="O1788" s="103"/>
      <c r="Q1788" s="16"/>
      <c r="R1788" s="16"/>
      <c r="S1788" s="16"/>
      <c r="T1788" s="103"/>
      <c r="U1788" s="16"/>
      <c r="V1788" s="16"/>
      <c r="W1788" s="16"/>
      <c r="X1788" s="103"/>
    </row>
    <row r="1789" spans="2:24" x14ac:dyDescent="0.25">
      <c r="B1789" s="103"/>
      <c r="C1789" s="103"/>
      <c r="D1789" s="103"/>
      <c r="E1789" s="103"/>
      <c r="F1789" s="103"/>
      <c r="H1789" s="103"/>
      <c r="I1789" s="103"/>
      <c r="J1789" s="103"/>
      <c r="K1789" s="103"/>
      <c r="L1789" s="103"/>
      <c r="N1789" s="103"/>
      <c r="O1789" s="103"/>
      <c r="Q1789" s="16"/>
      <c r="R1789" s="16"/>
      <c r="S1789" s="16"/>
      <c r="T1789" s="103"/>
      <c r="U1789" s="16"/>
      <c r="V1789" s="16"/>
      <c r="W1789" s="16"/>
      <c r="X1789" s="103"/>
    </row>
    <row r="1790" spans="2:24" x14ac:dyDescent="0.25">
      <c r="B1790" s="103"/>
      <c r="C1790" s="103"/>
      <c r="D1790" s="103"/>
      <c r="E1790" s="103"/>
      <c r="F1790" s="103"/>
      <c r="H1790" s="103"/>
      <c r="I1790" s="103"/>
      <c r="J1790" s="103"/>
      <c r="K1790" s="103"/>
      <c r="L1790" s="103"/>
      <c r="N1790" s="103"/>
      <c r="O1790" s="103"/>
      <c r="Q1790" s="16"/>
      <c r="R1790" s="16"/>
      <c r="S1790" s="16"/>
      <c r="T1790" s="103"/>
      <c r="U1790" s="16"/>
      <c r="V1790" s="16"/>
      <c r="W1790" s="16"/>
      <c r="X1790" s="103"/>
    </row>
    <row r="1791" spans="2:24" x14ac:dyDescent="0.25">
      <c r="B1791" s="103"/>
      <c r="C1791" s="103"/>
      <c r="D1791" s="103"/>
      <c r="E1791" s="103"/>
      <c r="F1791" s="103"/>
      <c r="H1791" s="103"/>
      <c r="I1791" s="103"/>
      <c r="J1791" s="103"/>
      <c r="K1791" s="103"/>
      <c r="L1791" s="103"/>
      <c r="N1791" s="103"/>
      <c r="O1791" s="103"/>
      <c r="Q1791" s="16"/>
      <c r="R1791" s="16"/>
      <c r="S1791" s="16"/>
      <c r="T1791" s="103"/>
      <c r="U1791" s="16"/>
      <c r="V1791" s="16"/>
      <c r="W1791" s="16"/>
      <c r="X1791" s="103"/>
    </row>
    <row r="1792" spans="2:24" x14ac:dyDescent="0.25">
      <c r="B1792" s="103"/>
      <c r="C1792" s="103"/>
      <c r="D1792" s="103"/>
      <c r="E1792" s="103"/>
      <c r="F1792" s="103"/>
      <c r="H1792" s="103"/>
      <c r="I1792" s="103"/>
      <c r="J1792" s="103"/>
      <c r="K1792" s="103"/>
      <c r="L1792" s="103"/>
      <c r="N1792" s="103"/>
      <c r="O1792" s="103"/>
      <c r="Q1792" s="16"/>
      <c r="R1792" s="16"/>
      <c r="S1792" s="16"/>
      <c r="T1792" s="103"/>
      <c r="U1792" s="16"/>
      <c r="V1792" s="16"/>
      <c r="W1792" s="16"/>
      <c r="X1792" s="103"/>
    </row>
    <row r="1793" spans="2:24" x14ac:dyDescent="0.25">
      <c r="B1793" s="103"/>
      <c r="C1793" s="103"/>
      <c r="D1793" s="103"/>
      <c r="E1793" s="103"/>
      <c r="F1793" s="103"/>
      <c r="H1793" s="103"/>
      <c r="I1793" s="103"/>
      <c r="J1793" s="103"/>
      <c r="K1793" s="103"/>
      <c r="L1793" s="103"/>
      <c r="N1793" s="103"/>
      <c r="O1793" s="103"/>
      <c r="Q1793" s="16"/>
      <c r="R1793" s="16"/>
      <c r="S1793" s="16"/>
      <c r="T1793" s="103"/>
      <c r="U1793" s="16"/>
      <c r="V1793" s="16"/>
      <c r="W1793" s="16"/>
      <c r="X1793" s="103"/>
    </row>
    <row r="1794" spans="2:24" x14ac:dyDescent="0.25">
      <c r="B1794" s="103"/>
      <c r="C1794" s="103"/>
      <c r="D1794" s="103"/>
      <c r="E1794" s="103"/>
      <c r="F1794" s="103"/>
      <c r="H1794" s="103"/>
      <c r="I1794" s="103"/>
      <c r="J1794" s="103"/>
      <c r="K1794" s="103"/>
      <c r="L1794" s="103"/>
      <c r="N1794" s="103"/>
      <c r="O1794" s="103"/>
      <c r="Q1794" s="16"/>
      <c r="R1794" s="16"/>
      <c r="S1794" s="16"/>
      <c r="T1794" s="103"/>
      <c r="U1794" s="16"/>
      <c r="V1794" s="16"/>
      <c r="W1794" s="16"/>
      <c r="X1794" s="103"/>
    </row>
    <row r="1795" spans="2:24" x14ac:dyDescent="0.25">
      <c r="B1795" s="103"/>
      <c r="C1795" s="103"/>
      <c r="D1795" s="103"/>
      <c r="E1795" s="103"/>
      <c r="F1795" s="103"/>
      <c r="H1795" s="103"/>
      <c r="I1795" s="103"/>
      <c r="J1795" s="103"/>
      <c r="K1795" s="103"/>
      <c r="L1795" s="103"/>
      <c r="N1795" s="103"/>
      <c r="O1795" s="103"/>
      <c r="Q1795" s="16"/>
      <c r="R1795" s="16"/>
      <c r="S1795" s="16"/>
      <c r="T1795" s="103"/>
      <c r="U1795" s="16"/>
      <c r="V1795" s="16"/>
      <c r="W1795" s="16"/>
      <c r="X1795" s="103"/>
    </row>
    <row r="1796" spans="2:24" x14ac:dyDescent="0.25">
      <c r="B1796" s="103"/>
      <c r="C1796" s="103"/>
      <c r="D1796" s="103"/>
      <c r="E1796" s="103"/>
      <c r="F1796" s="103"/>
      <c r="H1796" s="103"/>
      <c r="I1796" s="103"/>
      <c r="J1796" s="103"/>
      <c r="K1796" s="103"/>
      <c r="L1796" s="103"/>
      <c r="N1796" s="103"/>
      <c r="O1796" s="103"/>
      <c r="Q1796" s="16"/>
      <c r="R1796" s="16"/>
      <c r="S1796" s="16"/>
      <c r="T1796" s="103"/>
      <c r="U1796" s="16"/>
      <c r="V1796" s="16"/>
      <c r="W1796" s="16"/>
      <c r="X1796" s="103"/>
    </row>
    <row r="1797" spans="2:24" x14ac:dyDescent="0.25">
      <c r="B1797" s="103"/>
      <c r="C1797" s="103"/>
      <c r="D1797" s="103"/>
      <c r="E1797" s="103"/>
      <c r="F1797" s="103"/>
      <c r="H1797" s="103"/>
      <c r="I1797" s="103"/>
      <c r="J1797" s="103"/>
      <c r="K1797" s="103"/>
      <c r="L1797" s="103"/>
      <c r="N1797" s="103"/>
      <c r="O1797" s="103"/>
      <c r="Q1797" s="16"/>
      <c r="R1797" s="16"/>
      <c r="S1797" s="16"/>
      <c r="T1797" s="103"/>
      <c r="U1797" s="16"/>
      <c r="V1797" s="16"/>
      <c r="W1797" s="16"/>
      <c r="X1797" s="103"/>
    </row>
    <row r="1798" spans="2:24" x14ac:dyDescent="0.25">
      <c r="B1798" s="103"/>
      <c r="C1798" s="103"/>
      <c r="D1798" s="103"/>
      <c r="E1798" s="103"/>
      <c r="F1798" s="103"/>
      <c r="H1798" s="103"/>
      <c r="I1798" s="103"/>
      <c r="J1798" s="103"/>
      <c r="K1798" s="103"/>
      <c r="L1798" s="103"/>
      <c r="N1798" s="103"/>
      <c r="O1798" s="103"/>
      <c r="Q1798" s="16"/>
      <c r="R1798" s="16"/>
      <c r="S1798" s="16"/>
      <c r="T1798" s="103"/>
      <c r="U1798" s="16"/>
      <c r="V1798" s="16"/>
      <c r="W1798" s="16"/>
      <c r="X1798" s="103"/>
    </row>
    <row r="1799" spans="2:24" x14ac:dyDescent="0.25">
      <c r="B1799" s="103"/>
      <c r="C1799" s="103"/>
      <c r="D1799" s="103"/>
      <c r="E1799" s="103"/>
      <c r="F1799" s="103"/>
      <c r="H1799" s="103"/>
      <c r="I1799" s="103"/>
      <c r="J1799" s="103"/>
      <c r="K1799" s="103"/>
      <c r="L1799" s="103"/>
      <c r="N1799" s="103"/>
      <c r="O1799" s="103"/>
      <c r="Q1799" s="16"/>
      <c r="R1799" s="16"/>
      <c r="S1799" s="16"/>
      <c r="T1799" s="103"/>
      <c r="U1799" s="16"/>
      <c r="V1799" s="16"/>
      <c r="W1799" s="16"/>
      <c r="X1799" s="103"/>
    </row>
    <row r="1800" spans="2:24" x14ac:dyDescent="0.25">
      <c r="B1800" s="103"/>
      <c r="C1800" s="103"/>
      <c r="D1800" s="103"/>
      <c r="E1800" s="103"/>
      <c r="F1800" s="103"/>
      <c r="H1800" s="103"/>
      <c r="I1800" s="103"/>
      <c r="J1800" s="103"/>
      <c r="K1800" s="103"/>
      <c r="L1800" s="103"/>
      <c r="N1800" s="103"/>
      <c r="O1800" s="103"/>
      <c r="Q1800" s="16"/>
      <c r="R1800" s="16"/>
      <c r="S1800" s="16"/>
      <c r="T1800" s="103"/>
      <c r="U1800" s="16"/>
      <c r="V1800" s="16"/>
      <c r="W1800" s="16"/>
      <c r="X1800" s="103"/>
    </row>
    <row r="1801" spans="2:24" x14ac:dyDescent="0.25">
      <c r="B1801" s="103"/>
      <c r="C1801" s="103"/>
      <c r="D1801" s="103"/>
      <c r="E1801" s="103"/>
      <c r="F1801" s="103"/>
      <c r="H1801" s="103"/>
      <c r="I1801" s="103"/>
      <c r="J1801" s="103"/>
      <c r="K1801" s="103"/>
      <c r="L1801" s="103"/>
      <c r="N1801" s="103"/>
      <c r="O1801" s="103"/>
      <c r="Q1801" s="16"/>
      <c r="R1801" s="16"/>
      <c r="S1801" s="16"/>
      <c r="T1801" s="103"/>
      <c r="U1801" s="16"/>
      <c r="V1801" s="16"/>
      <c r="W1801" s="16"/>
      <c r="X1801" s="103"/>
    </row>
    <row r="1802" spans="2:24" x14ac:dyDescent="0.25">
      <c r="B1802" s="103"/>
      <c r="C1802" s="103"/>
      <c r="D1802" s="103"/>
      <c r="E1802" s="103"/>
      <c r="F1802" s="103"/>
      <c r="H1802" s="103"/>
      <c r="I1802" s="103"/>
      <c r="J1802" s="103"/>
      <c r="K1802" s="103"/>
      <c r="L1802" s="103"/>
      <c r="N1802" s="103"/>
      <c r="O1802" s="103"/>
      <c r="Q1802" s="16"/>
      <c r="R1802" s="16"/>
      <c r="S1802" s="16"/>
      <c r="T1802" s="103"/>
      <c r="U1802" s="16"/>
      <c r="V1802" s="16"/>
      <c r="W1802" s="16"/>
      <c r="X1802" s="103"/>
    </row>
    <row r="1803" spans="2:24" x14ac:dyDescent="0.25">
      <c r="B1803" s="103"/>
      <c r="C1803" s="103"/>
      <c r="D1803" s="103"/>
      <c r="E1803" s="103"/>
      <c r="F1803" s="103"/>
      <c r="H1803" s="103"/>
      <c r="I1803" s="103"/>
      <c r="J1803" s="103"/>
      <c r="K1803" s="103"/>
      <c r="L1803" s="103"/>
      <c r="N1803" s="103"/>
      <c r="O1803" s="103"/>
      <c r="Q1803" s="16"/>
      <c r="R1803" s="16"/>
      <c r="S1803" s="16"/>
      <c r="T1803" s="103"/>
      <c r="U1803" s="16"/>
      <c r="V1803" s="16"/>
      <c r="W1803" s="16"/>
      <c r="X1803" s="103"/>
    </row>
    <row r="1804" spans="2:24" x14ac:dyDescent="0.25">
      <c r="B1804" s="103"/>
      <c r="C1804" s="103"/>
      <c r="D1804" s="103"/>
      <c r="E1804" s="103"/>
      <c r="F1804" s="103"/>
      <c r="H1804" s="103"/>
      <c r="I1804" s="103"/>
      <c r="J1804" s="103"/>
      <c r="K1804" s="103"/>
      <c r="L1804" s="103"/>
      <c r="N1804" s="103"/>
      <c r="O1804" s="103"/>
      <c r="Q1804" s="16"/>
      <c r="R1804" s="16"/>
      <c r="S1804" s="16"/>
      <c r="T1804" s="103"/>
      <c r="U1804" s="16"/>
      <c r="V1804" s="16"/>
      <c r="W1804" s="16"/>
      <c r="X1804" s="103"/>
    </row>
    <row r="1805" spans="2:24" x14ac:dyDescent="0.25">
      <c r="B1805" s="103"/>
      <c r="C1805" s="103"/>
      <c r="D1805" s="103"/>
      <c r="E1805" s="103"/>
      <c r="F1805" s="103"/>
      <c r="H1805" s="103"/>
      <c r="I1805" s="103"/>
      <c r="J1805" s="103"/>
      <c r="K1805" s="103"/>
      <c r="L1805" s="103"/>
      <c r="N1805" s="103"/>
      <c r="O1805" s="103"/>
      <c r="Q1805" s="16"/>
      <c r="R1805" s="16"/>
      <c r="S1805" s="16"/>
      <c r="T1805" s="103"/>
      <c r="U1805" s="16"/>
      <c r="V1805" s="16"/>
      <c r="W1805" s="16"/>
      <c r="X1805" s="103"/>
    </row>
    <row r="1806" spans="2:24" x14ac:dyDescent="0.25">
      <c r="B1806" s="103"/>
      <c r="C1806" s="103"/>
      <c r="D1806" s="103"/>
      <c r="E1806" s="103"/>
      <c r="F1806" s="103"/>
      <c r="H1806" s="103"/>
      <c r="I1806" s="103"/>
      <c r="J1806" s="103"/>
      <c r="K1806" s="103"/>
      <c r="L1806" s="103"/>
      <c r="N1806" s="103"/>
      <c r="O1806" s="103"/>
      <c r="Q1806" s="16"/>
      <c r="R1806" s="16"/>
      <c r="S1806" s="16"/>
      <c r="T1806" s="103"/>
      <c r="U1806" s="16"/>
      <c r="V1806" s="16"/>
      <c r="W1806" s="16"/>
      <c r="X1806" s="103"/>
    </row>
    <row r="1807" spans="2:24" x14ac:dyDescent="0.25">
      <c r="B1807" s="103"/>
      <c r="C1807" s="103"/>
      <c r="D1807" s="103"/>
      <c r="E1807" s="103"/>
      <c r="F1807" s="103"/>
      <c r="H1807" s="103"/>
      <c r="I1807" s="103"/>
      <c r="J1807" s="103"/>
      <c r="K1807" s="103"/>
      <c r="L1807" s="103"/>
      <c r="N1807" s="103"/>
      <c r="O1807" s="103"/>
      <c r="Q1807" s="16"/>
      <c r="R1807" s="16"/>
      <c r="S1807" s="16"/>
      <c r="T1807" s="103"/>
      <c r="U1807" s="16"/>
      <c r="V1807" s="16"/>
      <c r="W1807" s="16"/>
      <c r="X1807" s="103"/>
    </row>
    <row r="1808" spans="2:24" x14ac:dyDescent="0.25">
      <c r="B1808" s="103"/>
      <c r="C1808" s="103"/>
      <c r="D1808" s="103"/>
      <c r="E1808" s="103"/>
      <c r="F1808" s="103"/>
      <c r="H1808" s="103"/>
      <c r="I1808" s="103"/>
      <c r="J1808" s="103"/>
      <c r="K1808" s="103"/>
      <c r="L1808" s="103"/>
      <c r="N1808" s="103"/>
      <c r="O1808" s="103"/>
      <c r="Q1808" s="16"/>
      <c r="R1808" s="16"/>
      <c r="S1808" s="16"/>
      <c r="T1808" s="103"/>
      <c r="U1808" s="16"/>
      <c r="V1808" s="16"/>
      <c r="W1808" s="16"/>
      <c r="X1808" s="103"/>
    </row>
    <row r="1809" spans="2:24" x14ac:dyDescent="0.25">
      <c r="B1809" s="103"/>
      <c r="C1809" s="103"/>
      <c r="D1809" s="103"/>
      <c r="E1809" s="103"/>
      <c r="F1809" s="103"/>
      <c r="H1809" s="103"/>
      <c r="I1809" s="103"/>
      <c r="J1809" s="103"/>
      <c r="K1809" s="103"/>
      <c r="L1809" s="103"/>
      <c r="N1809" s="103"/>
      <c r="O1809" s="103"/>
      <c r="Q1809" s="16"/>
      <c r="R1809" s="16"/>
      <c r="S1809" s="16"/>
      <c r="T1809" s="103"/>
      <c r="U1809" s="16"/>
      <c r="V1809" s="16"/>
      <c r="W1809" s="16"/>
      <c r="X1809" s="103"/>
    </row>
    <row r="1810" spans="2:24" x14ac:dyDescent="0.25">
      <c r="B1810" s="103"/>
      <c r="C1810" s="103"/>
      <c r="D1810" s="103"/>
      <c r="E1810" s="103"/>
      <c r="F1810" s="103"/>
      <c r="H1810" s="103"/>
      <c r="I1810" s="103"/>
      <c r="J1810" s="103"/>
      <c r="K1810" s="103"/>
      <c r="L1810" s="103"/>
      <c r="N1810" s="103"/>
      <c r="O1810" s="103"/>
      <c r="Q1810" s="16"/>
      <c r="R1810" s="16"/>
      <c r="S1810" s="16"/>
      <c r="T1810" s="103"/>
      <c r="U1810" s="16"/>
      <c r="V1810" s="16"/>
      <c r="W1810" s="16"/>
      <c r="X1810" s="103"/>
    </row>
    <row r="1811" spans="2:24" x14ac:dyDescent="0.25">
      <c r="B1811" s="103"/>
      <c r="C1811" s="103"/>
      <c r="D1811" s="103"/>
      <c r="E1811" s="103"/>
      <c r="F1811" s="103"/>
      <c r="H1811" s="103"/>
      <c r="I1811" s="103"/>
      <c r="J1811" s="103"/>
      <c r="K1811" s="103"/>
      <c r="L1811" s="103"/>
      <c r="N1811" s="103"/>
      <c r="O1811" s="103"/>
      <c r="Q1811" s="16"/>
      <c r="R1811" s="16"/>
      <c r="S1811" s="16"/>
      <c r="T1811" s="103"/>
      <c r="U1811" s="16"/>
      <c r="V1811" s="16"/>
      <c r="W1811" s="16"/>
      <c r="X1811" s="103"/>
    </row>
    <row r="1812" spans="2:24" x14ac:dyDescent="0.25">
      <c r="B1812" s="103"/>
      <c r="C1812" s="103"/>
      <c r="D1812" s="103"/>
      <c r="E1812" s="103"/>
      <c r="F1812" s="103"/>
      <c r="H1812" s="103"/>
      <c r="I1812" s="103"/>
      <c r="J1812" s="103"/>
      <c r="K1812" s="103"/>
      <c r="L1812" s="103"/>
      <c r="N1812" s="103"/>
      <c r="O1812" s="103"/>
      <c r="Q1812" s="16"/>
      <c r="R1812" s="16"/>
      <c r="S1812" s="16"/>
      <c r="T1812" s="103"/>
      <c r="U1812" s="16"/>
      <c r="V1812" s="16"/>
      <c r="W1812" s="16"/>
      <c r="X1812" s="103"/>
    </row>
    <row r="1813" spans="2:24" x14ac:dyDescent="0.25">
      <c r="B1813" s="103"/>
      <c r="C1813" s="103"/>
      <c r="D1813" s="103"/>
      <c r="E1813" s="103"/>
      <c r="F1813" s="103"/>
      <c r="H1813" s="103"/>
      <c r="I1813" s="103"/>
      <c r="J1813" s="103"/>
      <c r="K1813" s="103"/>
      <c r="L1813" s="103"/>
      <c r="N1813" s="103"/>
      <c r="O1813" s="103"/>
      <c r="Q1813" s="16"/>
      <c r="R1813" s="16"/>
      <c r="S1813" s="16"/>
      <c r="T1813" s="103"/>
      <c r="U1813" s="16"/>
      <c r="V1813" s="16"/>
      <c r="W1813" s="16"/>
      <c r="X1813" s="103"/>
    </row>
    <row r="1814" spans="2:24" x14ac:dyDescent="0.25">
      <c r="B1814" s="103"/>
      <c r="C1814" s="103"/>
      <c r="D1814" s="103"/>
      <c r="E1814" s="103"/>
      <c r="F1814" s="103"/>
      <c r="H1814" s="103"/>
      <c r="I1814" s="103"/>
      <c r="J1814" s="103"/>
      <c r="K1814" s="103"/>
      <c r="L1814" s="103"/>
      <c r="N1814" s="103"/>
      <c r="O1814" s="103"/>
      <c r="Q1814" s="16"/>
      <c r="R1814" s="16"/>
      <c r="S1814" s="16"/>
      <c r="T1814" s="103"/>
      <c r="U1814" s="16"/>
      <c r="V1814" s="16"/>
      <c r="W1814" s="16"/>
      <c r="X1814" s="103"/>
    </row>
    <row r="1815" spans="2:24" x14ac:dyDescent="0.25">
      <c r="B1815" s="103"/>
      <c r="C1815" s="103"/>
      <c r="D1815" s="103"/>
      <c r="E1815" s="103"/>
      <c r="F1815" s="103"/>
      <c r="H1815" s="103"/>
      <c r="I1815" s="103"/>
      <c r="J1815" s="103"/>
      <c r="K1815" s="103"/>
      <c r="L1815" s="103"/>
      <c r="N1815" s="103"/>
      <c r="O1815" s="103"/>
      <c r="Q1815" s="16"/>
      <c r="R1815" s="16"/>
      <c r="S1815" s="16"/>
      <c r="T1815" s="103"/>
      <c r="U1815" s="16"/>
      <c r="V1815" s="16"/>
      <c r="W1815" s="16"/>
      <c r="X1815" s="103"/>
    </row>
    <row r="1816" spans="2:24" x14ac:dyDescent="0.25">
      <c r="B1816" s="103"/>
      <c r="C1816" s="103"/>
      <c r="D1816" s="103"/>
      <c r="E1816" s="103"/>
      <c r="F1816" s="103"/>
      <c r="H1816" s="103"/>
      <c r="I1816" s="103"/>
      <c r="J1816" s="103"/>
      <c r="K1816" s="103"/>
      <c r="L1816" s="103"/>
      <c r="N1816" s="103"/>
      <c r="O1816" s="103"/>
      <c r="Q1816" s="16"/>
      <c r="R1816" s="16"/>
      <c r="S1816" s="16"/>
      <c r="T1816" s="103"/>
      <c r="U1816" s="16"/>
      <c r="V1816" s="16"/>
      <c r="W1816" s="16"/>
      <c r="X1816" s="103"/>
    </row>
    <row r="1817" spans="2:24" x14ac:dyDescent="0.25">
      <c r="B1817" s="103"/>
      <c r="C1817" s="103"/>
      <c r="D1817" s="103"/>
      <c r="E1817" s="103"/>
      <c r="F1817" s="103"/>
      <c r="H1817" s="103"/>
      <c r="I1817" s="103"/>
      <c r="J1817" s="103"/>
      <c r="K1817" s="103"/>
      <c r="L1817" s="103"/>
      <c r="N1817" s="103"/>
      <c r="O1817" s="103"/>
      <c r="Q1817" s="16"/>
      <c r="R1817" s="16"/>
      <c r="S1817" s="16"/>
      <c r="T1817" s="103"/>
      <c r="U1817" s="16"/>
      <c r="V1817" s="16"/>
      <c r="W1817" s="16"/>
      <c r="X1817" s="103"/>
    </row>
    <row r="1818" spans="2:24" x14ac:dyDescent="0.25">
      <c r="B1818" s="103"/>
      <c r="C1818" s="103"/>
      <c r="D1818" s="103"/>
      <c r="E1818" s="103"/>
      <c r="F1818" s="103"/>
      <c r="H1818" s="103"/>
      <c r="I1818" s="103"/>
      <c r="J1818" s="103"/>
      <c r="K1818" s="103"/>
      <c r="L1818" s="103"/>
      <c r="N1818" s="103"/>
      <c r="O1818" s="103"/>
      <c r="Q1818" s="16"/>
      <c r="R1818" s="16"/>
      <c r="S1818" s="16"/>
      <c r="T1818" s="103"/>
      <c r="U1818" s="16"/>
      <c r="V1818" s="16"/>
      <c r="W1818" s="16"/>
      <c r="X1818" s="103"/>
    </row>
    <row r="1819" spans="2:24" x14ac:dyDescent="0.25">
      <c r="B1819" s="103"/>
      <c r="C1819" s="103"/>
      <c r="D1819" s="103"/>
      <c r="E1819" s="103"/>
      <c r="F1819" s="103"/>
      <c r="H1819" s="103"/>
      <c r="I1819" s="103"/>
      <c r="J1819" s="103"/>
      <c r="K1819" s="103"/>
      <c r="L1819" s="103"/>
      <c r="N1819" s="103"/>
      <c r="O1819" s="103"/>
      <c r="Q1819" s="16"/>
      <c r="R1819" s="16"/>
      <c r="S1819" s="16"/>
      <c r="T1819" s="103"/>
      <c r="U1819" s="16"/>
      <c r="V1819" s="16"/>
      <c r="W1819" s="16"/>
      <c r="X1819" s="103"/>
    </row>
    <row r="1820" spans="2:24" x14ac:dyDescent="0.25">
      <c r="B1820" s="103"/>
      <c r="C1820" s="103"/>
      <c r="D1820" s="103"/>
      <c r="E1820" s="103"/>
      <c r="F1820" s="103"/>
      <c r="H1820" s="103"/>
      <c r="I1820" s="103"/>
      <c r="J1820" s="103"/>
      <c r="K1820" s="103"/>
      <c r="L1820" s="103"/>
      <c r="N1820" s="103"/>
      <c r="O1820" s="103"/>
      <c r="Q1820" s="16"/>
      <c r="R1820" s="16"/>
      <c r="S1820" s="16"/>
      <c r="T1820" s="103"/>
      <c r="U1820" s="16"/>
      <c r="V1820" s="16"/>
      <c r="W1820" s="16"/>
      <c r="X1820" s="103"/>
    </row>
    <row r="1821" spans="2:24" x14ac:dyDescent="0.25">
      <c r="B1821" s="103"/>
      <c r="C1821" s="103"/>
      <c r="D1821" s="103"/>
      <c r="E1821" s="103"/>
      <c r="F1821" s="103"/>
      <c r="H1821" s="103"/>
      <c r="I1821" s="103"/>
      <c r="J1821" s="103"/>
      <c r="K1821" s="103"/>
      <c r="L1821" s="103"/>
      <c r="N1821" s="103"/>
      <c r="O1821" s="103"/>
      <c r="Q1821" s="16"/>
      <c r="R1821" s="16"/>
      <c r="S1821" s="16"/>
      <c r="T1821" s="103"/>
      <c r="U1821" s="16"/>
      <c r="V1821" s="16"/>
      <c r="W1821" s="16"/>
      <c r="X1821" s="103"/>
    </row>
    <row r="1822" spans="2:24" x14ac:dyDescent="0.25">
      <c r="B1822" s="103"/>
      <c r="C1822" s="103"/>
      <c r="D1822" s="103"/>
      <c r="E1822" s="103"/>
      <c r="F1822" s="103"/>
      <c r="H1822" s="103"/>
      <c r="I1822" s="103"/>
      <c r="J1822" s="103"/>
      <c r="K1822" s="103"/>
      <c r="L1822" s="103"/>
      <c r="N1822" s="103"/>
      <c r="O1822" s="103"/>
      <c r="Q1822" s="16"/>
      <c r="R1822" s="16"/>
      <c r="S1822" s="16"/>
      <c r="T1822" s="103"/>
      <c r="U1822" s="16"/>
      <c r="V1822" s="16"/>
      <c r="W1822" s="16"/>
      <c r="X1822" s="103"/>
    </row>
    <row r="1823" spans="2:24" x14ac:dyDescent="0.25">
      <c r="B1823" s="103"/>
      <c r="C1823" s="103"/>
      <c r="D1823" s="103"/>
      <c r="E1823" s="103"/>
      <c r="F1823" s="103"/>
      <c r="H1823" s="103"/>
      <c r="I1823" s="103"/>
      <c r="J1823" s="103"/>
      <c r="K1823" s="103"/>
      <c r="L1823" s="103"/>
      <c r="N1823" s="103"/>
      <c r="O1823" s="103"/>
      <c r="Q1823" s="16"/>
      <c r="R1823" s="16"/>
      <c r="S1823" s="16"/>
      <c r="T1823" s="103"/>
      <c r="U1823" s="16"/>
      <c r="V1823" s="16"/>
      <c r="W1823" s="16"/>
      <c r="X1823" s="103"/>
    </row>
    <row r="1824" spans="2:24" x14ac:dyDescent="0.25">
      <c r="B1824" s="103"/>
      <c r="C1824" s="103"/>
      <c r="D1824" s="103"/>
      <c r="E1824" s="103"/>
      <c r="F1824" s="103"/>
      <c r="H1824" s="103"/>
      <c r="I1824" s="103"/>
      <c r="J1824" s="103"/>
      <c r="K1824" s="103"/>
      <c r="L1824" s="103"/>
      <c r="N1824" s="103"/>
      <c r="O1824" s="103"/>
      <c r="Q1824" s="16"/>
      <c r="R1824" s="16"/>
      <c r="S1824" s="16"/>
      <c r="T1824" s="103"/>
      <c r="U1824" s="16"/>
      <c r="V1824" s="16"/>
      <c r="W1824" s="16"/>
      <c r="X1824" s="103"/>
    </row>
    <row r="1825" spans="2:24" x14ac:dyDescent="0.25">
      <c r="B1825" s="103"/>
      <c r="C1825" s="103"/>
      <c r="D1825" s="103"/>
      <c r="E1825" s="103"/>
      <c r="F1825" s="103"/>
      <c r="H1825" s="103"/>
      <c r="I1825" s="103"/>
      <c r="J1825" s="103"/>
      <c r="K1825" s="103"/>
      <c r="L1825" s="103"/>
      <c r="N1825" s="103"/>
      <c r="O1825" s="103"/>
      <c r="Q1825" s="16"/>
      <c r="R1825" s="16"/>
      <c r="S1825" s="16"/>
      <c r="T1825" s="103"/>
      <c r="U1825" s="16"/>
      <c r="V1825" s="16"/>
      <c r="W1825" s="16"/>
      <c r="X1825" s="103"/>
    </row>
    <row r="1826" spans="2:24" x14ac:dyDescent="0.25">
      <c r="B1826" s="103"/>
      <c r="C1826" s="103"/>
      <c r="D1826" s="103"/>
      <c r="E1826" s="103"/>
      <c r="F1826" s="103"/>
      <c r="H1826" s="103"/>
      <c r="I1826" s="103"/>
      <c r="J1826" s="103"/>
      <c r="K1826" s="103"/>
      <c r="L1826" s="103"/>
      <c r="N1826" s="103"/>
      <c r="O1826" s="103"/>
      <c r="Q1826" s="16"/>
      <c r="R1826" s="16"/>
      <c r="S1826" s="16"/>
      <c r="T1826" s="103"/>
      <c r="U1826" s="16"/>
      <c r="V1826" s="16"/>
      <c r="W1826" s="16"/>
      <c r="X1826" s="103"/>
    </row>
    <row r="1827" spans="2:24" x14ac:dyDescent="0.25">
      <c r="B1827" s="103"/>
      <c r="C1827" s="103"/>
      <c r="D1827" s="103"/>
      <c r="E1827" s="103"/>
      <c r="F1827" s="103"/>
      <c r="H1827" s="103"/>
      <c r="I1827" s="103"/>
      <c r="J1827" s="103"/>
      <c r="K1827" s="103"/>
      <c r="L1827" s="103"/>
      <c r="N1827" s="103"/>
      <c r="O1827" s="103"/>
      <c r="Q1827" s="16"/>
      <c r="R1827" s="16"/>
      <c r="S1827" s="16"/>
      <c r="T1827" s="103"/>
      <c r="U1827" s="16"/>
      <c r="V1827" s="16"/>
      <c r="W1827" s="16"/>
      <c r="X1827" s="103"/>
    </row>
    <row r="1828" spans="2:24" x14ac:dyDescent="0.25">
      <c r="B1828" s="103"/>
      <c r="C1828" s="103"/>
      <c r="D1828" s="103"/>
      <c r="E1828" s="103"/>
      <c r="F1828" s="103"/>
      <c r="H1828" s="103"/>
      <c r="I1828" s="103"/>
      <c r="J1828" s="103"/>
      <c r="K1828" s="103"/>
      <c r="L1828" s="103"/>
      <c r="N1828" s="103"/>
      <c r="O1828" s="103"/>
      <c r="Q1828" s="16"/>
      <c r="R1828" s="16"/>
      <c r="S1828" s="16"/>
      <c r="T1828" s="103"/>
      <c r="U1828" s="16"/>
      <c r="V1828" s="16"/>
      <c r="W1828" s="16"/>
      <c r="X1828" s="103"/>
    </row>
    <row r="1829" spans="2:24" x14ac:dyDescent="0.25">
      <c r="B1829" s="103"/>
      <c r="C1829" s="103"/>
      <c r="D1829" s="103"/>
      <c r="E1829" s="103"/>
      <c r="F1829" s="103"/>
      <c r="H1829" s="103"/>
      <c r="I1829" s="103"/>
      <c r="J1829" s="103"/>
      <c r="K1829" s="103"/>
      <c r="L1829" s="103"/>
      <c r="N1829" s="103"/>
      <c r="O1829" s="103"/>
      <c r="Q1829" s="16"/>
      <c r="R1829" s="16"/>
      <c r="S1829" s="16"/>
      <c r="T1829" s="103"/>
      <c r="U1829" s="16"/>
      <c r="V1829" s="16"/>
      <c r="W1829" s="16"/>
      <c r="X1829" s="103"/>
    </row>
    <row r="1830" spans="2:24" x14ac:dyDescent="0.25">
      <c r="B1830" s="103"/>
      <c r="C1830" s="103"/>
      <c r="D1830" s="103"/>
      <c r="E1830" s="103"/>
      <c r="F1830" s="103"/>
      <c r="H1830" s="103"/>
      <c r="I1830" s="103"/>
      <c r="J1830" s="103"/>
      <c r="K1830" s="103"/>
      <c r="L1830" s="103"/>
      <c r="N1830" s="103"/>
      <c r="O1830" s="103"/>
      <c r="Q1830" s="16"/>
      <c r="R1830" s="16"/>
      <c r="S1830" s="16"/>
      <c r="T1830" s="103"/>
      <c r="U1830" s="16"/>
      <c r="V1830" s="16"/>
      <c r="W1830" s="16"/>
      <c r="X1830" s="103"/>
    </row>
    <row r="1831" spans="2:24" x14ac:dyDescent="0.25">
      <c r="B1831" s="103"/>
      <c r="C1831" s="103"/>
      <c r="D1831" s="103"/>
      <c r="E1831" s="103"/>
      <c r="F1831" s="103"/>
      <c r="H1831" s="103"/>
      <c r="I1831" s="103"/>
      <c r="J1831" s="103"/>
      <c r="K1831" s="103"/>
      <c r="L1831" s="103"/>
      <c r="N1831" s="103"/>
      <c r="O1831" s="103"/>
      <c r="Q1831" s="16"/>
      <c r="R1831" s="16"/>
      <c r="S1831" s="16"/>
      <c r="T1831" s="103"/>
      <c r="U1831" s="16"/>
      <c r="V1831" s="16"/>
      <c r="W1831" s="16"/>
      <c r="X1831" s="103"/>
    </row>
    <row r="1832" spans="2:24" x14ac:dyDescent="0.25">
      <c r="B1832" s="103"/>
      <c r="C1832" s="103"/>
      <c r="D1832" s="103"/>
      <c r="E1832" s="103"/>
      <c r="F1832" s="103"/>
      <c r="H1832" s="103"/>
      <c r="I1832" s="103"/>
      <c r="J1832" s="103"/>
      <c r="K1832" s="103"/>
      <c r="L1832" s="103"/>
      <c r="N1832" s="103"/>
      <c r="O1832" s="103"/>
      <c r="Q1832" s="16"/>
      <c r="R1832" s="16"/>
      <c r="S1832" s="16"/>
      <c r="T1832" s="103"/>
      <c r="U1832" s="16"/>
      <c r="V1832" s="16"/>
      <c r="W1832" s="16"/>
      <c r="X1832" s="103"/>
    </row>
    <row r="1833" spans="2:24" x14ac:dyDescent="0.25">
      <c r="B1833" s="103"/>
      <c r="C1833" s="103"/>
      <c r="D1833" s="103"/>
      <c r="E1833" s="103"/>
      <c r="F1833" s="103"/>
      <c r="H1833" s="103"/>
      <c r="I1833" s="103"/>
      <c r="J1833" s="103"/>
      <c r="K1833" s="103"/>
      <c r="L1833" s="103"/>
      <c r="N1833" s="103"/>
      <c r="O1833" s="103"/>
      <c r="Q1833" s="16"/>
      <c r="R1833" s="16"/>
      <c r="S1833" s="16"/>
      <c r="T1833" s="103"/>
      <c r="U1833" s="16"/>
      <c r="V1833" s="16"/>
      <c r="W1833" s="16"/>
      <c r="X1833" s="103"/>
    </row>
    <row r="1834" spans="2:24" x14ac:dyDescent="0.25">
      <c r="B1834" s="103"/>
      <c r="C1834" s="103"/>
      <c r="D1834" s="103"/>
      <c r="E1834" s="103"/>
      <c r="F1834" s="103"/>
      <c r="H1834" s="103"/>
      <c r="I1834" s="103"/>
      <c r="J1834" s="103"/>
      <c r="K1834" s="103"/>
      <c r="L1834" s="103"/>
      <c r="N1834" s="103"/>
      <c r="O1834" s="103"/>
      <c r="Q1834" s="16"/>
      <c r="R1834" s="16"/>
      <c r="S1834" s="16"/>
      <c r="T1834" s="103"/>
      <c r="U1834" s="16"/>
      <c r="V1834" s="16"/>
      <c r="W1834" s="16"/>
      <c r="X1834" s="103"/>
    </row>
    <row r="1835" spans="2:24" x14ac:dyDescent="0.25">
      <c r="B1835" s="103"/>
      <c r="C1835" s="103"/>
      <c r="D1835" s="103"/>
      <c r="E1835" s="103"/>
      <c r="F1835" s="103"/>
      <c r="H1835" s="103"/>
      <c r="I1835" s="103"/>
      <c r="J1835" s="103"/>
      <c r="K1835" s="103"/>
      <c r="L1835" s="103"/>
      <c r="N1835" s="103"/>
      <c r="O1835" s="103"/>
      <c r="Q1835" s="16"/>
      <c r="R1835" s="16"/>
      <c r="S1835" s="16"/>
      <c r="T1835" s="103"/>
      <c r="U1835" s="16"/>
      <c r="V1835" s="16"/>
      <c r="W1835" s="16"/>
      <c r="X1835" s="103"/>
    </row>
    <row r="1836" spans="2:24" x14ac:dyDescent="0.25">
      <c r="B1836" s="103"/>
      <c r="C1836" s="103"/>
      <c r="D1836" s="103"/>
      <c r="E1836" s="103"/>
      <c r="F1836" s="103"/>
      <c r="H1836" s="103"/>
      <c r="I1836" s="103"/>
      <c r="J1836" s="103"/>
      <c r="K1836" s="103"/>
      <c r="L1836" s="103"/>
      <c r="N1836" s="103"/>
      <c r="O1836" s="103"/>
      <c r="Q1836" s="16"/>
      <c r="R1836" s="16"/>
      <c r="S1836" s="16"/>
      <c r="T1836" s="103"/>
      <c r="U1836" s="16"/>
      <c r="V1836" s="16"/>
      <c r="W1836" s="16"/>
      <c r="X1836" s="103"/>
    </row>
    <row r="1837" spans="2:24" x14ac:dyDescent="0.25">
      <c r="B1837" s="103"/>
      <c r="C1837" s="103"/>
      <c r="D1837" s="103"/>
      <c r="E1837" s="103"/>
      <c r="F1837" s="103"/>
      <c r="H1837" s="103"/>
      <c r="I1837" s="103"/>
      <c r="J1837" s="103"/>
      <c r="K1837" s="103"/>
      <c r="L1837" s="103"/>
      <c r="N1837" s="103"/>
      <c r="O1837" s="103"/>
      <c r="Q1837" s="16"/>
      <c r="R1837" s="16"/>
      <c r="S1837" s="16"/>
      <c r="T1837" s="103"/>
      <c r="U1837" s="16"/>
      <c r="V1837" s="16"/>
      <c r="W1837" s="16"/>
      <c r="X1837" s="103"/>
    </row>
    <row r="1838" spans="2:24" x14ac:dyDescent="0.25">
      <c r="B1838" s="103"/>
      <c r="C1838" s="103"/>
      <c r="D1838" s="103"/>
      <c r="E1838" s="103"/>
      <c r="F1838" s="103"/>
      <c r="H1838" s="103"/>
      <c r="I1838" s="103"/>
      <c r="J1838" s="103"/>
      <c r="K1838" s="103"/>
      <c r="L1838" s="103"/>
      <c r="N1838" s="103"/>
      <c r="O1838" s="103"/>
      <c r="Q1838" s="16"/>
      <c r="R1838" s="16"/>
      <c r="S1838" s="16"/>
      <c r="T1838" s="103"/>
      <c r="U1838" s="16"/>
      <c r="V1838" s="16"/>
      <c r="W1838" s="16"/>
      <c r="X1838" s="103"/>
    </row>
    <row r="1839" spans="2:24" x14ac:dyDescent="0.25">
      <c r="B1839" s="103"/>
      <c r="C1839" s="103"/>
      <c r="D1839" s="103"/>
      <c r="E1839" s="103"/>
      <c r="F1839" s="103"/>
      <c r="H1839" s="103"/>
      <c r="I1839" s="103"/>
      <c r="J1839" s="103"/>
      <c r="K1839" s="103"/>
      <c r="L1839" s="103"/>
      <c r="N1839" s="103"/>
      <c r="O1839" s="103"/>
      <c r="Q1839" s="16"/>
      <c r="R1839" s="16"/>
      <c r="S1839" s="16"/>
      <c r="T1839" s="103"/>
      <c r="U1839" s="16"/>
      <c r="V1839" s="16"/>
      <c r="W1839" s="16"/>
      <c r="X1839" s="103"/>
    </row>
    <row r="1840" spans="2:24" x14ac:dyDescent="0.25">
      <c r="B1840" s="103"/>
      <c r="C1840" s="103"/>
      <c r="D1840" s="103"/>
      <c r="E1840" s="103"/>
      <c r="F1840" s="103"/>
      <c r="H1840" s="103"/>
      <c r="I1840" s="103"/>
      <c r="J1840" s="103"/>
      <c r="K1840" s="103"/>
      <c r="L1840" s="103"/>
      <c r="N1840" s="103"/>
      <c r="O1840" s="103"/>
      <c r="Q1840" s="16"/>
      <c r="R1840" s="16"/>
      <c r="S1840" s="16"/>
      <c r="T1840" s="103"/>
      <c r="U1840" s="16"/>
      <c r="V1840" s="16"/>
      <c r="W1840" s="16"/>
      <c r="X1840" s="103"/>
    </row>
    <row r="1841" spans="2:24" x14ac:dyDescent="0.25">
      <c r="B1841" s="103"/>
      <c r="C1841" s="103"/>
      <c r="D1841" s="103"/>
      <c r="E1841" s="103"/>
      <c r="F1841" s="103"/>
      <c r="H1841" s="103"/>
      <c r="I1841" s="103"/>
      <c r="J1841" s="103"/>
      <c r="K1841" s="103"/>
      <c r="L1841" s="103"/>
      <c r="N1841" s="103"/>
      <c r="O1841" s="103"/>
      <c r="Q1841" s="16"/>
      <c r="R1841" s="16"/>
      <c r="S1841" s="16"/>
      <c r="T1841" s="103"/>
      <c r="U1841" s="16"/>
      <c r="V1841" s="16"/>
      <c r="W1841" s="16"/>
      <c r="X1841" s="103"/>
    </row>
    <row r="1842" spans="2:24" x14ac:dyDescent="0.25">
      <c r="B1842" s="103"/>
      <c r="C1842" s="103"/>
      <c r="D1842" s="103"/>
      <c r="E1842" s="103"/>
      <c r="F1842" s="103"/>
      <c r="H1842" s="103"/>
      <c r="I1842" s="103"/>
      <c r="J1842" s="103"/>
      <c r="K1842" s="103"/>
      <c r="L1842" s="103"/>
      <c r="N1842" s="103"/>
      <c r="O1842" s="103"/>
      <c r="Q1842" s="16"/>
      <c r="R1842" s="16"/>
      <c r="S1842" s="16"/>
      <c r="T1842" s="103"/>
      <c r="U1842" s="16"/>
      <c r="V1842" s="16"/>
      <c r="W1842" s="16"/>
      <c r="X1842" s="103"/>
    </row>
    <row r="1843" spans="2:24" x14ac:dyDescent="0.25">
      <c r="B1843" s="103"/>
      <c r="C1843" s="103"/>
      <c r="D1843" s="103"/>
      <c r="E1843" s="103"/>
      <c r="F1843" s="103"/>
      <c r="H1843" s="103"/>
      <c r="I1843" s="103"/>
      <c r="J1843" s="103"/>
      <c r="K1843" s="103"/>
      <c r="L1843" s="103"/>
      <c r="N1843" s="103"/>
      <c r="O1843" s="103"/>
      <c r="Q1843" s="16"/>
      <c r="R1843" s="16"/>
      <c r="S1843" s="16"/>
      <c r="T1843" s="103"/>
      <c r="U1843" s="16"/>
      <c r="V1843" s="16"/>
      <c r="W1843" s="16"/>
      <c r="X1843" s="103"/>
    </row>
    <row r="1844" spans="2:24" x14ac:dyDescent="0.25">
      <c r="B1844" s="103"/>
      <c r="C1844" s="103"/>
      <c r="D1844" s="103"/>
      <c r="E1844" s="103"/>
      <c r="F1844" s="103"/>
      <c r="H1844" s="103"/>
      <c r="I1844" s="103"/>
      <c r="J1844" s="103"/>
      <c r="K1844" s="103"/>
      <c r="L1844" s="103"/>
      <c r="N1844" s="103"/>
      <c r="O1844" s="103"/>
      <c r="Q1844" s="16"/>
      <c r="R1844" s="16"/>
      <c r="S1844" s="16"/>
      <c r="T1844" s="103"/>
      <c r="U1844" s="16"/>
      <c r="V1844" s="16"/>
      <c r="W1844" s="16"/>
      <c r="X1844" s="103"/>
    </row>
    <row r="1845" spans="2:24" x14ac:dyDescent="0.25">
      <c r="B1845" s="103"/>
      <c r="C1845" s="103"/>
      <c r="D1845" s="103"/>
      <c r="E1845" s="103"/>
      <c r="F1845" s="103"/>
      <c r="H1845" s="103"/>
      <c r="I1845" s="103"/>
      <c r="J1845" s="103"/>
      <c r="K1845" s="103"/>
      <c r="L1845" s="103"/>
      <c r="N1845" s="103"/>
      <c r="O1845" s="103"/>
      <c r="Q1845" s="16"/>
      <c r="R1845" s="16"/>
      <c r="S1845" s="16"/>
      <c r="T1845" s="103"/>
      <c r="U1845" s="16"/>
      <c r="V1845" s="16"/>
      <c r="W1845" s="16"/>
      <c r="X1845" s="103"/>
    </row>
    <row r="1846" spans="2:24" x14ac:dyDescent="0.25">
      <c r="B1846" s="103"/>
      <c r="C1846" s="103"/>
      <c r="D1846" s="103"/>
      <c r="E1846" s="103"/>
      <c r="F1846" s="103"/>
      <c r="H1846" s="103"/>
      <c r="I1846" s="103"/>
      <c r="J1846" s="103"/>
      <c r="K1846" s="103"/>
      <c r="L1846" s="103"/>
      <c r="N1846" s="103"/>
      <c r="O1846" s="103"/>
      <c r="Q1846" s="16"/>
      <c r="R1846" s="16"/>
      <c r="S1846" s="16"/>
      <c r="T1846" s="103"/>
      <c r="U1846" s="16"/>
      <c r="V1846" s="16"/>
      <c r="W1846" s="16"/>
      <c r="X1846" s="103"/>
    </row>
    <row r="1847" spans="2:24" x14ac:dyDescent="0.25">
      <c r="B1847" s="103"/>
      <c r="C1847" s="103"/>
      <c r="D1847" s="103"/>
      <c r="E1847" s="103"/>
      <c r="F1847" s="103"/>
      <c r="H1847" s="103"/>
      <c r="I1847" s="103"/>
      <c r="J1847" s="103"/>
      <c r="K1847" s="103"/>
      <c r="L1847" s="103"/>
      <c r="N1847" s="103"/>
      <c r="O1847" s="103"/>
      <c r="Q1847" s="16"/>
      <c r="R1847" s="16"/>
      <c r="S1847" s="16"/>
      <c r="T1847" s="103"/>
      <c r="U1847" s="16"/>
      <c r="V1847" s="16"/>
      <c r="W1847" s="16"/>
      <c r="X1847" s="103"/>
    </row>
    <row r="1848" spans="2:24" x14ac:dyDescent="0.25">
      <c r="B1848" s="103"/>
      <c r="C1848" s="103"/>
      <c r="D1848" s="103"/>
      <c r="E1848" s="103"/>
      <c r="F1848" s="103"/>
      <c r="H1848" s="103"/>
      <c r="I1848" s="103"/>
      <c r="J1848" s="103"/>
      <c r="K1848" s="103"/>
      <c r="L1848" s="103"/>
      <c r="N1848" s="103"/>
      <c r="O1848" s="103"/>
      <c r="Q1848" s="16"/>
      <c r="R1848" s="16"/>
      <c r="S1848" s="16"/>
      <c r="T1848" s="103"/>
      <c r="U1848" s="16"/>
      <c r="V1848" s="16"/>
      <c r="W1848" s="16"/>
      <c r="X1848" s="103"/>
    </row>
    <row r="1849" spans="2:24" x14ac:dyDescent="0.25">
      <c r="B1849" s="103"/>
      <c r="C1849" s="103"/>
      <c r="D1849" s="103"/>
      <c r="E1849" s="103"/>
      <c r="F1849" s="103"/>
      <c r="H1849" s="103"/>
      <c r="I1849" s="103"/>
      <c r="J1849" s="103"/>
      <c r="K1849" s="103"/>
      <c r="L1849" s="103"/>
      <c r="N1849" s="103"/>
      <c r="O1849" s="103"/>
      <c r="Q1849" s="16"/>
      <c r="R1849" s="16"/>
      <c r="S1849" s="16"/>
      <c r="T1849" s="103"/>
      <c r="U1849" s="16"/>
      <c r="V1849" s="16"/>
      <c r="W1849" s="16"/>
      <c r="X1849" s="103"/>
    </row>
    <row r="1850" spans="2:24" x14ac:dyDescent="0.25">
      <c r="B1850" s="103"/>
      <c r="C1850" s="103"/>
      <c r="D1850" s="103"/>
      <c r="E1850" s="103"/>
      <c r="F1850" s="103"/>
      <c r="H1850" s="103"/>
      <c r="I1850" s="103"/>
      <c r="J1850" s="103"/>
      <c r="K1850" s="103"/>
      <c r="L1850" s="103"/>
      <c r="N1850" s="103"/>
      <c r="O1850" s="103"/>
      <c r="Q1850" s="16"/>
      <c r="R1850" s="16"/>
      <c r="S1850" s="16"/>
      <c r="T1850" s="103"/>
      <c r="U1850" s="16"/>
      <c r="V1850" s="16"/>
      <c r="W1850" s="16"/>
      <c r="X1850" s="103"/>
    </row>
    <row r="1851" spans="2:24" x14ac:dyDescent="0.25">
      <c r="B1851" s="103"/>
      <c r="C1851" s="103"/>
      <c r="D1851" s="103"/>
      <c r="E1851" s="103"/>
      <c r="F1851" s="103"/>
      <c r="H1851" s="103"/>
      <c r="I1851" s="103"/>
      <c r="J1851" s="103"/>
      <c r="K1851" s="103"/>
      <c r="L1851" s="103"/>
      <c r="N1851" s="103"/>
      <c r="O1851" s="103"/>
      <c r="Q1851" s="16"/>
      <c r="R1851" s="16"/>
      <c r="S1851" s="16"/>
      <c r="T1851" s="103"/>
      <c r="U1851" s="16"/>
      <c r="V1851" s="16"/>
      <c r="W1851" s="16"/>
      <c r="X1851" s="103"/>
    </row>
    <row r="1852" spans="2:24" x14ac:dyDescent="0.25">
      <c r="B1852" s="103"/>
      <c r="C1852" s="103"/>
      <c r="D1852" s="103"/>
      <c r="E1852" s="103"/>
      <c r="F1852" s="103"/>
      <c r="H1852" s="103"/>
      <c r="I1852" s="103"/>
      <c r="J1852" s="103"/>
      <c r="K1852" s="103"/>
      <c r="L1852" s="103"/>
      <c r="N1852" s="103"/>
      <c r="O1852" s="103"/>
      <c r="Q1852" s="16"/>
      <c r="R1852" s="16"/>
      <c r="S1852" s="16"/>
      <c r="T1852" s="103"/>
      <c r="U1852" s="16"/>
      <c r="V1852" s="16"/>
      <c r="W1852" s="16"/>
      <c r="X1852" s="103"/>
    </row>
    <row r="1853" spans="2:24" x14ac:dyDescent="0.25">
      <c r="B1853" s="103"/>
      <c r="C1853" s="103"/>
      <c r="D1853" s="103"/>
      <c r="E1853" s="103"/>
      <c r="F1853" s="103"/>
      <c r="H1853" s="103"/>
      <c r="I1853" s="103"/>
      <c r="J1853" s="103"/>
      <c r="K1853" s="103"/>
      <c r="L1853" s="103"/>
      <c r="N1853" s="103"/>
      <c r="O1853" s="103"/>
      <c r="Q1853" s="16"/>
      <c r="R1853" s="16"/>
      <c r="S1853" s="16"/>
      <c r="T1853" s="103"/>
      <c r="U1853" s="16"/>
      <c r="V1853" s="16"/>
      <c r="W1853" s="16"/>
      <c r="X1853" s="103"/>
    </row>
    <row r="1854" spans="2:24" x14ac:dyDescent="0.25">
      <c r="B1854" s="103"/>
      <c r="C1854" s="103"/>
      <c r="D1854" s="103"/>
      <c r="E1854" s="103"/>
      <c r="F1854" s="103"/>
      <c r="H1854" s="103"/>
      <c r="I1854" s="103"/>
      <c r="J1854" s="103"/>
      <c r="K1854" s="103"/>
      <c r="L1854" s="103"/>
      <c r="N1854" s="103"/>
      <c r="O1854" s="103"/>
      <c r="Q1854" s="16"/>
      <c r="R1854" s="16"/>
      <c r="S1854" s="16"/>
      <c r="T1854" s="103"/>
      <c r="U1854" s="16"/>
      <c r="V1854" s="16"/>
      <c r="W1854" s="16"/>
      <c r="X1854" s="103"/>
    </row>
    <row r="1855" spans="2:24" x14ac:dyDescent="0.25">
      <c r="B1855" s="103"/>
      <c r="C1855" s="103"/>
      <c r="D1855" s="103"/>
      <c r="E1855" s="103"/>
      <c r="F1855" s="103"/>
      <c r="H1855" s="103"/>
      <c r="I1855" s="103"/>
      <c r="J1855" s="103"/>
      <c r="K1855" s="103"/>
      <c r="L1855" s="103"/>
      <c r="N1855" s="103"/>
      <c r="O1855" s="103"/>
      <c r="Q1855" s="16"/>
      <c r="R1855" s="16"/>
      <c r="S1855" s="16"/>
      <c r="T1855" s="103"/>
      <c r="U1855" s="16"/>
      <c r="V1855" s="16"/>
      <c r="W1855" s="16"/>
      <c r="X1855" s="103"/>
    </row>
    <row r="1856" spans="2:24" x14ac:dyDescent="0.25">
      <c r="B1856" s="103"/>
      <c r="C1856" s="103"/>
      <c r="D1856" s="103"/>
      <c r="E1856" s="103"/>
      <c r="F1856" s="103"/>
      <c r="H1856" s="103"/>
      <c r="I1856" s="103"/>
      <c r="J1856" s="103"/>
      <c r="K1856" s="103"/>
      <c r="L1856" s="103"/>
      <c r="N1856" s="103"/>
      <c r="O1856" s="103"/>
      <c r="Q1856" s="16"/>
      <c r="R1856" s="16"/>
      <c r="S1856" s="16"/>
      <c r="T1856" s="103"/>
      <c r="U1856" s="16"/>
      <c r="V1856" s="16"/>
      <c r="W1856" s="16"/>
      <c r="X1856" s="103"/>
    </row>
    <row r="1857" spans="2:24" x14ac:dyDescent="0.25">
      <c r="B1857" s="103"/>
      <c r="C1857" s="103"/>
      <c r="D1857" s="103"/>
      <c r="E1857" s="103"/>
      <c r="F1857" s="103"/>
      <c r="H1857" s="103"/>
      <c r="I1857" s="103"/>
      <c r="J1857" s="103"/>
      <c r="K1857" s="103"/>
      <c r="L1857" s="103"/>
      <c r="N1857" s="103"/>
      <c r="O1857" s="103"/>
      <c r="Q1857" s="16"/>
      <c r="R1857" s="16"/>
      <c r="S1857" s="16"/>
      <c r="T1857" s="103"/>
      <c r="U1857" s="16"/>
      <c r="V1857" s="16"/>
      <c r="W1857" s="16"/>
      <c r="X1857" s="103"/>
    </row>
    <row r="1858" spans="2:24" x14ac:dyDescent="0.25">
      <c r="B1858" s="103"/>
      <c r="C1858" s="103"/>
      <c r="D1858" s="103"/>
      <c r="E1858" s="103"/>
      <c r="F1858" s="103"/>
      <c r="H1858" s="103"/>
      <c r="I1858" s="103"/>
      <c r="J1858" s="103"/>
      <c r="K1858" s="103"/>
      <c r="L1858" s="103"/>
      <c r="N1858" s="103"/>
      <c r="O1858" s="103"/>
      <c r="Q1858" s="16"/>
      <c r="R1858" s="16"/>
      <c r="S1858" s="16"/>
      <c r="T1858" s="103"/>
      <c r="U1858" s="16"/>
      <c r="V1858" s="16"/>
      <c r="W1858" s="16"/>
      <c r="X1858" s="103"/>
    </row>
    <row r="1859" spans="2:24" x14ac:dyDescent="0.25">
      <c r="B1859" s="103"/>
      <c r="C1859" s="103"/>
      <c r="D1859" s="103"/>
      <c r="E1859" s="103"/>
      <c r="F1859" s="103"/>
      <c r="H1859" s="103"/>
      <c r="I1859" s="103"/>
      <c r="J1859" s="103"/>
      <c r="K1859" s="103"/>
      <c r="L1859" s="103"/>
      <c r="N1859" s="103"/>
      <c r="O1859" s="103"/>
      <c r="Q1859" s="16"/>
      <c r="R1859" s="16"/>
      <c r="S1859" s="16"/>
      <c r="T1859" s="103"/>
      <c r="U1859" s="16"/>
      <c r="V1859" s="16"/>
      <c r="W1859" s="16"/>
      <c r="X1859" s="103"/>
    </row>
    <row r="1860" spans="2:24" x14ac:dyDescent="0.25">
      <c r="B1860" s="103"/>
      <c r="C1860" s="103"/>
      <c r="D1860" s="103"/>
      <c r="E1860" s="103"/>
      <c r="F1860" s="103"/>
      <c r="H1860" s="103"/>
      <c r="I1860" s="103"/>
      <c r="J1860" s="103"/>
      <c r="K1860" s="103"/>
      <c r="L1860" s="103"/>
      <c r="N1860" s="103"/>
      <c r="O1860" s="103"/>
      <c r="Q1860" s="16"/>
      <c r="R1860" s="16"/>
      <c r="S1860" s="16"/>
      <c r="T1860" s="103"/>
      <c r="U1860" s="16"/>
      <c r="V1860" s="16"/>
      <c r="W1860" s="16"/>
      <c r="X1860" s="103"/>
    </row>
    <row r="1861" spans="2:24" x14ac:dyDescent="0.25">
      <c r="B1861" s="103"/>
      <c r="C1861" s="103"/>
      <c r="D1861" s="103"/>
      <c r="E1861" s="103"/>
      <c r="F1861" s="103"/>
      <c r="H1861" s="103"/>
      <c r="I1861" s="103"/>
      <c r="J1861" s="103"/>
      <c r="K1861" s="103"/>
      <c r="L1861" s="103"/>
      <c r="N1861" s="103"/>
      <c r="O1861" s="103"/>
      <c r="Q1861" s="16"/>
      <c r="R1861" s="16"/>
      <c r="S1861" s="16"/>
      <c r="T1861" s="103"/>
      <c r="U1861" s="16"/>
      <c r="V1861" s="16"/>
      <c r="W1861" s="16"/>
      <c r="X1861" s="103"/>
    </row>
    <row r="1862" spans="2:24" x14ac:dyDescent="0.25">
      <c r="B1862" s="103"/>
      <c r="C1862" s="103"/>
      <c r="D1862" s="103"/>
      <c r="E1862" s="103"/>
      <c r="F1862" s="103"/>
      <c r="H1862" s="103"/>
      <c r="I1862" s="103"/>
      <c r="J1862" s="103"/>
      <c r="K1862" s="103"/>
      <c r="L1862" s="103"/>
      <c r="N1862" s="103"/>
      <c r="O1862" s="103"/>
      <c r="Q1862" s="16"/>
      <c r="R1862" s="16"/>
      <c r="S1862" s="16"/>
      <c r="T1862" s="103"/>
      <c r="U1862" s="16"/>
      <c r="V1862" s="16"/>
      <c r="W1862" s="16"/>
      <c r="X1862" s="103"/>
    </row>
    <row r="1863" spans="2:24" x14ac:dyDescent="0.25">
      <c r="B1863" s="103"/>
      <c r="C1863" s="103"/>
      <c r="D1863" s="103"/>
      <c r="E1863" s="103"/>
      <c r="F1863" s="103"/>
      <c r="H1863" s="103"/>
      <c r="I1863" s="103"/>
      <c r="J1863" s="103"/>
      <c r="K1863" s="103"/>
      <c r="L1863" s="103"/>
      <c r="N1863" s="103"/>
      <c r="O1863" s="103"/>
      <c r="Q1863" s="16"/>
      <c r="R1863" s="16"/>
      <c r="S1863" s="16"/>
      <c r="T1863" s="103"/>
      <c r="U1863" s="16"/>
      <c r="V1863" s="16"/>
      <c r="W1863" s="16"/>
      <c r="X1863" s="103"/>
    </row>
    <row r="1864" spans="2:24" x14ac:dyDescent="0.25">
      <c r="B1864" s="103"/>
      <c r="C1864" s="103"/>
      <c r="D1864" s="103"/>
      <c r="E1864" s="103"/>
      <c r="F1864" s="103"/>
      <c r="H1864" s="103"/>
      <c r="I1864" s="103"/>
      <c r="J1864" s="103"/>
      <c r="K1864" s="103"/>
      <c r="L1864" s="103"/>
      <c r="N1864" s="103"/>
      <c r="O1864" s="103"/>
      <c r="Q1864" s="16"/>
      <c r="R1864" s="16"/>
      <c r="S1864" s="16"/>
      <c r="T1864" s="103"/>
      <c r="U1864" s="16"/>
      <c r="V1864" s="16"/>
      <c r="W1864" s="16"/>
      <c r="X1864" s="103"/>
    </row>
    <row r="1865" spans="2:24" x14ac:dyDescent="0.25">
      <c r="B1865" s="103"/>
      <c r="C1865" s="103"/>
      <c r="D1865" s="103"/>
      <c r="E1865" s="103"/>
      <c r="F1865" s="103"/>
      <c r="H1865" s="103"/>
      <c r="I1865" s="103"/>
      <c r="J1865" s="103"/>
      <c r="K1865" s="103"/>
      <c r="L1865" s="103"/>
      <c r="N1865" s="103"/>
      <c r="O1865" s="103"/>
      <c r="Q1865" s="16"/>
      <c r="R1865" s="16"/>
      <c r="S1865" s="16"/>
      <c r="T1865" s="103"/>
      <c r="U1865" s="16"/>
      <c r="V1865" s="16"/>
      <c r="W1865" s="16"/>
      <c r="X1865" s="103"/>
    </row>
    <row r="1866" spans="2:24" x14ac:dyDescent="0.25">
      <c r="B1866" s="103"/>
      <c r="C1866" s="103"/>
      <c r="D1866" s="103"/>
      <c r="E1866" s="103"/>
      <c r="F1866" s="103"/>
      <c r="H1866" s="103"/>
      <c r="I1866" s="103"/>
      <c r="J1866" s="103"/>
      <c r="K1866" s="103"/>
      <c r="L1866" s="103"/>
      <c r="N1866" s="103"/>
      <c r="O1866" s="103"/>
      <c r="Q1866" s="16"/>
      <c r="R1866" s="16"/>
      <c r="S1866" s="16"/>
      <c r="T1866" s="103"/>
      <c r="U1866" s="16"/>
      <c r="V1866" s="16"/>
      <c r="W1866" s="16"/>
      <c r="X1866" s="103"/>
    </row>
    <row r="1867" spans="2:24" x14ac:dyDescent="0.25">
      <c r="B1867" s="103"/>
      <c r="C1867" s="103"/>
      <c r="D1867" s="103"/>
      <c r="E1867" s="103"/>
      <c r="F1867" s="103"/>
      <c r="H1867" s="103"/>
      <c r="I1867" s="103"/>
      <c r="J1867" s="103"/>
      <c r="K1867" s="103"/>
      <c r="L1867" s="103"/>
      <c r="N1867" s="103"/>
      <c r="O1867" s="103"/>
      <c r="Q1867" s="16"/>
      <c r="R1867" s="16"/>
      <c r="S1867" s="16"/>
      <c r="T1867" s="103"/>
      <c r="U1867" s="16"/>
      <c r="V1867" s="16"/>
      <c r="W1867" s="16"/>
      <c r="X1867" s="103"/>
    </row>
    <row r="1868" spans="2:24" x14ac:dyDescent="0.25">
      <c r="B1868" s="103"/>
      <c r="C1868" s="103"/>
      <c r="D1868" s="103"/>
      <c r="E1868" s="103"/>
      <c r="F1868" s="103"/>
      <c r="H1868" s="103"/>
      <c r="I1868" s="103"/>
      <c r="J1868" s="103"/>
      <c r="K1868" s="103"/>
      <c r="L1868" s="103"/>
      <c r="N1868" s="103"/>
      <c r="O1868" s="103"/>
      <c r="Q1868" s="16"/>
      <c r="R1868" s="16"/>
      <c r="S1868" s="16"/>
      <c r="T1868" s="103"/>
      <c r="U1868" s="16"/>
      <c r="V1868" s="16"/>
      <c r="W1868" s="16"/>
      <c r="X1868" s="103"/>
    </row>
    <row r="1869" spans="2:24" x14ac:dyDescent="0.25">
      <c r="B1869" s="103"/>
      <c r="C1869" s="103"/>
      <c r="D1869" s="103"/>
      <c r="E1869" s="103"/>
      <c r="F1869" s="103"/>
      <c r="H1869" s="103"/>
      <c r="I1869" s="103"/>
      <c r="J1869" s="103"/>
      <c r="K1869" s="103"/>
      <c r="L1869" s="103"/>
      <c r="N1869" s="103"/>
      <c r="O1869" s="103"/>
      <c r="Q1869" s="16"/>
      <c r="R1869" s="16"/>
      <c r="S1869" s="16"/>
      <c r="T1869" s="103"/>
      <c r="U1869" s="16"/>
      <c r="V1869" s="16"/>
      <c r="W1869" s="16"/>
      <c r="X1869" s="103"/>
    </row>
    <row r="1870" spans="2:24" x14ac:dyDescent="0.25">
      <c r="B1870" s="103"/>
      <c r="C1870" s="103"/>
      <c r="D1870" s="103"/>
      <c r="E1870" s="103"/>
      <c r="F1870" s="103"/>
      <c r="H1870" s="103"/>
      <c r="I1870" s="103"/>
      <c r="J1870" s="103"/>
      <c r="K1870" s="103"/>
      <c r="L1870" s="103"/>
      <c r="N1870" s="103"/>
      <c r="O1870" s="103"/>
      <c r="Q1870" s="16"/>
      <c r="R1870" s="16"/>
      <c r="S1870" s="16"/>
      <c r="T1870" s="103"/>
      <c r="U1870" s="16"/>
      <c r="V1870" s="16"/>
      <c r="W1870" s="16"/>
      <c r="X1870" s="103"/>
    </row>
    <row r="1871" spans="2:24" x14ac:dyDescent="0.25">
      <c r="B1871" s="103"/>
      <c r="C1871" s="103"/>
      <c r="D1871" s="103"/>
      <c r="E1871" s="103"/>
      <c r="F1871" s="103"/>
      <c r="H1871" s="103"/>
      <c r="I1871" s="103"/>
      <c r="J1871" s="103"/>
      <c r="K1871" s="103"/>
      <c r="L1871" s="103"/>
      <c r="N1871" s="103"/>
      <c r="O1871" s="103"/>
      <c r="Q1871" s="16"/>
      <c r="R1871" s="16"/>
      <c r="S1871" s="16"/>
      <c r="T1871" s="103"/>
      <c r="U1871" s="16"/>
      <c r="V1871" s="16"/>
      <c r="W1871" s="16"/>
      <c r="X1871" s="103"/>
    </row>
    <row r="1872" spans="2:24" x14ac:dyDescent="0.25">
      <c r="B1872" s="103"/>
      <c r="C1872" s="103"/>
      <c r="D1872" s="103"/>
      <c r="E1872" s="103"/>
      <c r="F1872" s="103"/>
      <c r="H1872" s="103"/>
      <c r="I1872" s="103"/>
      <c r="J1872" s="103"/>
      <c r="K1872" s="103"/>
      <c r="L1872" s="103"/>
      <c r="N1872" s="103"/>
      <c r="O1872" s="103"/>
      <c r="Q1872" s="16"/>
      <c r="R1872" s="16"/>
      <c r="S1872" s="16"/>
      <c r="T1872" s="103"/>
      <c r="U1872" s="16"/>
      <c r="V1872" s="16"/>
      <c r="W1872" s="16"/>
      <c r="X1872" s="103"/>
    </row>
    <row r="1873" spans="2:24" x14ac:dyDescent="0.25">
      <c r="B1873" s="103"/>
      <c r="C1873" s="103"/>
      <c r="D1873" s="103"/>
      <c r="E1873" s="103"/>
      <c r="F1873" s="103"/>
      <c r="H1873" s="103"/>
      <c r="I1873" s="103"/>
      <c r="J1873" s="103"/>
      <c r="K1873" s="103"/>
      <c r="L1873" s="103"/>
      <c r="N1873" s="103"/>
      <c r="O1873" s="103"/>
      <c r="Q1873" s="16"/>
      <c r="R1873" s="16"/>
      <c r="S1873" s="16"/>
      <c r="T1873" s="103"/>
      <c r="U1873" s="16"/>
      <c r="V1873" s="16"/>
      <c r="W1873" s="16"/>
      <c r="X1873" s="103"/>
    </row>
    <row r="1874" spans="2:24" x14ac:dyDescent="0.25">
      <c r="B1874" s="103"/>
      <c r="C1874" s="103"/>
      <c r="D1874" s="103"/>
      <c r="E1874" s="103"/>
      <c r="F1874" s="103"/>
      <c r="H1874" s="103"/>
      <c r="I1874" s="103"/>
      <c r="J1874" s="103"/>
      <c r="K1874" s="103"/>
      <c r="L1874" s="103"/>
      <c r="N1874" s="103"/>
      <c r="O1874" s="103"/>
      <c r="Q1874" s="16"/>
      <c r="R1874" s="16"/>
      <c r="S1874" s="16"/>
      <c r="T1874" s="103"/>
      <c r="U1874" s="16"/>
      <c r="V1874" s="16"/>
      <c r="W1874" s="16"/>
      <c r="X1874" s="103"/>
    </row>
    <row r="1875" spans="2:24" x14ac:dyDescent="0.25">
      <c r="B1875" s="103"/>
      <c r="C1875" s="103"/>
      <c r="D1875" s="103"/>
      <c r="E1875" s="103"/>
      <c r="F1875" s="103"/>
      <c r="H1875" s="103"/>
      <c r="I1875" s="103"/>
      <c r="J1875" s="103"/>
      <c r="K1875" s="103"/>
      <c r="L1875" s="103"/>
      <c r="N1875" s="103"/>
      <c r="O1875" s="103"/>
      <c r="Q1875" s="16"/>
      <c r="R1875" s="16"/>
      <c r="S1875" s="16"/>
      <c r="T1875" s="103"/>
      <c r="U1875" s="16"/>
      <c r="V1875" s="16"/>
      <c r="W1875" s="16"/>
      <c r="X1875" s="103"/>
    </row>
    <row r="1876" spans="2:24" x14ac:dyDescent="0.25">
      <c r="B1876" s="103"/>
      <c r="C1876" s="103"/>
      <c r="D1876" s="103"/>
      <c r="E1876" s="103"/>
      <c r="F1876" s="103"/>
      <c r="H1876" s="103"/>
      <c r="I1876" s="103"/>
      <c r="J1876" s="103"/>
      <c r="K1876" s="103"/>
      <c r="L1876" s="103"/>
      <c r="N1876" s="103"/>
      <c r="O1876" s="103"/>
      <c r="Q1876" s="16"/>
      <c r="R1876" s="16"/>
      <c r="S1876" s="16"/>
      <c r="T1876" s="103"/>
      <c r="U1876" s="16"/>
      <c r="V1876" s="16"/>
      <c r="W1876" s="16"/>
      <c r="X1876" s="103"/>
    </row>
    <row r="1877" spans="2:24" x14ac:dyDescent="0.25">
      <c r="B1877" s="103"/>
      <c r="C1877" s="103"/>
      <c r="D1877" s="103"/>
      <c r="E1877" s="103"/>
      <c r="F1877" s="103"/>
      <c r="H1877" s="103"/>
      <c r="I1877" s="103"/>
      <c r="J1877" s="103"/>
      <c r="K1877" s="103"/>
      <c r="L1877" s="103"/>
      <c r="N1877" s="103"/>
      <c r="O1877" s="103"/>
      <c r="Q1877" s="16"/>
      <c r="R1877" s="16"/>
      <c r="S1877" s="16"/>
      <c r="T1877" s="103"/>
      <c r="U1877" s="16"/>
      <c r="V1877" s="16"/>
      <c r="W1877" s="16"/>
      <c r="X1877" s="103"/>
    </row>
    <row r="1878" spans="2:24" x14ac:dyDescent="0.25">
      <c r="B1878" s="103"/>
      <c r="C1878" s="103"/>
      <c r="D1878" s="103"/>
      <c r="E1878" s="103"/>
      <c r="F1878" s="103"/>
      <c r="H1878" s="103"/>
      <c r="I1878" s="103"/>
      <c r="J1878" s="103"/>
      <c r="K1878" s="103"/>
      <c r="L1878" s="103"/>
      <c r="N1878" s="103"/>
      <c r="O1878" s="103"/>
      <c r="Q1878" s="16"/>
      <c r="R1878" s="16"/>
      <c r="S1878" s="16"/>
      <c r="T1878" s="103"/>
      <c r="U1878" s="16"/>
      <c r="V1878" s="16"/>
      <c r="W1878" s="16"/>
      <c r="X1878" s="103"/>
    </row>
    <row r="1879" spans="2:24" x14ac:dyDescent="0.25">
      <c r="B1879" s="103"/>
      <c r="C1879" s="103"/>
      <c r="D1879" s="103"/>
      <c r="E1879" s="103"/>
      <c r="F1879" s="103"/>
      <c r="H1879" s="103"/>
      <c r="I1879" s="103"/>
      <c r="J1879" s="103"/>
      <c r="K1879" s="103"/>
      <c r="L1879" s="103"/>
      <c r="N1879" s="103"/>
      <c r="O1879" s="103"/>
      <c r="Q1879" s="16"/>
      <c r="R1879" s="16"/>
      <c r="S1879" s="16"/>
      <c r="T1879" s="103"/>
      <c r="U1879" s="16"/>
      <c r="V1879" s="16"/>
      <c r="W1879" s="16"/>
      <c r="X1879" s="103"/>
    </row>
    <row r="1880" spans="2:24" x14ac:dyDescent="0.25">
      <c r="B1880" s="103"/>
      <c r="C1880" s="103"/>
      <c r="D1880" s="103"/>
      <c r="E1880" s="103"/>
      <c r="F1880" s="103"/>
      <c r="H1880" s="103"/>
      <c r="I1880" s="103"/>
      <c r="J1880" s="103"/>
      <c r="K1880" s="103"/>
      <c r="L1880" s="103"/>
      <c r="N1880" s="103"/>
      <c r="O1880" s="103"/>
      <c r="Q1880" s="16"/>
      <c r="R1880" s="16"/>
      <c r="S1880" s="16"/>
      <c r="T1880" s="103"/>
      <c r="U1880" s="16"/>
      <c r="V1880" s="16"/>
      <c r="W1880" s="16"/>
      <c r="X1880" s="103"/>
    </row>
    <row r="1881" spans="2:24" x14ac:dyDescent="0.25">
      <c r="B1881" s="103"/>
      <c r="C1881" s="103"/>
      <c r="D1881" s="103"/>
      <c r="E1881" s="103"/>
      <c r="F1881" s="103"/>
      <c r="H1881" s="103"/>
      <c r="I1881" s="103"/>
      <c r="J1881" s="103"/>
      <c r="K1881" s="103"/>
      <c r="L1881" s="103"/>
      <c r="N1881" s="103"/>
      <c r="O1881" s="103"/>
      <c r="Q1881" s="16"/>
      <c r="R1881" s="16"/>
      <c r="S1881" s="16"/>
      <c r="T1881" s="103"/>
      <c r="U1881" s="16"/>
      <c r="V1881" s="16"/>
      <c r="W1881" s="16"/>
      <c r="X1881" s="103"/>
    </row>
    <row r="1882" spans="2:24" x14ac:dyDescent="0.25">
      <c r="B1882" s="103"/>
      <c r="C1882" s="103"/>
      <c r="D1882" s="103"/>
      <c r="E1882" s="103"/>
      <c r="F1882" s="103"/>
      <c r="H1882" s="103"/>
      <c r="I1882" s="103"/>
      <c r="J1882" s="103"/>
      <c r="K1882" s="103"/>
      <c r="L1882" s="103"/>
      <c r="N1882" s="103"/>
      <c r="O1882" s="103"/>
      <c r="Q1882" s="16"/>
      <c r="R1882" s="16"/>
      <c r="S1882" s="16"/>
      <c r="T1882" s="103"/>
      <c r="U1882" s="16"/>
      <c r="V1882" s="16"/>
      <c r="W1882" s="16"/>
      <c r="X1882" s="103"/>
    </row>
    <row r="1883" spans="2:24" x14ac:dyDescent="0.25">
      <c r="B1883" s="103"/>
      <c r="C1883" s="103"/>
      <c r="D1883" s="103"/>
      <c r="E1883" s="103"/>
      <c r="F1883" s="103"/>
      <c r="H1883" s="103"/>
      <c r="I1883" s="103"/>
      <c r="J1883" s="103"/>
      <c r="K1883" s="103"/>
      <c r="L1883" s="103"/>
      <c r="N1883" s="103"/>
      <c r="O1883" s="103"/>
      <c r="Q1883" s="16"/>
      <c r="R1883" s="16"/>
      <c r="S1883" s="16"/>
      <c r="T1883" s="103"/>
      <c r="U1883" s="16"/>
      <c r="V1883" s="16"/>
      <c r="W1883" s="16"/>
      <c r="X1883" s="103"/>
    </row>
    <row r="1884" spans="2:24" x14ac:dyDescent="0.25">
      <c r="B1884" s="103"/>
      <c r="C1884" s="103"/>
      <c r="D1884" s="103"/>
      <c r="E1884" s="103"/>
      <c r="F1884" s="103"/>
      <c r="H1884" s="103"/>
      <c r="I1884" s="103"/>
      <c r="J1884" s="103"/>
      <c r="K1884" s="103"/>
      <c r="L1884" s="103"/>
      <c r="N1884" s="103"/>
      <c r="O1884" s="103"/>
      <c r="Q1884" s="16"/>
      <c r="R1884" s="16"/>
      <c r="S1884" s="16"/>
      <c r="T1884" s="103"/>
      <c r="U1884" s="16"/>
      <c r="V1884" s="16"/>
      <c r="W1884" s="16"/>
      <c r="X1884" s="103"/>
    </row>
    <row r="1885" spans="2:24" x14ac:dyDescent="0.25">
      <c r="B1885" s="103"/>
      <c r="C1885" s="103"/>
      <c r="D1885" s="103"/>
      <c r="E1885" s="103"/>
      <c r="F1885" s="103"/>
      <c r="H1885" s="103"/>
      <c r="I1885" s="103"/>
      <c r="J1885" s="103"/>
      <c r="K1885" s="103"/>
      <c r="L1885" s="103"/>
      <c r="N1885" s="103"/>
      <c r="O1885" s="103"/>
      <c r="Q1885" s="16"/>
      <c r="R1885" s="16"/>
      <c r="S1885" s="16"/>
      <c r="T1885" s="103"/>
      <c r="U1885" s="16"/>
      <c r="V1885" s="16"/>
      <c r="W1885" s="16"/>
      <c r="X1885" s="103"/>
    </row>
    <row r="1886" spans="2:24" x14ac:dyDescent="0.25">
      <c r="B1886" s="103"/>
      <c r="C1886" s="103"/>
      <c r="D1886" s="103"/>
      <c r="E1886" s="103"/>
      <c r="F1886" s="103"/>
      <c r="H1886" s="103"/>
      <c r="I1886" s="103"/>
      <c r="J1886" s="103"/>
      <c r="K1886" s="103"/>
      <c r="L1886" s="103"/>
      <c r="N1886" s="103"/>
      <c r="O1886" s="103"/>
      <c r="Q1886" s="16"/>
      <c r="R1886" s="16"/>
      <c r="S1886" s="16"/>
      <c r="T1886" s="103"/>
      <c r="U1886" s="16"/>
      <c r="V1886" s="16"/>
      <c r="W1886" s="16"/>
      <c r="X1886" s="103"/>
    </row>
    <row r="1887" spans="2:24" x14ac:dyDescent="0.25">
      <c r="B1887" s="103"/>
      <c r="C1887" s="103"/>
      <c r="D1887" s="103"/>
      <c r="E1887" s="103"/>
      <c r="F1887" s="103"/>
      <c r="H1887" s="103"/>
      <c r="I1887" s="103"/>
      <c r="J1887" s="103"/>
      <c r="K1887" s="103"/>
      <c r="L1887" s="103"/>
      <c r="N1887" s="103"/>
      <c r="O1887" s="103"/>
      <c r="Q1887" s="16"/>
      <c r="R1887" s="16"/>
      <c r="S1887" s="16"/>
      <c r="T1887" s="103"/>
      <c r="U1887" s="16"/>
      <c r="V1887" s="16"/>
      <c r="W1887" s="16"/>
      <c r="X1887" s="103"/>
    </row>
    <row r="1888" spans="2:24" x14ac:dyDescent="0.25">
      <c r="B1888" s="103"/>
      <c r="C1888" s="103"/>
      <c r="D1888" s="103"/>
      <c r="E1888" s="103"/>
      <c r="F1888" s="103"/>
      <c r="H1888" s="103"/>
      <c r="I1888" s="103"/>
      <c r="J1888" s="103"/>
      <c r="K1888" s="103"/>
      <c r="L1888" s="103"/>
      <c r="N1888" s="103"/>
      <c r="O1888" s="103"/>
      <c r="Q1888" s="16"/>
      <c r="R1888" s="16"/>
      <c r="S1888" s="16"/>
      <c r="T1888" s="103"/>
      <c r="U1888" s="16"/>
      <c r="V1888" s="16"/>
      <c r="W1888" s="16"/>
      <c r="X1888" s="103"/>
    </row>
    <row r="1889" spans="2:24" x14ac:dyDescent="0.25">
      <c r="B1889" s="103"/>
      <c r="C1889" s="103"/>
      <c r="D1889" s="103"/>
      <c r="E1889" s="103"/>
      <c r="F1889" s="103"/>
      <c r="H1889" s="103"/>
      <c r="I1889" s="103"/>
      <c r="J1889" s="103"/>
      <c r="K1889" s="103"/>
      <c r="L1889" s="103"/>
      <c r="N1889" s="103"/>
      <c r="O1889" s="103"/>
      <c r="Q1889" s="16"/>
      <c r="R1889" s="16"/>
      <c r="S1889" s="16"/>
      <c r="T1889" s="103"/>
      <c r="U1889" s="16"/>
      <c r="V1889" s="16"/>
      <c r="W1889" s="16"/>
      <c r="X1889" s="103"/>
    </row>
    <row r="1890" spans="2:24" x14ac:dyDescent="0.25">
      <c r="B1890" s="103"/>
      <c r="C1890" s="103"/>
      <c r="D1890" s="103"/>
      <c r="E1890" s="103"/>
      <c r="F1890" s="103"/>
      <c r="H1890" s="103"/>
      <c r="I1890" s="103"/>
      <c r="J1890" s="103"/>
      <c r="K1890" s="103"/>
      <c r="L1890" s="103"/>
      <c r="N1890" s="103"/>
      <c r="O1890" s="103"/>
      <c r="Q1890" s="16"/>
      <c r="R1890" s="16"/>
      <c r="S1890" s="16"/>
      <c r="T1890" s="103"/>
      <c r="U1890" s="16"/>
      <c r="V1890" s="16"/>
      <c r="W1890" s="16"/>
      <c r="X1890" s="103"/>
    </row>
    <row r="1891" spans="2:24" x14ac:dyDescent="0.25">
      <c r="B1891" s="103"/>
      <c r="C1891" s="103"/>
      <c r="D1891" s="103"/>
      <c r="E1891" s="103"/>
      <c r="F1891" s="103"/>
      <c r="H1891" s="103"/>
      <c r="I1891" s="103"/>
      <c r="J1891" s="103"/>
      <c r="K1891" s="103"/>
      <c r="L1891" s="103"/>
      <c r="N1891" s="103"/>
      <c r="O1891" s="103"/>
      <c r="Q1891" s="16"/>
      <c r="R1891" s="16"/>
      <c r="S1891" s="16"/>
      <c r="T1891" s="103"/>
      <c r="U1891" s="16"/>
      <c r="V1891" s="16"/>
      <c r="W1891" s="16"/>
      <c r="X1891" s="103"/>
    </row>
    <row r="1892" spans="2:24" x14ac:dyDescent="0.25">
      <c r="B1892" s="103"/>
      <c r="C1892" s="103"/>
      <c r="D1892" s="103"/>
      <c r="E1892" s="103"/>
      <c r="F1892" s="103"/>
      <c r="H1892" s="103"/>
      <c r="I1892" s="103"/>
      <c r="J1892" s="103"/>
      <c r="K1892" s="103"/>
      <c r="L1892" s="103"/>
      <c r="N1892" s="103"/>
      <c r="O1892" s="103"/>
      <c r="Q1892" s="16"/>
      <c r="R1892" s="16"/>
      <c r="S1892" s="16"/>
      <c r="T1892" s="103"/>
      <c r="U1892" s="16"/>
      <c r="V1892" s="16"/>
      <c r="W1892" s="16"/>
      <c r="X1892" s="103"/>
    </row>
    <row r="1893" spans="2:24" x14ac:dyDescent="0.25">
      <c r="B1893" s="103"/>
      <c r="C1893" s="103"/>
      <c r="D1893" s="103"/>
      <c r="E1893" s="103"/>
      <c r="F1893" s="103"/>
      <c r="H1893" s="103"/>
      <c r="I1893" s="103"/>
      <c r="J1893" s="103"/>
      <c r="K1893" s="103"/>
      <c r="L1893" s="103"/>
      <c r="N1893" s="103"/>
      <c r="O1893" s="103"/>
      <c r="Q1893" s="16"/>
      <c r="R1893" s="16"/>
      <c r="S1893" s="16"/>
      <c r="T1893" s="103"/>
      <c r="U1893" s="16"/>
      <c r="V1893" s="16"/>
      <c r="W1893" s="16"/>
      <c r="X1893" s="103"/>
    </row>
    <row r="1894" spans="2:24" x14ac:dyDescent="0.25">
      <c r="B1894" s="103"/>
      <c r="C1894" s="103"/>
      <c r="D1894" s="103"/>
      <c r="E1894" s="103"/>
      <c r="F1894" s="103"/>
      <c r="H1894" s="103"/>
      <c r="I1894" s="103"/>
      <c r="J1894" s="103"/>
      <c r="K1894" s="103"/>
      <c r="L1894" s="103"/>
      <c r="N1894" s="103"/>
      <c r="O1894" s="103"/>
      <c r="Q1894" s="16"/>
      <c r="R1894" s="16"/>
      <c r="S1894" s="16"/>
      <c r="T1894" s="103"/>
      <c r="U1894" s="16"/>
      <c r="V1894" s="16"/>
      <c r="W1894" s="16"/>
      <c r="X1894" s="103"/>
    </row>
    <row r="1895" spans="2:24" x14ac:dyDescent="0.25">
      <c r="B1895" s="103"/>
      <c r="C1895" s="103"/>
      <c r="D1895" s="103"/>
      <c r="E1895" s="103"/>
      <c r="F1895" s="103"/>
      <c r="H1895" s="103"/>
      <c r="I1895" s="103"/>
      <c r="J1895" s="103"/>
      <c r="K1895" s="103"/>
      <c r="L1895" s="103"/>
      <c r="N1895" s="103"/>
      <c r="O1895" s="103"/>
      <c r="Q1895" s="16"/>
      <c r="R1895" s="16"/>
      <c r="S1895" s="16"/>
      <c r="T1895" s="103"/>
      <c r="U1895" s="16"/>
      <c r="V1895" s="16"/>
      <c r="W1895" s="16"/>
      <c r="X1895" s="103"/>
    </row>
    <row r="1896" spans="2:24" x14ac:dyDescent="0.25">
      <c r="B1896" s="103"/>
      <c r="C1896" s="103"/>
      <c r="D1896" s="103"/>
      <c r="E1896" s="103"/>
      <c r="F1896" s="103"/>
      <c r="H1896" s="103"/>
      <c r="I1896" s="103"/>
      <c r="J1896" s="103"/>
      <c r="K1896" s="103"/>
      <c r="L1896" s="103"/>
      <c r="N1896" s="103"/>
      <c r="O1896" s="103"/>
      <c r="Q1896" s="16"/>
      <c r="R1896" s="16"/>
      <c r="S1896" s="16"/>
      <c r="T1896" s="103"/>
      <c r="U1896" s="16"/>
      <c r="V1896" s="16"/>
      <c r="W1896" s="16"/>
      <c r="X1896" s="103"/>
    </row>
    <row r="1897" spans="2:24" x14ac:dyDescent="0.25">
      <c r="B1897" s="103"/>
      <c r="C1897" s="103"/>
      <c r="D1897" s="103"/>
      <c r="E1897" s="103"/>
      <c r="F1897" s="103"/>
      <c r="H1897" s="103"/>
      <c r="I1897" s="103"/>
      <c r="J1897" s="103"/>
      <c r="K1897" s="103"/>
      <c r="L1897" s="103"/>
      <c r="N1897" s="103"/>
      <c r="O1897" s="103"/>
      <c r="Q1897" s="16"/>
      <c r="R1897" s="16"/>
      <c r="S1897" s="16"/>
      <c r="T1897" s="103"/>
      <c r="U1897" s="16"/>
      <c r="V1897" s="16"/>
      <c r="W1897" s="16"/>
      <c r="X1897" s="103"/>
    </row>
    <row r="1898" spans="2:24" x14ac:dyDescent="0.25">
      <c r="B1898" s="103"/>
      <c r="C1898" s="103"/>
      <c r="D1898" s="103"/>
      <c r="E1898" s="103"/>
      <c r="F1898" s="103"/>
      <c r="H1898" s="103"/>
      <c r="I1898" s="103"/>
      <c r="J1898" s="103"/>
      <c r="K1898" s="103"/>
      <c r="L1898" s="103"/>
      <c r="N1898" s="103"/>
      <c r="O1898" s="103"/>
      <c r="Q1898" s="16"/>
      <c r="R1898" s="16"/>
      <c r="S1898" s="16"/>
      <c r="T1898" s="103"/>
      <c r="U1898" s="16"/>
      <c r="V1898" s="16"/>
      <c r="W1898" s="16"/>
      <c r="X1898" s="103"/>
    </row>
    <row r="1899" spans="2:24" x14ac:dyDescent="0.25">
      <c r="B1899" s="103"/>
      <c r="C1899" s="103"/>
      <c r="D1899" s="103"/>
      <c r="E1899" s="103"/>
      <c r="F1899" s="103"/>
      <c r="H1899" s="103"/>
      <c r="I1899" s="103"/>
      <c r="J1899" s="103"/>
      <c r="K1899" s="103"/>
      <c r="L1899" s="103"/>
      <c r="N1899" s="103"/>
      <c r="O1899" s="103"/>
      <c r="Q1899" s="16"/>
      <c r="R1899" s="16"/>
      <c r="S1899" s="16"/>
      <c r="T1899" s="103"/>
      <c r="U1899" s="16"/>
      <c r="V1899" s="16"/>
      <c r="W1899" s="16"/>
      <c r="X1899" s="103"/>
    </row>
    <row r="1900" spans="2:24" x14ac:dyDescent="0.25">
      <c r="B1900" s="103"/>
      <c r="C1900" s="103"/>
      <c r="D1900" s="103"/>
      <c r="E1900" s="103"/>
      <c r="F1900" s="103"/>
      <c r="H1900" s="103"/>
      <c r="I1900" s="103"/>
      <c r="J1900" s="103"/>
      <c r="K1900" s="103"/>
      <c r="L1900" s="103"/>
      <c r="N1900" s="103"/>
      <c r="O1900" s="103"/>
      <c r="Q1900" s="16"/>
      <c r="R1900" s="16"/>
      <c r="S1900" s="16"/>
      <c r="T1900" s="103"/>
      <c r="U1900" s="16"/>
      <c r="V1900" s="16"/>
      <c r="W1900" s="16"/>
      <c r="X1900" s="103"/>
    </row>
    <row r="1901" spans="2:24" x14ac:dyDescent="0.25">
      <c r="B1901" s="103"/>
      <c r="C1901" s="103"/>
      <c r="D1901" s="103"/>
      <c r="E1901" s="103"/>
      <c r="F1901" s="103"/>
      <c r="H1901" s="103"/>
      <c r="I1901" s="103"/>
      <c r="J1901" s="103"/>
      <c r="K1901" s="103"/>
      <c r="L1901" s="103"/>
      <c r="N1901" s="103"/>
      <c r="O1901" s="103"/>
      <c r="Q1901" s="16"/>
      <c r="R1901" s="16"/>
      <c r="S1901" s="16"/>
      <c r="T1901" s="103"/>
      <c r="U1901" s="16"/>
      <c r="V1901" s="16"/>
      <c r="W1901" s="16"/>
      <c r="X1901" s="103"/>
    </row>
    <row r="1902" spans="2:24" x14ac:dyDescent="0.25">
      <c r="B1902" s="103"/>
      <c r="C1902" s="103"/>
      <c r="D1902" s="103"/>
      <c r="E1902" s="103"/>
      <c r="F1902" s="103"/>
      <c r="H1902" s="103"/>
      <c r="I1902" s="103"/>
      <c r="J1902" s="103"/>
      <c r="K1902" s="103"/>
      <c r="L1902" s="103"/>
      <c r="N1902" s="103"/>
      <c r="O1902" s="103"/>
      <c r="Q1902" s="16"/>
      <c r="R1902" s="16"/>
      <c r="S1902" s="16"/>
      <c r="T1902" s="103"/>
      <c r="U1902" s="16"/>
      <c r="V1902" s="16"/>
      <c r="W1902" s="16"/>
      <c r="X1902" s="103"/>
    </row>
    <row r="1903" spans="2:24" x14ac:dyDescent="0.25">
      <c r="B1903" s="103"/>
      <c r="C1903" s="103"/>
      <c r="D1903" s="103"/>
      <c r="E1903" s="103"/>
      <c r="F1903" s="103"/>
      <c r="H1903" s="103"/>
      <c r="I1903" s="103"/>
      <c r="J1903" s="103"/>
      <c r="K1903" s="103"/>
      <c r="L1903" s="103"/>
      <c r="N1903" s="103"/>
      <c r="O1903" s="103"/>
      <c r="Q1903" s="16"/>
      <c r="R1903" s="16"/>
      <c r="S1903" s="16"/>
      <c r="T1903" s="103"/>
      <c r="U1903" s="16"/>
      <c r="V1903" s="16"/>
      <c r="W1903" s="16"/>
      <c r="X1903" s="103"/>
    </row>
    <row r="1904" spans="2:24" x14ac:dyDescent="0.25">
      <c r="B1904" s="103"/>
      <c r="C1904" s="103"/>
      <c r="D1904" s="103"/>
      <c r="E1904" s="103"/>
      <c r="F1904" s="103"/>
      <c r="H1904" s="103"/>
      <c r="I1904" s="103"/>
      <c r="J1904" s="103"/>
      <c r="K1904" s="103"/>
      <c r="L1904" s="103"/>
      <c r="N1904" s="103"/>
      <c r="O1904" s="103"/>
      <c r="Q1904" s="16"/>
      <c r="R1904" s="16"/>
      <c r="S1904" s="16"/>
      <c r="T1904" s="103"/>
      <c r="U1904" s="16"/>
      <c r="V1904" s="16"/>
      <c r="W1904" s="16"/>
      <c r="X1904" s="103"/>
    </row>
    <row r="1905" spans="2:24" x14ac:dyDescent="0.25">
      <c r="B1905" s="103"/>
      <c r="C1905" s="103"/>
      <c r="D1905" s="103"/>
      <c r="E1905" s="103"/>
      <c r="F1905" s="103"/>
      <c r="H1905" s="103"/>
      <c r="I1905" s="103"/>
      <c r="J1905" s="103"/>
      <c r="K1905" s="103"/>
      <c r="L1905" s="103"/>
      <c r="N1905" s="103"/>
      <c r="O1905" s="103"/>
      <c r="Q1905" s="16"/>
      <c r="R1905" s="16"/>
      <c r="S1905" s="16"/>
      <c r="T1905" s="103"/>
      <c r="U1905" s="16"/>
      <c r="V1905" s="16"/>
      <c r="W1905" s="16"/>
      <c r="X1905" s="103"/>
    </row>
    <row r="1906" spans="2:24" x14ac:dyDescent="0.25">
      <c r="B1906" s="103"/>
      <c r="C1906" s="103"/>
      <c r="D1906" s="103"/>
      <c r="E1906" s="103"/>
      <c r="F1906" s="103"/>
      <c r="H1906" s="103"/>
      <c r="I1906" s="103"/>
      <c r="J1906" s="103"/>
      <c r="K1906" s="103"/>
      <c r="L1906" s="103"/>
      <c r="N1906" s="103"/>
      <c r="O1906" s="103"/>
      <c r="Q1906" s="16"/>
      <c r="R1906" s="16"/>
      <c r="S1906" s="16"/>
      <c r="T1906" s="103"/>
      <c r="U1906" s="16"/>
      <c r="V1906" s="16"/>
      <c r="W1906" s="16"/>
      <c r="X1906" s="103"/>
    </row>
    <row r="1907" spans="2:24" x14ac:dyDescent="0.25">
      <c r="B1907" s="103"/>
      <c r="C1907" s="103"/>
      <c r="D1907" s="103"/>
      <c r="E1907" s="103"/>
      <c r="F1907" s="103"/>
      <c r="H1907" s="103"/>
      <c r="I1907" s="103"/>
      <c r="J1907" s="103"/>
      <c r="K1907" s="103"/>
      <c r="L1907" s="103"/>
      <c r="N1907" s="103"/>
      <c r="O1907" s="103"/>
      <c r="Q1907" s="16"/>
      <c r="R1907" s="16"/>
      <c r="S1907" s="16"/>
      <c r="T1907" s="103"/>
      <c r="U1907" s="16"/>
      <c r="V1907" s="16"/>
      <c r="W1907" s="16"/>
      <c r="X1907" s="103"/>
    </row>
    <row r="1908" spans="2:24" x14ac:dyDescent="0.25">
      <c r="B1908" s="103"/>
      <c r="C1908" s="103"/>
      <c r="D1908" s="103"/>
      <c r="E1908" s="103"/>
      <c r="F1908" s="103"/>
      <c r="H1908" s="103"/>
      <c r="I1908" s="103"/>
      <c r="J1908" s="103"/>
      <c r="K1908" s="103"/>
      <c r="L1908" s="103"/>
      <c r="N1908" s="103"/>
      <c r="O1908" s="103"/>
      <c r="Q1908" s="16"/>
      <c r="R1908" s="16"/>
      <c r="S1908" s="16"/>
      <c r="T1908" s="103"/>
      <c r="U1908" s="16"/>
      <c r="V1908" s="16"/>
      <c r="W1908" s="16"/>
      <c r="X1908" s="103"/>
    </row>
    <row r="1909" spans="2:24" x14ac:dyDescent="0.25">
      <c r="B1909" s="103"/>
      <c r="C1909" s="103"/>
      <c r="D1909" s="103"/>
      <c r="E1909" s="103"/>
      <c r="F1909" s="103"/>
      <c r="H1909" s="103"/>
      <c r="I1909" s="103"/>
      <c r="J1909" s="103"/>
      <c r="K1909" s="103"/>
      <c r="L1909" s="103"/>
      <c r="N1909" s="103"/>
      <c r="O1909" s="103"/>
      <c r="Q1909" s="16"/>
      <c r="R1909" s="16"/>
      <c r="S1909" s="16"/>
      <c r="T1909" s="103"/>
      <c r="U1909" s="16"/>
      <c r="V1909" s="16"/>
      <c r="W1909" s="16"/>
      <c r="X1909" s="103"/>
    </row>
    <row r="1910" spans="2:24" x14ac:dyDescent="0.25">
      <c r="B1910" s="103"/>
      <c r="C1910" s="103"/>
      <c r="D1910" s="103"/>
      <c r="E1910" s="103"/>
      <c r="F1910" s="103"/>
      <c r="H1910" s="103"/>
      <c r="I1910" s="103"/>
      <c r="J1910" s="103"/>
      <c r="K1910" s="103"/>
      <c r="L1910" s="103"/>
      <c r="N1910" s="103"/>
      <c r="O1910" s="103"/>
      <c r="Q1910" s="16"/>
      <c r="R1910" s="16"/>
      <c r="S1910" s="16"/>
      <c r="T1910" s="103"/>
      <c r="U1910" s="16"/>
      <c r="V1910" s="16"/>
      <c r="W1910" s="16"/>
      <c r="X1910" s="103"/>
    </row>
    <row r="1911" spans="2:24" x14ac:dyDescent="0.25">
      <c r="B1911" s="103"/>
      <c r="C1911" s="103"/>
      <c r="D1911" s="103"/>
      <c r="E1911" s="103"/>
      <c r="F1911" s="103"/>
      <c r="H1911" s="103"/>
      <c r="I1911" s="103"/>
      <c r="J1911" s="103"/>
      <c r="K1911" s="103"/>
      <c r="L1911" s="103"/>
      <c r="N1911" s="103"/>
      <c r="O1911" s="103"/>
      <c r="Q1911" s="16"/>
      <c r="R1911" s="16"/>
      <c r="S1911" s="16"/>
      <c r="T1911" s="103"/>
      <c r="U1911" s="16"/>
      <c r="V1911" s="16"/>
      <c r="W1911" s="16"/>
      <c r="X1911" s="103"/>
    </row>
    <row r="1912" spans="2:24" x14ac:dyDescent="0.25">
      <c r="B1912" s="103"/>
      <c r="C1912" s="103"/>
      <c r="D1912" s="103"/>
      <c r="E1912" s="103"/>
      <c r="F1912" s="103"/>
      <c r="H1912" s="103"/>
      <c r="I1912" s="103"/>
      <c r="J1912" s="103"/>
      <c r="K1912" s="103"/>
      <c r="L1912" s="103"/>
      <c r="N1912" s="103"/>
      <c r="O1912" s="103"/>
      <c r="Q1912" s="16"/>
      <c r="R1912" s="16"/>
      <c r="S1912" s="16"/>
      <c r="T1912" s="103"/>
      <c r="U1912" s="16"/>
      <c r="V1912" s="16"/>
      <c r="W1912" s="16"/>
      <c r="X1912" s="103"/>
    </row>
    <row r="1913" spans="2:24" x14ac:dyDescent="0.25">
      <c r="B1913" s="103"/>
      <c r="C1913" s="103"/>
      <c r="D1913" s="103"/>
      <c r="E1913" s="103"/>
      <c r="F1913" s="103"/>
      <c r="H1913" s="103"/>
      <c r="I1913" s="103"/>
      <c r="J1913" s="103"/>
      <c r="K1913" s="103"/>
      <c r="L1913" s="103"/>
      <c r="N1913" s="103"/>
      <c r="O1913" s="103"/>
      <c r="Q1913" s="16"/>
      <c r="R1913" s="16"/>
      <c r="S1913" s="16"/>
      <c r="T1913" s="103"/>
      <c r="U1913" s="16"/>
      <c r="V1913" s="16"/>
      <c r="W1913" s="16"/>
      <c r="X1913" s="103"/>
    </row>
    <row r="1914" spans="2:24" x14ac:dyDescent="0.25">
      <c r="B1914" s="103"/>
      <c r="C1914" s="103"/>
      <c r="D1914" s="103"/>
      <c r="E1914" s="103"/>
      <c r="F1914" s="103"/>
      <c r="H1914" s="103"/>
      <c r="I1914" s="103"/>
      <c r="J1914" s="103"/>
      <c r="K1914" s="103"/>
      <c r="L1914" s="103"/>
      <c r="N1914" s="103"/>
      <c r="O1914" s="103"/>
      <c r="Q1914" s="16"/>
      <c r="R1914" s="16"/>
      <c r="S1914" s="16"/>
      <c r="T1914" s="103"/>
      <c r="U1914" s="16"/>
      <c r="V1914" s="16"/>
      <c r="W1914" s="16"/>
      <c r="X1914" s="103"/>
    </row>
    <row r="1915" spans="2:24" x14ac:dyDescent="0.25">
      <c r="B1915" s="103"/>
      <c r="C1915" s="103"/>
      <c r="D1915" s="103"/>
      <c r="E1915" s="103"/>
      <c r="F1915" s="103"/>
      <c r="H1915" s="103"/>
      <c r="I1915" s="103"/>
      <c r="J1915" s="103"/>
      <c r="K1915" s="103"/>
      <c r="L1915" s="103"/>
      <c r="N1915" s="103"/>
      <c r="O1915" s="103"/>
      <c r="Q1915" s="16"/>
      <c r="R1915" s="16"/>
      <c r="S1915" s="16"/>
      <c r="T1915" s="103"/>
      <c r="U1915" s="16"/>
      <c r="V1915" s="16"/>
      <c r="W1915" s="16"/>
      <c r="X1915" s="103"/>
    </row>
    <row r="1916" spans="2:24" x14ac:dyDescent="0.25">
      <c r="B1916" s="103"/>
      <c r="C1916" s="103"/>
      <c r="D1916" s="103"/>
      <c r="E1916" s="103"/>
      <c r="F1916" s="103"/>
      <c r="H1916" s="103"/>
      <c r="I1916" s="103"/>
      <c r="J1916" s="103"/>
      <c r="K1916" s="103"/>
      <c r="L1916" s="103"/>
      <c r="N1916" s="103"/>
      <c r="O1916" s="103"/>
      <c r="Q1916" s="16"/>
      <c r="R1916" s="16"/>
      <c r="S1916" s="16"/>
      <c r="T1916" s="103"/>
      <c r="U1916" s="16"/>
      <c r="V1916" s="16"/>
      <c r="W1916" s="16"/>
      <c r="X1916" s="103"/>
    </row>
    <row r="1917" spans="2:24" x14ac:dyDescent="0.25">
      <c r="B1917" s="103"/>
      <c r="C1917" s="103"/>
      <c r="D1917" s="103"/>
      <c r="E1917" s="103"/>
      <c r="F1917" s="103"/>
      <c r="H1917" s="103"/>
      <c r="I1917" s="103"/>
      <c r="J1917" s="103"/>
      <c r="K1917" s="103"/>
      <c r="L1917" s="103"/>
      <c r="N1917" s="103"/>
      <c r="O1917" s="103"/>
      <c r="Q1917" s="16"/>
      <c r="R1917" s="16"/>
      <c r="S1917" s="16"/>
      <c r="T1917" s="103"/>
      <c r="U1917" s="16"/>
      <c r="V1917" s="16"/>
      <c r="W1917" s="16"/>
      <c r="X1917" s="103"/>
    </row>
    <row r="1918" spans="2:24" x14ac:dyDescent="0.25">
      <c r="B1918" s="103"/>
      <c r="C1918" s="103"/>
      <c r="D1918" s="103"/>
      <c r="E1918" s="103"/>
      <c r="F1918" s="103"/>
      <c r="H1918" s="103"/>
      <c r="I1918" s="103"/>
      <c r="J1918" s="103"/>
      <c r="K1918" s="103"/>
      <c r="L1918" s="103"/>
      <c r="N1918" s="103"/>
      <c r="O1918" s="103"/>
      <c r="Q1918" s="16"/>
      <c r="R1918" s="16"/>
      <c r="S1918" s="16"/>
      <c r="T1918" s="103"/>
      <c r="U1918" s="16"/>
      <c r="V1918" s="16"/>
      <c r="W1918" s="16"/>
      <c r="X1918" s="103"/>
    </row>
    <row r="1919" spans="2:24" x14ac:dyDescent="0.25">
      <c r="B1919" s="103"/>
      <c r="C1919" s="103"/>
      <c r="D1919" s="103"/>
      <c r="E1919" s="103"/>
      <c r="F1919" s="103"/>
      <c r="H1919" s="103"/>
      <c r="I1919" s="103"/>
      <c r="J1919" s="103"/>
      <c r="K1919" s="103"/>
      <c r="L1919" s="103"/>
      <c r="N1919" s="103"/>
      <c r="O1919" s="103"/>
      <c r="Q1919" s="16"/>
      <c r="R1919" s="16"/>
      <c r="S1919" s="16"/>
      <c r="T1919" s="103"/>
      <c r="U1919" s="16"/>
      <c r="V1919" s="16"/>
      <c r="W1919" s="16"/>
      <c r="X1919" s="103"/>
    </row>
    <row r="1920" spans="2:24" x14ac:dyDescent="0.25">
      <c r="B1920" s="103"/>
      <c r="C1920" s="103"/>
      <c r="D1920" s="103"/>
      <c r="E1920" s="103"/>
      <c r="F1920" s="103"/>
      <c r="H1920" s="103"/>
      <c r="I1920" s="103"/>
      <c r="J1920" s="103"/>
      <c r="K1920" s="103"/>
      <c r="L1920" s="103"/>
      <c r="N1920" s="103"/>
      <c r="O1920" s="103"/>
      <c r="Q1920" s="16"/>
      <c r="R1920" s="16"/>
      <c r="S1920" s="16"/>
      <c r="T1920" s="103"/>
      <c r="U1920" s="16"/>
      <c r="V1920" s="16"/>
      <c r="W1920" s="16"/>
      <c r="X1920" s="103"/>
    </row>
    <row r="1921" spans="2:24" x14ac:dyDescent="0.25">
      <c r="B1921" s="103"/>
      <c r="C1921" s="103"/>
      <c r="D1921" s="103"/>
      <c r="E1921" s="103"/>
      <c r="F1921" s="103"/>
      <c r="H1921" s="103"/>
      <c r="I1921" s="103"/>
      <c r="J1921" s="103"/>
      <c r="K1921" s="103"/>
      <c r="L1921" s="103"/>
      <c r="N1921" s="103"/>
      <c r="O1921" s="103"/>
      <c r="Q1921" s="16"/>
      <c r="R1921" s="16"/>
      <c r="S1921" s="16"/>
      <c r="T1921" s="103"/>
      <c r="U1921" s="16"/>
      <c r="V1921" s="16"/>
      <c r="W1921" s="16"/>
      <c r="X1921" s="103"/>
    </row>
    <row r="1922" spans="2:24" x14ac:dyDescent="0.25">
      <c r="B1922" s="103"/>
      <c r="C1922" s="103"/>
      <c r="D1922" s="103"/>
      <c r="E1922" s="103"/>
      <c r="F1922" s="103"/>
      <c r="H1922" s="103"/>
      <c r="I1922" s="103"/>
      <c r="J1922" s="103"/>
      <c r="K1922" s="103"/>
      <c r="L1922" s="103"/>
      <c r="N1922" s="103"/>
      <c r="O1922" s="103"/>
      <c r="Q1922" s="16"/>
      <c r="R1922" s="16"/>
      <c r="S1922" s="16"/>
      <c r="T1922" s="103"/>
      <c r="U1922" s="16"/>
      <c r="V1922" s="16"/>
      <c r="W1922" s="16"/>
      <c r="X1922" s="103"/>
    </row>
    <row r="1923" spans="2:24" x14ac:dyDescent="0.25">
      <c r="B1923" s="103"/>
      <c r="C1923" s="103"/>
      <c r="D1923" s="103"/>
      <c r="E1923" s="103"/>
      <c r="F1923" s="103"/>
      <c r="H1923" s="103"/>
      <c r="I1923" s="103"/>
      <c r="J1923" s="103"/>
      <c r="K1923" s="103"/>
      <c r="L1923" s="103"/>
      <c r="N1923" s="103"/>
      <c r="O1923" s="103"/>
      <c r="Q1923" s="16"/>
      <c r="R1923" s="16"/>
      <c r="S1923" s="16"/>
      <c r="T1923" s="103"/>
      <c r="U1923" s="16"/>
      <c r="V1923" s="16"/>
      <c r="W1923" s="16"/>
      <c r="X1923" s="103"/>
    </row>
    <row r="1924" spans="2:24" x14ac:dyDescent="0.25">
      <c r="B1924" s="103"/>
      <c r="C1924" s="103"/>
      <c r="D1924" s="103"/>
      <c r="E1924" s="103"/>
      <c r="F1924" s="103"/>
      <c r="H1924" s="103"/>
      <c r="I1924" s="103"/>
      <c r="J1924" s="103"/>
      <c r="K1924" s="103"/>
      <c r="L1924" s="103"/>
      <c r="N1924" s="103"/>
      <c r="O1924" s="103"/>
      <c r="Q1924" s="16"/>
      <c r="R1924" s="16"/>
      <c r="S1924" s="16"/>
      <c r="T1924" s="103"/>
      <c r="U1924" s="16"/>
      <c r="V1924" s="16"/>
      <c r="W1924" s="16"/>
      <c r="X1924" s="103"/>
    </row>
    <row r="1925" spans="2:24" x14ac:dyDescent="0.25">
      <c r="B1925" s="103"/>
      <c r="C1925" s="103"/>
      <c r="D1925" s="103"/>
      <c r="E1925" s="103"/>
      <c r="F1925" s="103"/>
      <c r="H1925" s="103"/>
      <c r="I1925" s="103"/>
      <c r="J1925" s="103"/>
      <c r="K1925" s="103"/>
      <c r="L1925" s="103"/>
      <c r="N1925" s="103"/>
      <c r="O1925" s="103"/>
      <c r="Q1925" s="16"/>
      <c r="R1925" s="16"/>
      <c r="S1925" s="16"/>
      <c r="T1925" s="103"/>
      <c r="U1925" s="16"/>
      <c r="V1925" s="16"/>
      <c r="W1925" s="16"/>
      <c r="X1925" s="103"/>
    </row>
    <row r="1926" spans="2:24" x14ac:dyDescent="0.25">
      <c r="B1926" s="103"/>
      <c r="C1926" s="103"/>
      <c r="D1926" s="103"/>
      <c r="E1926" s="103"/>
      <c r="F1926" s="103"/>
      <c r="H1926" s="103"/>
      <c r="I1926" s="103"/>
      <c r="J1926" s="103"/>
      <c r="K1926" s="103"/>
      <c r="L1926" s="103"/>
      <c r="N1926" s="103"/>
      <c r="O1926" s="103"/>
      <c r="Q1926" s="16"/>
      <c r="R1926" s="16"/>
      <c r="S1926" s="16"/>
      <c r="T1926" s="103"/>
      <c r="U1926" s="16"/>
      <c r="V1926" s="16"/>
      <c r="W1926" s="16"/>
      <c r="X1926" s="103"/>
    </row>
    <row r="1927" spans="2:24" x14ac:dyDescent="0.25">
      <c r="B1927" s="103"/>
      <c r="C1927" s="103"/>
      <c r="D1927" s="103"/>
      <c r="E1927" s="103"/>
      <c r="F1927" s="103"/>
      <c r="H1927" s="103"/>
      <c r="I1927" s="103"/>
      <c r="J1927" s="103"/>
      <c r="K1927" s="103"/>
      <c r="L1927" s="103"/>
      <c r="N1927" s="103"/>
      <c r="O1927" s="103"/>
      <c r="Q1927" s="16"/>
      <c r="R1927" s="16"/>
      <c r="S1927" s="16"/>
      <c r="T1927" s="103"/>
      <c r="U1927" s="16"/>
      <c r="V1927" s="16"/>
      <c r="W1927" s="16"/>
      <c r="X1927" s="103"/>
    </row>
    <row r="1928" spans="2:24" x14ac:dyDescent="0.25">
      <c r="B1928" s="103"/>
      <c r="C1928" s="103"/>
      <c r="D1928" s="103"/>
      <c r="E1928" s="103"/>
      <c r="F1928" s="103"/>
      <c r="H1928" s="103"/>
      <c r="I1928" s="103"/>
      <c r="J1928" s="103"/>
      <c r="K1928" s="103"/>
      <c r="L1928" s="103"/>
      <c r="N1928" s="103"/>
      <c r="O1928" s="103"/>
      <c r="Q1928" s="16"/>
      <c r="R1928" s="16"/>
      <c r="S1928" s="16"/>
      <c r="T1928" s="103"/>
      <c r="U1928" s="16"/>
      <c r="V1928" s="16"/>
      <c r="W1928" s="16"/>
      <c r="X1928" s="103"/>
    </row>
    <row r="1929" spans="2:24" x14ac:dyDescent="0.25">
      <c r="B1929" s="103"/>
      <c r="C1929" s="103"/>
      <c r="D1929" s="103"/>
      <c r="E1929" s="103"/>
      <c r="F1929" s="103"/>
      <c r="H1929" s="103"/>
      <c r="I1929" s="103"/>
      <c r="J1929" s="103"/>
      <c r="K1929" s="103"/>
      <c r="L1929" s="103"/>
      <c r="N1929" s="103"/>
      <c r="O1929" s="103"/>
      <c r="Q1929" s="16"/>
      <c r="R1929" s="16"/>
      <c r="S1929" s="16"/>
      <c r="T1929" s="103"/>
      <c r="U1929" s="16"/>
      <c r="V1929" s="16"/>
      <c r="W1929" s="16"/>
      <c r="X1929" s="103"/>
    </row>
    <row r="1930" spans="2:24" x14ac:dyDescent="0.25">
      <c r="B1930" s="103"/>
      <c r="C1930" s="103"/>
      <c r="D1930" s="103"/>
      <c r="E1930" s="103"/>
      <c r="F1930" s="103"/>
      <c r="H1930" s="103"/>
      <c r="I1930" s="103"/>
      <c r="J1930" s="103"/>
      <c r="K1930" s="103"/>
      <c r="L1930" s="103"/>
      <c r="N1930" s="103"/>
      <c r="O1930" s="103"/>
      <c r="Q1930" s="16"/>
      <c r="R1930" s="16"/>
      <c r="S1930" s="16"/>
      <c r="T1930" s="103"/>
      <c r="U1930" s="16"/>
      <c r="V1930" s="16"/>
      <c r="W1930" s="16"/>
      <c r="X1930" s="103"/>
    </row>
    <row r="1931" spans="2:24" x14ac:dyDescent="0.25">
      <c r="B1931" s="103"/>
      <c r="C1931" s="103"/>
      <c r="D1931" s="103"/>
      <c r="E1931" s="103"/>
      <c r="F1931" s="103"/>
      <c r="H1931" s="103"/>
      <c r="I1931" s="103"/>
      <c r="J1931" s="103"/>
      <c r="K1931" s="103"/>
      <c r="L1931" s="103"/>
      <c r="N1931" s="103"/>
      <c r="O1931" s="103"/>
      <c r="Q1931" s="16"/>
      <c r="R1931" s="16"/>
      <c r="S1931" s="16"/>
      <c r="T1931" s="103"/>
      <c r="U1931" s="16"/>
      <c r="V1931" s="16"/>
      <c r="W1931" s="16"/>
      <c r="X1931" s="103"/>
    </row>
    <row r="1932" spans="2:24" x14ac:dyDescent="0.25">
      <c r="B1932" s="103"/>
      <c r="C1932" s="103"/>
      <c r="D1932" s="103"/>
      <c r="E1932" s="103"/>
      <c r="F1932" s="103"/>
      <c r="H1932" s="103"/>
      <c r="I1932" s="103"/>
      <c r="J1932" s="103"/>
      <c r="K1932" s="103"/>
      <c r="L1932" s="103"/>
      <c r="N1932" s="103"/>
      <c r="O1932" s="103"/>
      <c r="Q1932" s="16"/>
      <c r="R1932" s="16"/>
      <c r="S1932" s="16"/>
      <c r="T1932" s="103"/>
      <c r="U1932" s="16"/>
      <c r="V1932" s="16"/>
      <c r="W1932" s="16"/>
      <c r="X1932" s="103"/>
    </row>
    <row r="1933" spans="2:24" x14ac:dyDescent="0.25">
      <c r="B1933" s="103"/>
      <c r="C1933" s="103"/>
      <c r="D1933" s="103"/>
      <c r="E1933" s="103"/>
      <c r="F1933" s="103"/>
      <c r="H1933" s="103"/>
      <c r="I1933" s="103"/>
      <c r="J1933" s="103"/>
      <c r="K1933" s="103"/>
      <c r="L1933" s="103"/>
      <c r="N1933" s="103"/>
      <c r="O1933" s="103"/>
      <c r="Q1933" s="16"/>
      <c r="R1933" s="16"/>
      <c r="S1933" s="16"/>
      <c r="T1933" s="103"/>
      <c r="U1933" s="16"/>
      <c r="V1933" s="16"/>
      <c r="W1933" s="16"/>
      <c r="X1933" s="103"/>
    </row>
    <row r="1934" spans="2:24" x14ac:dyDescent="0.25">
      <c r="B1934" s="103"/>
      <c r="C1934" s="103"/>
      <c r="D1934" s="103"/>
      <c r="E1934" s="103"/>
      <c r="F1934" s="103"/>
      <c r="H1934" s="103"/>
      <c r="I1934" s="103"/>
      <c r="J1934" s="103"/>
      <c r="K1934" s="103"/>
      <c r="L1934" s="103"/>
      <c r="N1934" s="103"/>
      <c r="O1934" s="103"/>
      <c r="Q1934" s="16"/>
      <c r="R1934" s="16"/>
      <c r="S1934" s="16"/>
      <c r="T1934" s="103"/>
      <c r="U1934" s="16"/>
      <c r="V1934" s="16"/>
      <c r="W1934" s="16"/>
      <c r="X1934" s="103"/>
    </row>
    <row r="1935" spans="2:24" x14ac:dyDescent="0.25">
      <c r="B1935" s="103"/>
      <c r="C1935" s="103"/>
      <c r="D1935" s="103"/>
      <c r="E1935" s="103"/>
      <c r="F1935" s="103"/>
      <c r="H1935" s="103"/>
      <c r="I1935" s="103"/>
      <c r="J1935" s="103"/>
      <c r="K1935" s="103"/>
      <c r="L1935" s="103"/>
      <c r="N1935" s="103"/>
      <c r="O1935" s="103"/>
      <c r="Q1935" s="16"/>
      <c r="R1935" s="16"/>
      <c r="S1935" s="16"/>
      <c r="T1935" s="103"/>
      <c r="U1935" s="16"/>
      <c r="V1935" s="16"/>
      <c r="W1935" s="16"/>
      <c r="X1935" s="103"/>
    </row>
    <row r="1936" spans="2:24" x14ac:dyDescent="0.25">
      <c r="B1936" s="103"/>
      <c r="C1936" s="103"/>
      <c r="D1936" s="103"/>
      <c r="E1936" s="103"/>
      <c r="F1936" s="103"/>
      <c r="H1936" s="103"/>
      <c r="I1936" s="103"/>
      <c r="J1936" s="103"/>
      <c r="K1936" s="103"/>
      <c r="L1936" s="103"/>
      <c r="N1936" s="103"/>
      <c r="O1936" s="103"/>
      <c r="Q1936" s="16"/>
      <c r="R1936" s="16"/>
      <c r="S1936" s="16"/>
      <c r="T1936" s="103"/>
      <c r="U1936" s="16"/>
      <c r="V1936" s="16"/>
      <c r="W1936" s="16"/>
      <c r="X1936" s="103"/>
    </row>
    <row r="1937" spans="2:24" x14ac:dyDescent="0.25">
      <c r="B1937" s="103"/>
      <c r="C1937" s="103"/>
      <c r="D1937" s="103"/>
      <c r="E1937" s="103"/>
      <c r="F1937" s="103"/>
      <c r="H1937" s="103"/>
      <c r="I1937" s="103"/>
      <c r="J1937" s="103"/>
      <c r="K1937" s="103"/>
      <c r="L1937" s="103"/>
      <c r="N1937" s="103"/>
      <c r="O1937" s="103"/>
      <c r="Q1937" s="16"/>
      <c r="R1937" s="16"/>
      <c r="S1937" s="16"/>
      <c r="T1937" s="103"/>
      <c r="U1937" s="16"/>
      <c r="V1937" s="16"/>
      <c r="W1937" s="16"/>
      <c r="X1937" s="103"/>
    </row>
    <row r="1938" spans="2:24" x14ac:dyDescent="0.25">
      <c r="B1938" s="103"/>
      <c r="C1938" s="103"/>
      <c r="D1938" s="103"/>
      <c r="E1938" s="103"/>
      <c r="F1938" s="103"/>
      <c r="H1938" s="103"/>
      <c r="I1938" s="103"/>
      <c r="J1938" s="103"/>
      <c r="K1938" s="103"/>
      <c r="L1938" s="103"/>
      <c r="N1938" s="103"/>
      <c r="O1938" s="103"/>
      <c r="Q1938" s="16"/>
      <c r="R1938" s="16"/>
      <c r="S1938" s="16"/>
      <c r="T1938" s="103"/>
      <c r="U1938" s="16"/>
      <c r="V1938" s="16"/>
      <c r="W1938" s="16"/>
      <c r="X1938" s="103"/>
    </row>
    <row r="1939" spans="2:24" x14ac:dyDescent="0.25">
      <c r="B1939" s="103"/>
      <c r="C1939" s="103"/>
      <c r="D1939" s="103"/>
      <c r="E1939" s="103"/>
      <c r="F1939" s="103"/>
      <c r="H1939" s="103"/>
      <c r="I1939" s="103"/>
      <c r="J1939" s="103"/>
      <c r="K1939" s="103"/>
      <c r="L1939" s="103"/>
      <c r="N1939" s="103"/>
      <c r="O1939" s="103"/>
      <c r="Q1939" s="16"/>
      <c r="R1939" s="16"/>
      <c r="S1939" s="16"/>
      <c r="T1939" s="103"/>
      <c r="U1939" s="16"/>
      <c r="V1939" s="16"/>
      <c r="W1939" s="16"/>
      <c r="X1939" s="103"/>
    </row>
    <row r="1940" spans="2:24" x14ac:dyDescent="0.25">
      <c r="B1940" s="103"/>
      <c r="C1940" s="103"/>
      <c r="D1940" s="103"/>
      <c r="E1940" s="103"/>
      <c r="F1940" s="103"/>
      <c r="H1940" s="103"/>
      <c r="I1940" s="103"/>
      <c r="J1940" s="103"/>
      <c r="K1940" s="103"/>
      <c r="L1940" s="103"/>
      <c r="N1940" s="103"/>
      <c r="O1940" s="103"/>
      <c r="Q1940" s="16"/>
      <c r="R1940" s="16"/>
      <c r="S1940" s="16"/>
      <c r="T1940" s="103"/>
      <c r="U1940" s="16"/>
      <c r="V1940" s="16"/>
      <c r="W1940" s="16"/>
      <c r="X1940" s="103"/>
    </row>
    <row r="1941" spans="2:24" x14ac:dyDescent="0.25">
      <c r="B1941" s="103"/>
      <c r="C1941" s="103"/>
      <c r="D1941" s="103"/>
      <c r="E1941" s="103"/>
      <c r="F1941" s="103"/>
      <c r="H1941" s="103"/>
      <c r="I1941" s="103"/>
      <c r="J1941" s="103"/>
      <c r="K1941" s="103"/>
      <c r="L1941" s="103"/>
      <c r="N1941" s="103"/>
      <c r="O1941" s="103"/>
      <c r="Q1941" s="16"/>
      <c r="R1941" s="16"/>
      <c r="S1941" s="16"/>
      <c r="T1941" s="103"/>
      <c r="U1941" s="16"/>
      <c r="V1941" s="16"/>
      <c r="W1941" s="16"/>
      <c r="X1941" s="103"/>
    </row>
    <row r="1942" spans="2:24" x14ac:dyDescent="0.25">
      <c r="B1942" s="103"/>
      <c r="C1942" s="103"/>
      <c r="D1942" s="103"/>
      <c r="E1942" s="103"/>
      <c r="F1942" s="103"/>
      <c r="H1942" s="103"/>
      <c r="I1942" s="103"/>
      <c r="J1942" s="103"/>
      <c r="K1942" s="103"/>
      <c r="L1942" s="103"/>
      <c r="N1942" s="103"/>
      <c r="O1942" s="103"/>
      <c r="Q1942" s="16"/>
      <c r="R1942" s="16"/>
      <c r="S1942" s="16"/>
      <c r="T1942" s="103"/>
      <c r="U1942" s="16"/>
      <c r="V1942" s="16"/>
      <c r="W1942" s="16"/>
      <c r="X1942" s="103"/>
    </row>
    <row r="1943" spans="2:24" x14ac:dyDescent="0.25">
      <c r="B1943" s="103"/>
      <c r="C1943" s="103"/>
      <c r="D1943" s="103"/>
      <c r="E1943" s="103"/>
      <c r="F1943" s="103"/>
      <c r="H1943" s="103"/>
      <c r="I1943" s="103"/>
      <c r="J1943" s="103"/>
      <c r="K1943" s="103"/>
      <c r="L1943" s="103"/>
      <c r="N1943" s="103"/>
      <c r="O1943" s="103"/>
      <c r="Q1943" s="16"/>
      <c r="R1943" s="16"/>
      <c r="S1943" s="16"/>
      <c r="T1943" s="103"/>
      <c r="U1943" s="16"/>
      <c r="V1943" s="16"/>
      <c r="W1943" s="16"/>
      <c r="X1943" s="103"/>
    </row>
    <row r="1944" spans="2:24" x14ac:dyDescent="0.25">
      <c r="B1944" s="103"/>
      <c r="C1944" s="103"/>
      <c r="D1944" s="103"/>
      <c r="E1944" s="103"/>
      <c r="F1944" s="103"/>
      <c r="H1944" s="103"/>
      <c r="I1944" s="103"/>
      <c r="J1944" s="103"/>
      <c r="K1944" s="103"/>
      <c r="L1944" s="103"/>
      <c r="N1944" s="103"/>
      <c r="O1944" s="103"/>
      <c r="Q1944" s="16"/>
      <c r="R1944" s="16"/>
      <c r="S1944" s="16"/>
      <c r="T1944" s="103"/>
      <c r="U1944" s="16"/>
      <c r="V1944" s="16"/>
      <c r="W1944" s="16"/>
      <c r="X1944" s="103"/>
    </row>
    <row r="1945" spans="2:24" x14ac:dyDescent="0.25">
      <c r="B1945" s="103"/>
      <c r="C1945" s="103"/>
      <c r="D1945" s="103"/>
      <c r="E1945" s="103"/>
      <c r="F1945" s="103"/>
      <c r="H1945" s="103"/>
      <c r="I1945" s="103"/>
      <c r="J1945" s="103"/>
      <c r="K1945" s="103"/>
      <c r="L1945" s="103"/>
      <c r="N1945" s="103"/>
      <c r="O1945" s="103"/>
      <c r="Q1945" s="16"/>
      <c r="R1945" s="16"/>
      <c r="S1945" s="16"/>
      <c r="T1945" s="103"/>
      <c r="U1945" s="16"/>
      <c r="V1945" s="16"/>
      <c r="W1945" s="16"/>
      <c r="X1945" s="103"/>
    </row>
    <row r="1946" spans="2:24" x14ac:dyDescent="0.25">
      <c r="B1946" s="103"/>
      <c r="C1946" s="103"/>
      <c r="D1946" s="103"/>
      <c r="E1946" s="103"/>
      <c r="F1946" s="103"/>
      <c r="H1946" s="103"/>
      <c r="I1946" s="103"/>
      <c r="J1946" s="103"/>
      <c r="K1946" s="103"/>
      <c r="L1946" s="103"/>
      <c r="N1946" s="103"/>
      <c r="O1946" s="103"/>
      <c r="Q1946" s="16"/>
      <c r="R1946" s="16"/>
      <c r="S1946" s="16"/>
      <c r="T1946" s="103"/>
      <c r="U1946" s="16"/>
      <c r="V1946" s="16"/>
      <c r="W1946" s="16"/>
      <c r="X1946" s="103"/>
    </row>
    <row r="1947" spans="2:24" x14ac:dyDescent="0.25">
      <c r="B1947" s="103"/>
      <c r="C1947" s="103"/>
      <c r="D1947" s="103"/>
      <c r="E1947" s="103"/>
      <c r="F1947" s="103"/>
      <c r="H1947" s="103"/>
      <c r="I1947" s="103"/>
      <c r="J1947" s="103"/>
      <c r="K1947" s="103"/>
      <c r="L1947" s="103"/>
      <c r="N1947" s="103"/>
      <c r="O1947" s="103"/>
      <c r="Q1947" s="16"/>
      <c r="R1947" s="16"/>
      <c r="S1947" s="16"/>
      <c r="T1947" s="103"/>
      <c r="U1947" s="16"/>
      <c r="V1947" s="16"/>
      <c r="W1947" s="16"/>
      <c r="X1947" s="103"/>
    </row>
    <row r="1948" spans="2:24" x14ac:dyDescent="0.25">
      <c r="B1948" s="103"/>
      <c r="C1948" s="103"/>
      <c r="D1948" s="103"/>
      <c r="E1948" s="103"/>
      <c r="F1948" s="103"/>
      <c r="H1948" s="103"/>
      <c r="I1948" s="103"/>
      <c r="J1948" s="103"/>
      <c r="K1948" s="103"/>
      <c r="L1948" s="103"/>
      <c r="N1948" s="103"/>
      <c r="O1948" s="103"/>
      <c r="Q1948" s="16"/>
      <c r="R1948" s="16"/>
      <c r="S1948" s="16"/>
      <c r="T1948" s="103"/>
      <c r="U1948" s="16"/>
      <c r="V1948" s="16"/>
      <c r="W1948" s="16"/>
      <c r="X1948" s="103"/>
    </row>
    <row r="1949" spans="2:24" x14ac:dyDescent="0.25">
      <c r="B1949" s="103"/>
      <c r="C1949" s="103"/>
      <c r="D1949" s="103"/>
      <c r="E1949" s="103"/>
      <c r="F1949" s="103"/>
      <c r="H1949" s="103"/>
      <c r="I1949" s="103"/>
      <c r="J1949" s="103"/>
      <c r="K1949" s="103"/>
      <c r="L1949" s="103"/>
      <c r="N1949" s="103"/>
      <c r="O1949" s="103"/>
      <c r="Q1949" s="16"/>
      <c r="R1949" s="16"/>
      <c r="S1949" s="16"/>
      <c r="T1949" s="103"/>
      <c r="U1949" s="16"/>
      <c r="V1949" s="16"/>
      <c r="W1949" s="16"/>
      <c r="X1949" s="103"/>
    </row>
    <row r="1950" spans="2:24" x14ac:dyDescent="0.25">
      <c r="B1950" s="103"/>
      <c r="C1950" s="103"/>
      <c r="D1950" s="103"/>
      <c r="E1950" s="103"/>
      <c r="F1950" s="103"/>
      <c r="H1950" s="103"/>
      <c r="I1950" s="103"/>
      <c r="J1950" s="103"/>
      <c r="K1950" s="103"/>
      <c r="L1950" s="103"/>
      <c r="N1950" s="103"/>
      <c r="O1950" s="103"/>
      <c r="Q1950" s="16"/>
      <c r="R1950" s="16"/>
      <c r="S1950" s="16"/>
      <c r="T1950" s="103"/>
      <c r="U1950" s="16"/>
      <c r="V1950" s="16"/>
      <c r="W1950" s="16"/>
      <c r="X1950" s="103"/>
    </row>
    <row r="1951" spans="2:24" x14ac:dyDescent="0.25">
      <c r="B1951" s="103"/>
      <c r="C1951" s="103"/>
      <c r="D1951" s="103"/>
      <c r="E1951" s="103"/>
      <c r="F1951" s="103"/>
      <c r="H1951" s="103"/>
      <c r="I1951" s="103"/>
      <c r="J1951" s="103"/>
      <c r="K1951" s="103"/>
      <c r="L1951" s="103"/>
      <c r="N1951" s="103"/>
      <c r="O1951" s="103"/>
      <c r="Q1951" s="16"/>
      <c r="R1951" s="16"/>
      <c r="S1951" s="16"/>
      <c r="T1951" s="103"/>
      <c r="U1951" s="16"/>
      <c r="V1951" s="16"/>
      <c r="W1951" s="16"/>
      <c r="X1951" s="103"/>
    </row>
    <row r="1952" spans="2:24" x14ac:dyDescent="0.25">
      <c r="B1952" s="103"/>
      <c r="C1952" s="103"/>
      <c r="D1952" s="103"/>
      <c r="E1952" s="103"/>
      <c r="F1952" s="103"/>
      <c r="H1952" s="103"/>
      <c r="I1952" s="103"/>
      <c r="J1952" s="103"/>
      <c r="K1952" s="103"/>
      <c r="L1952" s="103"/>
      <c r="N1952" s="103"/>
      <c r="O1952" s="103"/>
      <c r="Q1952" s="16"/>
      <c r="R1952" s="16"/>
      <c r="S1952" s="16"/>
      <c r="T1952" s="103"/>
      <c r="U1952" s="16"/>
      <c r="V1952" s="16"/>
      <c r="W1952" s="16"/>
      <c r="X1952" s="103"/>
    </row>
    <row r="1953" spans="2:24" x14ac:dyDescent="0.25">
      <c r="B1953" s="103"/>
      <c r="C1953" s="103"/>
      <c r="D1953" s="103"/>
      <c r="E1953" s="103"/>
      <c r="F1953" s="103"/>
      <c r="H1953" s="103"/>
      <c r="I1953" s="103"/>
      <c r="J1953" s="103"/>
      <c r="K1953" s="103"/>
      <c r="L1953" s="103"/>
      <c r="N1953" s="103"/>
      <c r="O1953" s="103"/>
      <c r="Q1953" s="16"/>
      <c r="R1953" s="16"/>
      <c r="S1953" s="16"/>
      <c r="T1953" s="103"/>
      <c r="U1953" s="16"/>
      <c r="V1953" s="16"/>
      <c r="W1953" s="16"/>
      <c r="X1953" s="103"/>
    </row>
    <row r="1954" spans="2:24" x14ac:dyDescent="0.25">
      <c r="B1954" s="103"/>
      <c r="C1954" s="103"/>
      <c r="D1954" s="103"/>
      <c r="E1954" s="103"/>
      <c r="F1954" s="103"/>
      <c r="H1954" s="103"/>
      <c r="I1954" s="103"/>
      <c r="J1954" s="103"/>
      <c r="K1954" s="103"/>
      <c r="L1954" s="103"/>
      <c r="N1954" s="103"/>
      <c r="O1954" s="103"/>
      <c r="Q1954" s="16"/>
      <c r="R1954" s="16"/>
      <c r="S1954" s="16"/>
      <c r="T1954" s="103"/>
      <c r="U1954" s="16"/>
      <c r="V1954" s="16"/>
      <c r="W1954" s="16"/>
      <c r="X1954" s="103"/>
    </row>
    <row r="1955" spans="2:24" x14ac:dyDescent="0.25">
      <c r="B1955" s="103"/>
      <c r="C1955" s="103"/>
      <c r="D1955" s="103"/>
      <c r="E1955" s="103"/>
      <c r="F1955" s="103"/>
      <c r="H1955" s="103"/>
      <c r="I1955" s="103"/>
      <c r="J1955" s="103"/>
      <c r="K1955" s="103"/>
      <c r="L1955" s="103"/>
      <c r="N1955" s="103"/>
      <c r="O1955" s="103"/>
      <c r="Q1955" s="16"/>
      <c r="R1955" s="16"/>
      <c r="S1955" s="16"/>
      <c r="T1955" s="103"/>
      <c r="U1955" s="16"/>
      <c r="V1955" s="16"/>
      <c r="W1955" s="16"/>
      <c r="X1955" s="103"/>
    </row>
    <row r="1956" spans="2:24" x14ac:dyDescent="0.25">
      <c r="B1956" s="103"/>
      <c r="C1956" s="103"/>
      <c r="D1956" s="103"/>
      <c r="E1956" s="103"/>
      <c r="F1956" s="103"/>
      <c r="H1956" s="103"/>
      <c r="I1956" s="103"/>
      <c r="J1956" s="103"/>
      <c r="K1956" s="103"/>
      <c r="L1956" s="103"/>
      <c r="N1956" s="103"/>
      <c r="O1956" s="103"/>
      <c r="Q1956" s="16"/>
      <c r="R1956" s="16"/>
      <c r="S1956" s="16"/>
      <c r="T1956" s="103"/>
      <c r="U1956" s="16"/>
      <c r="V1956" s="16"/>
      <c r="W1956" s="16"/>
      <c r="X1956" s="103"/>
    </row>
    <row r="1957" spans="2:24" x14ac:dyDescent="0.25">
      <c r="B1957" s="103"/>
      <c r="C1957" s="103"/>
      <c r="D1957" s="103"/>
      <c r="E1957" s="103"/>
      <c r="F1957" s="103"/>
      <c r="H1957" s="103"/>
      <c r="I1957" s="103"/>
      <c r="J1957" s="103"/>
      <c r="K1957" s="103"/>
      <c r="L1957" s="103"/>
      <c r="N1957" s="103"/>
      <c r="O1957" s="103"/>
      <c r="Q1957" s="16"/>
      <c r="R1957" s="16"/>
      <c r="S1957" s="16"/>
      <c r="T1957" s="103"/>
      <c r="U1957" s="16"/>
      <c r="V1957" s="16"/>
      <c r="W1957" s="16"/>
      <c r="X1957" s="103"/>
    </row>
    <row r="1958" spans="2:24" x14ac:dyDescent="0.25">
      <c r="B1958" s="103"/>
      <c r="C1958" s="103"/>
      <c r="D1958" s="103"/>
      <c r="E1958" s="103"/>
      <c r="F1958" s="103"/>
      <c r="H1958" s="103"/>
      <c r="I1958" s="103"/>
      <c r="J1958" s="103"/>
      <c r="K1958" s="103"/>
      <c r="L1958" s="103"/>
      <c r="N1958" s="103"/>
      <c r="O1958" s="103"/>
      <c r="Q1958" s="16"/>
      <c r="R1958" s="16"/>
      <c r="S1958" s="16"/>
      <c r="T1958" s="103"/>
      <c r="U1958" s="16"/>
      <c r="V1958" s="16"/>
      <c r="W1958" s="16"/>
      <c r="X1958" s="103"/>
    </row>
    <row r="1959" spans="2:24" x14ac:dyDescent="0.25">
      <c r="B1959" s="103"/>
      <c r="C1959" s="103"/>
      <c r="D1959" s="103"/>
      <c r="E1959" s="103"/>
      <c r="F1959" s="103"/>
      <c r="H1959" s="103"/>
      <c r="I1959" s="103"/>
      <c r="J1959" s="103"/>
      <c r="K1959" s="103"/>
      <c r="L1959" s="103"/>
      <c r="N1959" s="103"/>
      <c r="O1959" s="103"/>
      <c r="Q1959" s="16"/>
      <c r="R1959" s="16"/>
      <c r="S1959" s="16"/>
      <c r="T1959" s="103"/>
      <c r="U1959" s="16"/>
      <c r="V1959" s="16"/>
      <c r="W1959" s="16"/>
      <c r="X1959" s="103"/>
    </row>
    <row r="1960" spans="2:24" x14ac:dyDescent="0.25">
      <c r="B1960" s="103"/>
      <c r="C1960" s="103"/>
      <c r="D1960" s="103"/>
      <c r="E1960" s="103"/>
      <c r="F1960" s="103"/>
      <c r="H1960" s="103"/>
      <c r="I1960" s="103"/>
      <c r="J1960" s="103"/>
      <c r="K1960" s="103"/>
      <c r="L1960" s="103"/>
      <c r="N1960" s="103"/>
      <c r="O1960" s="103"/>
      <c r="Q1960" s="16"/>
      <c r="R1960" s="16"/>
      <c r="S1960" s="16"/>
      <c r="T1960" s="103"/>
      <c r="U1960" s="16"/>
      <c r="V1960" s="16"/>
      <c r="W1960" s="16"/>
      <c r="X1960" s="103"/>
    </row>
    <row r="1961" spans="2:24" x14ac:dyDescent="0.25">
      <c r="B1961" s="103"/>
      <c r="C1961" s="103"/>
      <c r="D1961" s="103"/>
      <c r="E1961" s="103"/>
      <c r="F1961" s="103"/>
      <c r="H1961" s="103"/>
      <c r="I1961" s="103"/>
      <c r="J1961" s="103"/>
      <c r="K1961" s="103"/>
      <c r="L1961" s="103"/>
      <c r="N1961" s="103"/>
      <c r="O1961" s="103"/>
      <c r="Q1961" s="16"/>
      <c r="R1961" s="16"/>
      <c r="S1961" s="16"/>
      <c r="T1961" s="103"/>
      <c r="U1961" s="16"/>
      <c r="V1961" s="16"/>
      <c r="W1961" s="16"/>
      <c r="X1961" s="103"/>
    </row>
    <row r="1962" spans="2:24" x14ac:dyDescent="0.25">
      <c r="B1962" s="103"/>
      <c r="C1962" s="103"/>
      <c r="D1962" s="103"/>
      <c r="E1962" s="103"/>
      <c r="F1962" s="103"/>
      <c r="H1962" s="103"/>
      <c r="I1962" s="103"/>
      <c r="J1962" s="103"/>
      <c r="K1962" s="103"/>
      <c r="L1962" s="103"/>
      <c r="N1962" s="103"/>
      <c r="O1962" s="103"/>
      <c r="Q1962" s="16"/>
      <c r="R1962" s="16"/>
      <c r="S1962" s="16"/>
      <c r="T1962" s="103"/>
      <c r="U1962" s="16"/>
      <c r="V1962" s="16"/>
      <c r="W1962" s="16"/>
      <c r="X1962" s="103"/>
    </row>
    <row r="1963" spans="2:24" x14ac:dyDescent="0.25">
      <c r="B1963" s="103"/>
      <c r="C1963" s="103"/>
      <c r="D1963" s="103"/>
      <c r="E1963" s="103"/>
      <c r="F1963" s="103"/>
      <c r="H1963" s="103"/>
      <c r="I1963" s="103"/>
      <c r="J1963" s="103"/>
      <c r="K1963" s="103"/>
      <c r="L1963" s="103"/>
      <c r="N1963" s="103"/>
      <c r="O1963" s="103"/>
      <c r="Q1963" s="16"/>
      <c r="R1963" s="16"/>
      <c r="S1963" s="16"/>
      <c r="T1963" s="103"/>
      <c r="U1963" s="16"/>
      <c r="V1963" s="16"/>
      <c r="W1963" s="16"/>
      <c r="X1963" s="103"/>
    </row>
    <row r="1964" spans="2:24" x14ac:dyDescent="0.25">
      <c r="B1964" s="103"/>
      <c r="C1964" s="103"/>
      <c r="D1964" s="103"/>
      <c r="E1964" s="103"/>
      <c r="F1964" s="103"/>
      <c r="H1964" s="103"/>
      <c r="I1964" s="103"/>
      <c r="J1964" s="103"/>
      <c r="K1964" s="103"/>
      <c r="L1964" s="103"/>
      <c r="N1964" s="103"/>
      <c r="O1964" s="103"/>
      <c r="Q1964" s="16"/>
      <c r="R1964" s="16"/>
      <c r="S1964" s="16"/>
      <c r="T1964" s="103"/>
      <c r="U1964" s="16"/>
      <c r="V1964" s="16"/>
      <c r="W1964" s="16"/>
      <c r="X1964" s="103"/>
    </row>
    <row r="1965" spans="2:24" x14ac:dyDescent="0.25">
      <c r="B1965" s="103"/>
      <c r="C1965" s="103"/>
      <c r="D1965" s="103"/>
      <c r="E1965" s="103"/>
      <c r="F1965" s="103"/>
      <c r="H1965" s="103"/>
      <c r="I1965" s="103"/>
      <c r="J1965" s="103"/>
      <c r="K1965" s="103"/>
      <c r="L1965" s="103"/>
      <c r="N1965" s="103"/>
      <c r="O1965" s="103"/>
      <c r="Q1965" s="16"/>
      <c r="R1965" s="16"/>
      <c r="S1965" s="16"/>
      <c r="T1965" s="103"/>
      <c r="U1965" s="16"/>
      <c r="V1965" s="16"/>
      <c r="W1965" s="16"/>
      <c r="X1965" s="103"/>
    </row>
    <row r="1966" spans="2:24" x14ac:dyDescent="0.25">
      <c r="B1966" s="103"/>
      <c r="C1966" s="103"/>
      <c r="D1966" s="103"/>
      <c r="E1966" s="103"/>
      <c r="F1966" s="103"/>
      <c r="H1966" s="103"/>
      <c r="I1966" s="103"/>
      <c r="J1966" s="103"/>
      <c r="K1966" s="103"/>
      <c r="L1966" s="103"/>
      <c r="N1966" s="103"/>
      <c r="O1966" s="103"/>
      <c r="Q1966" s="16"/>
      <c r="R1966" s="16"/>
      <c r="S1966" s="16"/>
      <c r="T1966" s="103"/>
      <c r="U1966" s="16"/>
      <c r="V1966" s="16"/>
      <c r="W1966" s="16"/>
      <c r="X1966" s="103"/>
    </row>
    <row r="1967" spans="2:24" x14ac:dyDescent="0.25">
      <c r="B1967" s="103"/>
      <c r="C1967" s="103"/>
      <c r="D1967" s="103"/>
      <c r="E1967" s="103"/>
      <c r="F1967" s="103"/>
      <c r="H1967" s="103"/>
      <c r="I1967" s="103"/>
      <c r="J1967" s="103"/>
      <c r="K1967" s="103"/>
      <c r="L1967" s="103"/>
      <c r="N1967" s="103"/>
      <c r="O1967" s="103"/>
      <c r="Q1967" s="16"/>
      <c r="R1967" s="16"/>
      <c r="S1967" s="16"/>
      <c r="T1967" s="103"/>
      <c r="U1967" s="16"/>
      <c r="V1967" s="16"/>
      <c r="W1967" s="16"/>
      <c r="X1967" s="103"/>
    </row>
    <row r="1968" spans="2:24" x14ac:dyDescent="0.25">
      <c r="B1968" s="103"/>
      <c r="C1968" s="103"/>
      <c r="D1968" s="103"/>
      <c r="E1968" s="103"/>
      <c r="F1968" s="103"/>
      <c r="H1968" s="103"/>
      <c r="I1968" s="103"/>
      <c r="J1968" s="103"/>
      <c r="K1968" s="103"/>
      <c r="L1968" s="103"/>
      <c r="N1968" s="103"/>
      <c r="O1968" s="103"/>
      <c r="Q1968" s="16"/>
      <c r="R1968" s="16"/>
      <c r="S1968" s="16"/>
      <c r="T1968" s="103"/>
      <c r="U1968" s="16"/>
      <c r="V1968" s="16"/>
      <c r="W1968" s="16"/>
      <c r="X1968" s="103"/>
    </row>
    <row r="1969" spans="2:24" x14ac:dyDescent="0.25">
      <c r="B1969" s="103"/>
      <c r="C1969" s="103"/>
      <c r="D1969" s="103"/>
      <c r="E1969" s="103"/>
      <c r="F1969" s="103"/>
      <c r="H1969" s="103"/>
      <c r="I1969" s="103"/>
      <c r="J1969" s="103"/>
      <c r="K1969" s="103"/>
      <c r="L1969" s="103"/>
      <c r="N1969" s="103"/>
      <c r="O1969" s="103"/>
      <c r="Q1969" s="16"/>
      <c r="R1969" s="16"/>
      <c r="S1969" s="16"/>
      <c r="T1969" s="103"/>
      <c r="U1969" s="16"/>
      <c r="V1969" s="16"/>
      <c r="W1969" s="16"/>
      <c r="X1969" s="103"/>
    </row>
    <row r="1970" spans="2:24" x14ac:dyDescent="0.25">
      <c r="B1970" s="103"/>
      <c r="C1970" s="103"/>
      <c r="D1970" s="103"/>
      <c r="E1970" s="103"/>
      <c r="F1970" s="103"/>
      <c r="H1970" s="103"/>
      <c r="I1970" s="103"/>
      <c r="J1970" s="103"/>
      <c r="K1970" s="103"/>
      <c r="L1970" s="103"/>
      <c r="N1970" s="103"/>
      <c r="O1970" s="103"/>
      <c r="Q1970" s="16"/>
      <c r="R1970" s="16"/>
      <c r="S1970" s="16"/>
      <c r="T1970" s="103"/>
      <c r="U1970" s="16"/>
      <c r="V1970" s="16"/>
      <c r="W1970" s="16"/>
      <c r="X1970" s="103"/>
    </row>
    <row r="1971" spans="2:24" x14ac:dyDescent="0.25">
      <c r="B1971" s="103"/>
      <c r="C1971" s="103"/>
      <c r="D1971" s="103"/>
      <c r="E1971" s="103"/>
      <c r="F1971" s="103"/>
      <c r="H1971" s="103"/>
      <c r="I1971" s="103"/>
      <c r="J1971" s="103"/>
      <c r="K1971" s="103"/>
      <c r="L1971" s="103"/>
      <c r="N1971" s="103"/>
      <c r="O1971" s="103"/>
      <c r="Q1971" s="16"/>
      <c r="R1971" s="16"/>
      <c r="S1971" s="16"/>
      <c r="T1971" s="103"/>
      <c r="U1971" s="16"/>
      <c r="V1971" s="16"/>
      <c r="W1971" s="16"/>
      <c r="X1971" s="103"/>
    </row>
    <row r="1972" spans="2:24" x14ac:dyDescent="0.25">
      <c r="B1972" s="103"/>
      <c r="C1972" s="103"/>
      <c r="D1972" s="103"/>
      <c r="E1972" s="103"/>
      <c r="F1972" s="103"/>
      <c r="H1972" s="103"/>
      <c r="I1972" s="103"/>
      <c r="J1972" s="103"/>
      <c r="K1972" s="103"/>
      <c r="L1972" s="103"/>
      <c r="N1972" s="103"/>
      <c r="O1972" s="103"/>
      <c r="Q1972" s="16"/>
      <c r="R1972" s="16"/>
      <c r="S1972" s="16"/>
      <c r="T1972" s="103"/>
      <c r="U1972" s="16"/>
      <c r="V1972" s="16"/>
      <c r="W1972" s="16"/>
      <c r="X1972" s="103"/>
    </row>
    <row r="1973" spans="2:24" x14ac:dyDescent="0.25">
      <c r="B1973" s="103"/>
      <c r="C1973" s="103"/>
      <c r="D1973" s="103"/>
      <c r="E1973" s="103"/>
      <c r="F1973" s="103"/>
      <c r="H1973" s="103"/>
      <c r="I1973" s="103"/>
      <c r="J1973" s="103"/>
      <c r="K1973" s="103"/>
      <c r="L1973" s="103"/>
      <c r="N1973" s="103"/>
      <c r="O1973" s="103"/>
      <c r="Q1973" s="16"/>
      <c r="R1973" s="16"/>
      <c r="S1973" s="16"/>
      <c r="T1973" s="103"/>
      <c r="U1973" s="16"/>
      <c r="V1973" s="16"/>
      <c r="W1973" s="16"/>
      <c r="X1973" s="103"/>
    </row>
    <row r="1974" spans="2:24" x14ac:dyDescent="0.25">
      <c r="B1974" s="103"/>
      <c r="C1974" s="103"/>
      <c r="D1974" s="103"/>
      <c r="E1974" s="103"/>
      <c r="F1974" s="103"/>
      <c r="H1974" s="103"/>
      <c r="I1974" s="103"/>
      <c r="J1974" s="103"/>
      <c r="K1974" s="103"/>
      <c r="L1974" s="103"/>
      <c r="N1974" s="103"/>
      <c r="O1974" s="103"/>
      <c r="Q1974" s="16"/>
      <c r="R1974" s="16"/>
      <c r="S1974" s="16"/>
      <c r="T1974" s="103"/>
      <c r="U1974" s="16"/>
      <c r="V1974" s="16"/>
      <c r="W1974" s="16"/>
      <c r="X1974" s="103"/>
    </row>
    <row r="1975" spans="2:24" x14ac:dyDescent="0.25">
      <c r="B1975" s="103"/>
      <c r="C1975" s="103"/>
      <c r="D1975" s="103"/>
      <c r="E1975" s="103"/>
      <c r="F1975" s="103"/>
      <c r="H1975" s="103"/>
      <c r="I1975" s="103"/>
      <c r="J1975" s="103"/>
      <c r="K1975" s="103"/>
      <c r="L1975" s="103"/>
      <c r="N1975" s="103"/>
      <c r="O1975" s="103"/>
      <c r="Q1975" s="16"/>
      <c r="R1975" s="16"/>
      <c r="S1975" s="16"/>
      <c r="T1975" s="103"/>
      <c r="U1975" s="16"/>
      <c r="V1975" s="16"/>
      <c r="W1975" s="16"/>
      <c r="X1975" s="103"/>
    </row>
    <row r="1976" spans="2:24" x14ac:dyDescent="0.25">
      <c r="B1976" s="103"/>
      <c r="C1976" s="103"/>
      <c r="D1976" s="103"/>
      <c r="E1976" s="103"/>
      <c r="F1976" s="103"/>
      <c r="H1976" s="103"/>
      <c r="I1976" s="103"/>
      <c r="J1976" s="103"/>
      <c r="K1976" s="103"/>
      <c r="L1976" s="103"/>
      <c r="N1976" s="103"/>
      <c r="O1976" s="103"/>
      <c r="Q1976" s="16"/>
      <c r="R1976" s="16"/>
      <c r="S1976" s="16"/>
      <c r="T1976" s="103"/>
      <c r="U1976" s="16"/>
      <c r="V1976" s="16"/>
      <c r="W1976" s="16"/>
      <c r="X1976" s="103"/>
    </row>
    <row r="1977" spans="2:24" x14ac:dyDescent="0.25">
      <c r="B1977" s="103"/>
      <c r="C1977" s="103"/>
      <c r="D1977" s="103"/>
      <c r="E1977" s="103"/>
      <c r="F1977" s="103"/>
      <c r="H1977" s="103"/>
      <c r="I1977" s="103"/>
      <c r="J1977" s="103"/>
      <c r="K1977" s="103"/>
      <c r="L1977" s="103"/>
      <c r="N1977" s="103"/>
      <c r="O1977" s="103"/>
      <c r="Q1977" s="16"/>
      <c r="R1977" s="16"/>
      <c r="S1977" s="16"/>
      <c r="T1977" s="103"/>
      <c r="U1977" s="16"/>
      <c r="V1977" s="16"/>
      <c r="W1977" s="16"/>
      <c r="X1977" s="103"/>
    </row>
    <row r="1978" spans="2:24" x14ac:dyDescent="0.25">
      <c r="B1978" s="103"/>
      <c r="C1978" s="103"/>
      <c r="D1978" s="103"/>
      <c r="E1978" s="103"/>
      <c r="F1978" s="103"/>
      <c r="H1978" s="103"/>
      <c r="I1978" s="103"/>
      <c r="J1978" s="103"/>
      <c r="K1978" s="103"/>
      <c r="L1978" s="103"/>
      <c r="N1978" s="103"/>
      <c r="O1978" s="103"/>
      <c r="Q1978" s="16"/>
      <c r="R1978" s="16"/>
      <c r="S1978" s="16"/>
      <c r="T1978" s="103"/>
      <c r="U1978" s="16"/>
      <c r="V1978" s="16"/>
      <c r="W1978" s="16"/>
      <c r="X1978" s="103"/>
    </row>
    <row r="1979" spans="2:24" x14ac:dyDescent="0.25">
      <c r="B1979" s="103"/>
      <c r="C1979" s="103"/>
      <c r="D1979" s="103"/>
      <c r="E1979" s="103"/>
      <c r="F1979" s="103"/>
      <c r="H1979" s="103"/>
      <c r="I1979" s="103"/>
      <c r="J1979" s="103"/>
      <c r="K1979" s="103"/>
      <c r="L1979" s="103"/>
      <c r="N1979" s="103"/>
      <c r="O1979" s="103"/>
      <c r="Q1979" s="16"/>
      <c r="R1979" s="16"/>
      <c r="S1979" s="16"/>
      <c r="T1979" s="103"/>
      <c r="U1979" s="16"/>
      <c r="V1979" s="16"/>
      <c r="W1979" s="16"/>
      <c r="X1979" s="103"/>
    </row>
    <row r="1980" spans="2:24" x14ac:dyDescent="0.25">
      <c r="B1980" s="103"/>
      <c r="C1980" s="103"/>
      <c r="D1980" s="103"/>
      <c r="E1980" s="103"/>
      <c r="F1980" s="103"/>
      <c r="H1980" s="103"/>
      <c r="I1980" s="103"/>
      <c r="J1980" s="103"/>
      <c r="K1980" s="103"/>
      <c r="L1980" s="103"/>
      <c r="N1980" s="103"/>
      <c r="O1980" s="103"/>
      <c r="Q1980" s="16"/>
      <c r="R1980" s="16"/>
      <c r="S1980" s="16"/>
      <c r="T1980" s="103"/>
      <c r="U1980" s="16"/>
      <c r="V1980" s="16"/>
      <c r="W1980" s="16"/>
      <c r="X1980" s="103"/>
    </row>
    <row r="1981" spans="2:24" x14ac:dyDescent="0.25">
      <c r="B1981" s="103"/>
      <c r="C1981" s="103"/>
      <c r="D1981" s="103"/>
      <c r="E1981" s="103"/>
      <c r="F1981" s="103"/>
      <c r="H1981" s="103"/>
      <c r="I1981" s="103"/>
      <c r="J1981" s="103"/>
      <c r="K1981" s="103"/>
      <c r="L1981" s="103"/>
      <c r="N1981" s="103"/>
      <c r="O1981" s="103"/>
      <c r="Q1981" s="16"/>
      <c r="R1981" s="16"/>
      <c r="S1981" s="16"/>
      <c r="T1981" s="103"/>
      <c r="U1981" s="16"/>
      <c r="V1981" s="16"/>
      <c r="W1981" s="16"/>
      <c r="X1981" s="103"/>
    </row>
    <row r="1982" spans="2:24" x14ac:dyDescent="0.25">
      <c r="B1982" s="103"/>
      <c r="C1982" s="103"/>
      <c r="D1982" s="103"/>
      <c r="E1982" s="103"/>
      <c r="F1982" s="103"/>
      <c r="H1982" s="103"/>
      <c r="I1982" s="103"/>
      <c r="J1982" s="103"/>
      <c r="K1982" s="103"/>
      <c r="L1982" s="103"/>
      <c r="N1982" s="103"/>
      <c r="O1982" s="103"/>
      <c r="Q1982" s="16"/>
      <c r="R1982" s="16"/>
      <c r="S1982" s="16"/>
      <c r="T1982" s="103"/>
      <c r="U1982" s="16"/>
      <c r="V1982" s="16"/>
      <c r="W1982" s="16"/>
      <c r="X1982" s="103"/>
    </row>
    <row r="1983" spans="2:24" x14ac:dyDescent="0.25">
      <c r="B1983" s="103"/>
      <c r="C1983" s="103"/>
      <c r="D1983" s="103"/>
      <c r="E1983" s="103"/>
      <c r="F1983" s="103"/>
      <c r="H1983" s="103"/>
      <c r="I1983" s="103"/>
      <c r="J1983" s="103"/>
      <c r="K1983" s="103"/>
      <c r="L1983" s="103"/>
      <c r="N1983" s="103"/>
      <c r="O1983" s="103"/>
      <c r="Q1983" s="16"/>
      <c r="R1983" s="16"/>
      <c r="S1983" s="16"/>
      <c r="T1983" s="103"/>
      <c r="U1983" s="16"/>
      <c r="V1983" s="16"/>
      <c r="W1983" s="16"/>
      <c r="X1983" s="103"/>
    </row>
    <row r="1984" spans="2:24" x14ac:dyDescent="0.25">
      <c r="B1984" s="103"/>
      <c r="C1984" s="103"/>
      <c r="D1984" s="103"/>
      <c r="E1984" s="103"/>
      <c r="F1984" s="103"/>
      <c r="H1984" s="103"/>
      <c r="I1984" s="103"/>
      <c r="J1984" s="103"/>
      <c r="K1984" s="103"/>
      <c r="L1984" s="103"/>
      <c r="N1984" s="103"/>
      <c r="O1984" s="103"/>
      <c r="Q1984" s="16"/>
      <c r="R1984" s="16"/>
      <c r="S1984" s="16"/>
      <c r="T1984" s="103"/>
      <c r="U1984" s="16"/>
      <c r="V1984" s="16"/>
      <c r="W1984" s="16"/>
      <c r="X1984" s="103"/>
    </row>
    <row r="1985" spans="2:24" x14ac:dyDescent="0.25">
      <c r="B1985" s="103"/>
      <c r="C1985" s="103"/>
      <c r="D1985" s="103"/>
      <c r="E1985" s="103"/>
      <c r="F1985" s="103"/>
      <c r="H1985" s="103"/>
      <c r="I1985" s="103"/>
      <c r="J1985" s="103"/>
      <c r="K1985" s="103"/>
      <c r="L1985" s="103"/>
      <c r="N1985" s="103"/>
      <c r="O1985" s="103"/>
      <c r="Q1985" s="16"/>
      <c r="R1985" s="16"/>
      <c r="S1985" s="16"/>
      <c r="T1985" s="103"/>
      <c r="U1985" s="16"/>
      <c r="V1985" s="16"/>
      <c r="W1985" s="16"/>
      <c r="X1985" s="103"/>
    </row>
    <row r="1986" spans="2:24" x14ac:dyDescent="0.25">
      <c r="B1986" s="103"/>
      <c r="C1986" s="103"/>
      <c r="D1986" s="103"/>
      <c r="E1986" s="103"/>
      <c r="F1986" s="103"/>
      <c r="H1986" s="103"/>
      <c r="I1986" s="103"/>
      <c r="J1986" s="103"/>
      <c r="K1986" s="103"/>
      <c r="L1986" s="103"/>
      <c r="N1986" s="103"/>
      <c r="O1986" s="103"/>
      <c r="Q1986" s="16"/>
      <c r="R1986" s="16"/>
      <c r="S1986" s="16"/>
      <c r="T1986" s="103"/>
      <c r="U1986" s="16"/>
      <c r="V1986" s="16"/>
      <c r="W1986" s="16"/>
      <c r="X1986" s="103"/>
    </row>
    <row r="1987" spans="2:24" x14ac:dyDescent="0.25">
      <c r="B1987" s="103"/>
      <c r="C1987" s="103"/>
      <c r="D1987" s="103"/>
      <c r="E1987" s="103"/>
      <c r="F1987" s="103"/>
      <c r="H1987" s="103"/>
      <c r="I1987" s="103"/>
      <c r="J1987" s="103"/>
      <c r="K1987" s="103"/>
      <c r="L1987" s="103"/>
      <c r="N1987" s="103"/>
      <c r="O1987" s="103"/>
      <c r="Q1987" s="16"/>
      <c r="R1987" s="16"/>
      <c r="S1987" s="16"/>
      <c r="T1987" s="103"/>
      <c r="U1987" s="16"/>
      <c r="V1987" s="16"/>
      <c r="W1987" s="16"/>
      <c r="X1987" s="103"/>
    </row>
    <row r="1988" spans="2:24" x14ac:dyDescent="0.25">
      <c r="B1988" s="103"/>
      <c r="C1988" s="103"/>
      <c r="D1988" s="103"/>
      <c r="E1988" s="103"/>
      <c r="F1988" s="103"/>
      <c r="H1988" s="103"/>
      <c r="I1988" s="103"/>
      <c r="J1988" s="103"/>
      <c r="K1988" s="103"/>
      <c r="L1988" s="103"/>
      <c r="N1988" s="103"/>
      <c r="O1988" s="103"/>
      <c r="Q1988" s="16"/>
      <c r="R1988" s="16"/>
      <c r="S1988" s="16"/>
      <c r="T1988" s="103"/>
      <c r="U1988" s="16"/>
      <c r="V1988" s="16"/>
      <c r="W1988" s="16"/>
      <c r="X1988" s="103"/>
    </row>
    <row r="1989" spans="2:24" x14ac:dyDescent="0.25">
      <c r="B1989" s="103"/>
      <c r="C1989" s="103"/>
      <c r="D1989" s="103"/>
      <c r="E1989" s="103"/>
      <c r="F1989" s="103"/>
      <c r="H1989" s="103"/>
      <c r="I1989" s="103"/>
      <c r="J1989" s="103"/>
      <c r="K1989" s="103"/>
      <c r="L1989" s="103"/>
      <c r="N1989" s="103"/>
      <c r="O1989" s="103"/>
      <c r="Q1989" s="16"/>
      <c r="R1989" s="16"/>
      <c r="S1989" s="16"/>
      <c r="T1989" s="103"/>
      <c r="U1989" s="16"/>
      <c r="V1989" s="16"/>
      <c r="W1989" s="16"/>
      <c r="X1989" s="103"/>
    </row>
    <row r="1990" spans="2:24" x14ac:dyDescent="0.25">
      <c r="B1990" s="103"/>
      <c r="C1990" s="103"/>
      <c r="D1990" s="103"/>
      <c r="E1990" s="103"/>
      <c r="F1990" s="103"/>
      <c r="H1990" s="103"/>
      <c r="I1990" s="103"/>
      <c r="J1990" s="103"/>
      <c r="K1990" s="103"/>
      <c r="L1990" s="103"/>
      <c r="N1990" s="103"/>
      <c r="O1990" s="103"/>
      <c r="Q1990" s="16"/>
      <c r="R1990" s="16"/>
      <c r="S1990" s="16"/>
      <c r="T1990" s="103"/>
      <c r="U1990" s="16"/>
      <c r="V1990" s="16"/>
      <c r="W1990" s="16"/>
      <c r="X1990" s="103"/>
    </row>
    <row r="1991" spans="2:24" x14ac:dyDescent="0.25">
      <c r="B1991" s="103"/>
      <c r="C1991" s="103"/>
      <c r="D1991" s="103"/>
      <c r="E1991" s="103"/>
      <c r="F1991" s="103"/>
      <c r="H1991" s="103"/>
      <c r="I1991" s="103"/>
      <c r="J1991" s="103"/>
      <c r="K1991" s="103"/>
      <c r="L1991" s="103"/>
      <c r="N1991" s="103"/>
      <c r="O1991" s="103"/>
      <c r="Q1991" s="16"/>
      <c r="R1991" s="16"/>
      <c r="S1991" s="16"/>
      <c r="T1991" s="103"/>
      <c r="U1991" s="16"/>
      <c r="V1991" s="16"/>
      <c r="W1991" s="16"/>
      <c r="X1991" s="103"/>
    </row>
    <row r="1992" spans="2:24" x14ac:dyDescent="0.25">
      <c r="B1992" s="103"/>
      <c r="C1992" s="103"/>
      <c r="D1992" s="103"/>
      <c r="E1992" s="103"/>
      <c r="F1992" s="103"/>
      <c r="H1992" s="103"/>
      <c r="I1992" s="103"/>
      <c r="J1992" s="103"/>
      <c r="K1992" s="103"/>
      <c r="L1992" s="103"/>
      <c r="N1992" s="103"/>
      <c r="O1992" s="103"/>
      <c r="Q1992" s="16"/>
      <c r="R1992" s="16"/>
      <c r="S1992" s="16"/>
      <c r="T1992" s="103"/>
      <c r="U1992" s="16"/>
      <c r="V1992" s="16"/>
      <c r="W1992" s="16"/>
      <c r="X1992" s="103"/>
    </row>
    <row r="1993" spans="2:24" x14ac:dyDescent="0.25">
      <c r="B1993" s="103"/>
      <c r="C1993" s="103"/>
      <c r="D1993" s="103"/>
      <c r="E1993" s="103"/>
      <c r="F1993" s="103"/>
      <c r="H1993" s="103"/>
      <c r="I1993" s="103"/>
      <c r="J1993" s="103"/>
      <c r="K1993" s="103"/>
      <c r="L1993" s="103"/>
      <c r="N1993" s="103"/>
      <c r="O1993" s="103"/>
      <c r="Q1993" s="16"/>
      <c r="R1993" s="16"/>
      <c r="S1993" s="16"/>
      <c r="T1993" s="103"/>
      <c r="U1993" s="16"/>
      <c r="V1993" s="16"/>
      <c r="W1993" s="16"/>
      <c r="X1993" s="103"/>
    </row>
    <row r="1994" spans="2:24" x14ac:dyDescent="0.25">
      <c r="B1994" s="103"/>
      <c r="C1994" s="103"/>
      <c r="D1994" s="103"/>
      <c r="E1994" s="103"/>
      <c r="F1994" s="103"/>
      <c r="H1994" s="103"/>
      <c r="I1994" s="103"/>
      <c r="J1994" s="103"/>
      <c r="K1994" s="103"/>
      <c r="L1994" s="103"/>
      <c r="N1994" s="103"/>
      <c r="O1994" s="103"/>
      <c r="Q1994" s="16"/>
      <c r="R1994" s="16"/>
      <c r="S1994" s="16"/>
      <c r="T1994" s="103"/>
      <c r="U1994" s="16"/>
      <c r="V1994" s="16"/>
      <c r="W1994" s="16"/>
      <c r="X1994" s="103"/>
    </row>
    <row r="1995" spans="2:24" x14ac:dyDescent="0.25">
      <c r="B1995" s="103"/>
      <c r="C1995" s="103"/>
      <c r="D1995" s="103"/>
      <c r="E1995" s="103"/>
      <c r="F1995" s="103"/>
      <c r="H1995" s="103"/>
      <c r="I1995" s="103"/>
      <c r="J1995" s="103"/>
      <c r="K1995" s="103"/>
      <c r="L1995" s="103"/>
      <c r="N1995" s="103"/>
      <c r="O1995" s="103"/>
      <c r="Q1995" s="16"/>
      <c r="R1995" s="16"/>
      <c r="S1995" s="16"/>
      <c r="T1995" s="103"/>
      <c r="U1995" s="16"/>
      <c r="V1995" s="16"/>
      <c r="W1995" s="16"/>
      <c r="X1995" s="103"/>
    </row>
    <row r="1996" spans="2:24" x14ac:dyDescent="0.25">
      <c r="B1996" s="103"/>
      <c r="C1996" s="103"/>
      <c r="D1996" s="103"/>
      <c r="E1996" s="103"/>
      <c r="F1996" s="103"/>
      <c r="H1996" s="103"/>
      <c r="I1996" s="103"/>
      <c r="J1996" s="103"/>
      <c r="K1996" s="103"/>
      <c r="L1996" s="103"/>
      <c r="N1996" s="103"/>
      <c r="O1996" s="103"/>
      <c r="Q1996" s="16"/>
      <c r="R1996" s="16"/>
      <c r="S1996" s="16"/>
      <c r="T1996" s="103"/>
      <c r="U1996" s="16"/>
      <c r="V1996" s="16"/>
      <c r="W1996" s="16"/>
      <c r="X1996" s="103"/>
    </row>
    <row r="1997" spans="2:24" x14ac:dyDescent="0.25">
      <c r="B1997" s="103"/>
      <c r="C1997" s="103"/>
      <c r="D1997" s="103"/>
      <c r="E1997" s="103"/>
      <c r="F1997" s="103"/>
      <c r="H1997" s="103"/>
      <c r="I1997" s="103"/>
      <c r="J1997" s="103"/>
      <c r="K1997" s="103"/>
      <c r="L1997" s="103"/>
      <c r="N1997" s="103"/>
      <c r="O1997" s="103"/>
      <c r="Q1997" s="16"/>
      <c r="R1997" s="16"/>
      <c r="S1997" s="16"/>
      <c r="T1997" s="103"/>
      <c r="U1997" s="16"/>
      <c r="V1997" s="16"/>
      <c r="W1997" s="16"/>
      <c r="X1997" s="103"/>
    </row>
    <row r="1998" spans="2:24" x14ac:dyDescent="0.25">
      <c r="B1998" s="103"/>
      <c r="C1998" s="103"/>
      <c r="D1998" s="103"/>
      <c r="E1998" s="103"/>
      <c r="F1998" s="103"/>
      <c r="H1998" s="103"/>
      <c r="I1998" s="103"/>
      <c r="J1998" s="103"/>
      <c r="K1998" s="103"/>
      <c r="L1998" s="103"/>
      <c r="N1998" s="103"/>
      <c r="O1998" s="103"/>
      <c r="Q1998" s="16"/>
      <c r="R1998" s="16"/>
      <c r="S1998" s="16"/>
      <c r="T1998" s="103"/>
      <c r="U1998" s="16"/>
      <c r="V1998" s="16"/>
      <c r="W1998" s="16"/>
      <c r="X1998" s="103"/>
    </row>
    <row r="1999" spans="2:24" x14ac:dyDescent="0.25">
      <c r="B1999" s="103"/>
      <c r="C1999" s="103"/>
      <c r="D1999" s="103"/>
      <c r="E1999" s="103"/>
      <c r="F1999" s="103"/>
      <c r="H1999" s="103"/>
      <c r="I1999" s="103"/>
      <c r="J1999" s="103"/>
      <c r="K1999" s="103"/>
      <c r="L1999" s="103"/>
      <c r="N1999" s="103"/>
      <c r="O1999" s="103"/>
      <c r="Q1999" s="16"/>
      <c r="R1999" s="16"/>
      <c r="S1999" s="16"/>
      <c r="T1999" s="103"/>
      <c r="U1999" s="16"/>
      <c r="V1999" s="16"/>
      <c r="W1999" s="16"/>
      <c r="X1999" s="103"/>
    </row>
    <row r="2000" spans="2:24" x14ac:dyDescent="0.25">
      <c r="B2000" s="103"/>
      <c r="C2000" s="103"/>
      <c r="D2000" s="103"/>
      <c r="E2000" s="103"/>
      <c r="F2000" s="103"/>
      <c r="H2000" s="103"/>
      <c r="I2000" s="103"/>
      <c r="J2000" s="103"/>
      <c r="K2000" s="103"/>
      <c r="L2000" s="103"/>
      <c r="N2000" s="103"/>
      <c r="O2000" s="103"/>
      <c r="Q2000" s="16"/>
      <c r="R2000" s="16"/>
      <c r="S2000" s="16"/>
      <c r="T2000" s="103"/>
      <c r="U2000" s="16"/>
      <c r="V2000" s="16"/>
      <c r="W2000" s="16"/>
      <c r="X2000" s="103"/>
    </row>
    <row r="2001" spans="2:24" x14ac:dyDescent="0.25">
      <c r="B2001" s="103"/>
      <c r="C2001" s="103"/>
      <c r="D2001" s="103"/>
      <c r="E2001" s="103"/>
      <c r="F2001" s="103"/>
      <c r="H2001" s="103"/>
      <c r="I2001" s="103"/>
      <c r="J2001" s="103"/>
      <c r="K2001" s="103"/>
      <c r="L2001" s="103"/>
      <c r="N2001" s="103"/>
      <c r="O2001" s="103"/>
      <c r="Q2001" s="16"/>
      <c r="R2001" s="16"/>
      <c r="S2001" s="16"/>
      <c r="T2001" s="103"/>
      <c r="U2001" s="16"/>
      <c r="V2001" s="16"/>
      <c r="W2001" s="16"/>
      <c r="X2001" s="103"/>
    </row>
    <row r="2002" spans="2:24" x14ac:dyDescent="0.25">
      <c r="B2002" s="103"/>
      <c r="C2002" s="103"/>
      <c r="D2002" s="103"/>
      <c r="E2002" s="103"/>
      <c r="F2002" s="103"/>
      <c r="H2002" s="103"/>
      <c r="I2002" s="103"/>
      <c r="J2002" s="103"/>
      <c r="K2002" s="103"/>
      <c r="L2002" s="103"/>
      <c r="N2002" s="103"/>
      <c r="O2002" s="103"/>
      <c r="Q2002" s="16"/>
      <c r="R2002" s="16"/>
      <c r="S2002" s="16"/>
      <c r="T2002" s="103"/>
      <c r="U2002" s="16"/>
      <c r="V2002" s="16"/>
      <c r="W2002" s="16"/>
      <c r="X2002" s="103"/>
    </row>
    <row r="2003" spans="2:24" x14ac:dyDescent="0.25">
      <c r="B2003" s="103"/>
      <c r="C2003" s="103"/>
      <c r="D2003" s="103"/>
      <c r="E2003" s="103"/>
      <c r="F2003" s="103"/>
      <c r="H2003" s="103"/>
      <c r="I2003" s="103"/>
      <c r="J2003" s="103"/>
      <c r="K2003" s="103"/>
      <c r="L2003" s="103"/>
      <c r="N2003" s="103"/>
      <c r="O2003" s="103"/>
      <c r="Q2003" s="16"/>
      <c r="R2003" s="16"/>
      <c r="S2003" s="16"/>
      <c r="T2003" s="103"/>
      <c r="U2003" s="16"/>
      <c r="V2003" s="16"/>
      <c r="W2003" s="16"/>
      <c r="X2003" s="103"/>
    </row>
    <row r="2004" spans="2:24" x14ac:dyDescent="0.25">
      <c r="B2004" s="103"/>
      <c r="C2004" s="103"/>
      <c r="D2004" s="103"/>
      <c r="E2004" s="103"/>
      <c r="F2004" s="103"/>
      <c r="H2004" s="103"/>
      <c r="I2004" s="103"/>
      <c r="J2004" s="103"/>
      <c r="K2004" s="103"/>
      <c r="L2004" s="103"/>
      <c r="N2004" s="103"/>
      <c r="O2004" s="103"/>
      <c r="Q2004" s="16"/>
      <c r="R2004" s="16"/>
      <c r="S2004" s="16"/>
      <c r="T2004" s="103"/>
      <c r="U2004" s="16"/>
      <c r="V2004" s="16"/>
      <c r="W2004" s="16"/>
      <c r="X2004" s="103"/>
    </row>
    <row r="2005" spans="2:24" x14ac:dyDescent="0.25">
      <c r="B2005" s="103"/>
      <c r="C2005" s="103"/>
      <c r="D2005" s="103"/>
      <c r="E2005" s="103"/>
      <c r="F2005" s="103"/>
      <c r="H2005" s="103"/>
      <c r="I2005" s="103"/>
      <c r="J2005" s="103"/>
      <c r="K2005" s="103"/>
      <c r="L2005" s="103"/>
      <c r="N2005" s="103"/>
      <c r="O2005" s="103"/>
      <c r="Q2005" s="16"/>
      <c r="R2005" s="16"/>
      <c r="S2005" s="16"/>
      <c r="T2005" s="103"/>
      <c r="U2005" s="16"/>
      <c r="V2005" s="16"/>
      <c r="W2005" s="16"/>
      <c r="X2005" s="103"/>
    </row>
    <row r="2006" spans="2:24" x14ac:dyDescent="0.25">
      <c r="B2006" s="103"/>
      <c r="C2006" s="103"/>
      <c r="D2006" s="103"/>
      <c r="E2006" s="103"/>
      <c r="F2006" s="103"/>
      <c r="H2006" s="103"/>
      <c r="I2006" s="103"/>
      <c r="J2006" s="103"/>
      <c r="K2006" s="103"/>
      <c r="L2006" s="103"/>
      <c r="N2006" s="103"/>
      <c r="O2006" s="103"/>
    </row>
    <row r="2007" spans="2:24" x14ac:dyDescent="0.25">
      <c r="B2007" s="103"/>
      <c r="C2007" s="103"/>
      <c r="D2007" s="103"/>
      <c r="E2007" s="103"/>
      <c r="F2007" s="103"/>
      <c r="H2007" s="103"/>
      <c r="I2007" s="103"/>
      <c r="J2007" s="103"/>
      <c r="K2007" s="103"/>
      <c r="L2007" s="103"/>
      <c r="N2007" s="103"/>
      <c r="O2007" s="103"/>
    </row>
    <row r="2008" spans="2:24" x14ac:dyDescent="0.25">
      <c r="B2008" s="103"/>
      <c r="C2008" s="103"/>
      <c r="D2008" s="103"/>
      <c r="E2008" s="103"/>
      <c r="F2008" s="103"/>
      <c r="H2008" s="103"/>
      <c r="I2008" s="103"/>
      <c r="J2008" s="103"/>
      <c r="K2008" s="103"/>
      <c r="L2008" s="103"/>
      <c r="N2008" s="103"/>
      <c r="O2008" s="103"/>
    </row>
    <row r="2009" spans="2:24" x14ac:dyDescent="0.25">
      <c r="B2009" s="103"/>
      <c r="C2009" s="103"/>
      <c r="D2009" s="103"/>
      <c r="E2009" s="103"/>
      <c r="F2009" s="103"/>
      <c r="H2009" s="103"/>
      <c r="I2009" s="103"/>
      <c r="J2009" s="103"/>
      <c r="K2009" s="103"/>
      <c r="L2009" s="103"/>
      <c r="N2009" s="103"/>
      <c r="O2009" s="103"/>
    </row>
    <row r="2010" spans="2:24" x14ac:dyDescent="0.25">
      <c r="B2010" s="103"/>
      <c r="C2010" s="103"/>
      <c r="D2010" s="103"/>
      <c r="E2010" s="103"/>
      <c r="F2010" s="103"/>
      <c r="H2010" s="103"/>
      <c r="I2010" s="103"/>
      <c r="J2010" s="103"/>
      <c r="K2010" s="103"/>
      <c r="L2010" s="103"/>
      <c r="N2010" s="103"/>
      <c r="O2010" s="103"/>
    </row>
    <row r="2011" spans="2:24" x14ac:dyDescent="0.25">
      <c r="B2011" s="103"/>
      <c r="C2011" s="103"/>
      <c r="D2011" s="103"/>
      <c r="E2011" s="103"/>
      <c r="F2011" s="103"/>
      <c r="H2011" s="103"/>
      <c r="I2011" s="103"/>
      <c r="J2011" s="103"/>
      <c r="K2011" s="103"/>
      <c r="L2011" s="103"/>
      <c r="N2011" s="103"/>
      <c r="O2011" s="103"/>
    </row>
    <row r="2012" spans="2:24" x14ac:dyDescent="0.25">
      <c r="B2012" s="103"/>
      <c r="C2012" s="103"/>
      <c r="D2012" s="103"/>
      <c r="E2012" s="103"/>
      <c r="F2012" s="103"/>
      <c r="H2012" s="103"/>
      <c r="I2012" s="103"/>
      <c r="J2012" s="103"/>
      <c r="K2012" s="103"/>
      <c r="L2012" s="103"/>
      <c r="N2012" s="103"/>
      <c r="O2012" s="103"/>
    </row>
    <row r="2013" spans="2:24" x14ac:dyDescent="0.25">
      <c r="B2013" s="103"/>
      <c r="C2013" s="103"/>
      <c r="D2013" s="103"/>
      <c r="E2013" s="103"/>
      <c r="F2013" s="103"/>
      <c r="H2013" s="103"/>
      <c r="I2013" s="103"/>
      <c r="J2013" s="103"/>
      <c r="K2013" s="103"/>
      <c r="L2013" s="103"/>
      <c r="N2013" s="103"/>
      <c r="O2013" s="103"/>
    </row>
    <row r="2014" spans="2:24" x14ac:dyDescent="0.25">
      <c r="B2014" s="103"/>
      <c r="C2014" s="103"/>
      <c r="D2014" s="103"/>
      <c r="E2014" s="103"/>
      <c r="F2014" s="103"/>
      <c r="H2014" s="103"/>
      <c r="I2014" s="103"/>
      <c r="J2014" s="103"/>
      <c r="K2014" s="103"/>
      <c r="L2014" s="103"/>
      <c r="N2014" s="103"/>
      <c r="O2014" s="103"/>
    </row>
    <row r="2015" spans="2:24" x14ac:dyDescent="0.25">
      <c r="B2015" s="103"/>
      <c r="C2015" s="103"/>
      <c r="D2015" s="103"/>
      <c r="E2015" s="103"/>
      <c r="F2015" s="103"/>
      <c r="H2015" s="103"/>
      <c r="I2015" s="103"/>
      <c r="J2015" s="103"/>
      <c r="K2015" s="103"/>
      <c r="L2015" s="103"/>
      <c r="N2015" s="103"/>
      <c r="O2015" s="103"/>
    </row>
    <row r="2016" spans="2:24" x14ac:dyDescent="0.25">
      <c r="B2016" s="103"/>
      <c r="C2016" s="103"/>
      <c r="D2016" s="103"/>
      <c r="E2016" s="103"/>
      <c r="F2016" s="103"/>
      <c r="H2016" s="103"/>
      <c r="I2016" s="103"/>
      <c r="J2016" s="103"/>
      <c r="K2016" s="103"/>
      <c r="L2016" s="103"/>
      <c r="N2016" s="103"/>
      <c r="O2016" s="103"/>
    </row>
    <row r="2017" spans="2:15" x14ac:dyDescent="0.25">
      <c r="B2017" s="103"/>
      <c r="C2017" s="103"/>
      <c r="D2017" s="103"/>
      <c r="E2017" s="103"/>
      <c r="F2017" s="103"/>
      <c r="H2017" s="103"/>
      <c r="I2017" s="103"/>
      <c r="J2017" s="103"/>
      <c r="K2017" s="103"/>
      <c r="L2017" s="103"/>
      <c r="N2017" s="103"/>
      <c r="O2017" s="103"/>
    </row>
    <row r="2018" spans="2:15" x14ac:dyDescent="0.25">
      <c r="B2018" s="103"/>
      <c r="C2018" s="103"/>
      <c r="D2018" s="103"/>
      <c r="E2018" s="103"/>
      <c r="F2018" s="103"/>
      <c r="H2018" s="103"/>
      <c r="I2018" s="103"/>
      <c r="J2018" s="103"/>
      <c r="K2018" s="103"/>
      <c r="L2018" s="103"/>
      <c r="N2018" s="103"/>
      <c r="O2018" s="103"/>
    </row>
    <row r="2019" spans="2:15" x14ac:dyDescent="0.25">
      <c r="B2019" s="103"/>
      <c r="C2019" s="103"/>
      <c r="D2019" s="103"/>
      <c r="E2019" s="103"/>
      <c r="F2019" s="103"/>
      <c r="H2019" s="103"/>
      <c r="I2019" s="103"/>
      <c r="J2019" s="103"/>
      <c r="K2019" s="103"/>
      <c r="L2019" s="103"/>
      <c r="N2019" s="103"/>
      <c r="O2019" s="103"/>
    </row>
    <row r="2020" spans="2:15" x14ac:dyDescent="0.25">
      <c r="B2020" s="103"/>
      <c r="C2020" s="103"/>
      <c r="D2020" s="103"/>
      <c r="E2020" s="103"/>
      <c r="F2020" s="103"/>
      <c r="H2020" s="103"/>
      <c r="I2020" s="103"/>
      <c r="J2020" s="103"/>
      <c r="K2020" s="103"/>
      <c r="L2020" s="103"/>
      <c r="N2020" s="103"/>
      <c r="O2020" s="103"/>
    </row>
    <row r="2021" spans="2:15" x14ac:dyDescent="0.25">
      <c r="B2021" s="103"/>
      <c r="C2021" s="103"/>
      <c r="D2021" s="103"/>
      <c r="E2021" s="103"/>
      <c r="F2021" s="103"/>
      <c r="H2021" s="103"/>
      <c r="I2021" s="103"/>
      <c r="J2021" s="103"/>
      <c r="K2021" s="103"/>
      <c r="L2021" s="103"/>
      <c r="N2021" s="103"/>
      <c r="O2021" s="103"/>
    </row>
    <row r="2022" spans="2:15" x14ac:dyDescent="0.25">
      <c r="B2022" s="103"/>
      <c r="C2022" s="103"/>
      <c r="D2022" s="103"/>
      <c r="E2022" s="103"/>
      <c r="F2022" s="103"/>
      <c r="H2022" s="103"/>
      <c r="I2022" s="103"/>
      <c r="J2022" s="103"/>
      <c r="K2022" s="103"/>
      <c r="L2022" s="103"/>
      <c r="N2022" s="103"/>
      <c r="O2022" s="103"/>
    </row>
    <row r="2023" spans="2:15" x14ac:dyDescent="0.25">
      <c r="B2023" s="103"/>
      <c r="C2023" s="103"/>
      <c r="D2023" s="103"/>
      <c r="E2023" s="103"/>
      <c r="F2023" s="103"/>
      <c r="H2023" s="103"/>
      <c r="I2023" s="103"/>
      <c r="J2023" s="103"/>
      <c r="K2023" s="103"/>
      <c r="L2023" s="103"/>
      <c r="N2023" s="103"/>
      <c r="O2023" s="103"/>
    </row>
    <row r="2024" spans="2:15" x14ac:dyDescent="0.25">
      <c r="B2024" s="103"/>
      <c r="C2024" s="103"/>
      <c r="D2024" s="103"/>
      <c r="E2024" s="103"/>
      <c r="F2024" s="103"/>
      <c r="H2024" s="103"/>
      <c r="I2024" s="103"/>
      <c r="J2024" s="103"/>
      <c r="K2024" s="103"/>
      <c r="L2024" s="103"/>
      <c r="N2024" s="103"/>
      <c r="O2024" s="103"/>
    </row>
    <row r="2025" spans="2:15" x14ac:dyDescent="0.25">
      <c r="B2025" s="103"/>
      <c r="C2025" s="103"/>
      <c r="D2025" s="103"/>
      <c r="E2025" s="103"/>
      <c r="F2025" s="103"/>
      <c r="H2025" s="103"/>
      <c r="I2025" s="103"/>
      <c r="J2025" s="103"/>
      <c r="K2025" s="103"/>
      <c r="L2025" s="103"/>
      <c r="N2025" s="103"/>
      <c r="O2025" s="103"/>
    </row>
    <row r="2026" spans="2:15" x14ac:dyDescent="0.25">
      <c r="B2026" s="103"/>
      <c r="C2026" s="103"/>
      <c r="D2026" s="103"/>
      <c r="E2026" s="103"/>
      <c r="F2026" s="103"/>
      <c r="H2026" s="103"/>
      <c r="I2026" s="103"/>
      <c r="J2026" s="103"/>
      <c r="K2026" s="103"/>
      <c r="L2026" s="103"/>
      <c r="N2026" s="103"/>
      <c r="O2026" s="103"/>
    </row>
    <row r="2027" spans="2:15" x14ac:dyDescent="0.25">
      <c r="B2027" s="103"/>
      <c r="C2027" s="103"/>
      <c r="D2027" s="103"/>
      <c r="E2027" s="103"/>
      <c r="F2027" s="103"/>
      <c r="H2027" s="103"/>
      <c r="I2027" s="103"/>
      <c r="J2027" s="103"/>
      <c r="K2027" s="103"/>
      <c r="L2027" s="103"/>
      <c r="N2027" s="103"/>
      <c r="O2027" s="103"/>
    </row>
    <row r="2028" spans="2:15" ht="12.75" hidden="1" customHeight="1" x14ac:dyDescent="0.25"/>
    <row r="2029" spans="2:15" ht="12.75" hidden="1" customHeight="1" x14ac:dyDescent="0.25"/>
    <row r="2030" spans="2:15" ht="12.75" hidden="1" customHeight="1" x14ac:dyDescent="0.25"/>
    <row r="2031" spans="2:15" ht="12.75" hidden="1" customHeight="1" x14ac:dyDescent="0.25"/>
    <row r="2032" spans="2:15" ht="12.75" hidden="1" customHeight="1" x14ac:dyDescent="0.25"/>
    <row r="2033" ht="12.75" hidden="1" customHeight="1" x14ac:dyDescent="0.25"/>
    <row r="2034" ht="12.75" hidden="1" customHeight="1" x14ac:dyDescent="0.25"/>
    <row r="2035" ht="12.75" hidden="1" customHeight="1" x14ac:dyDescent="0.25"/>
    <row r="2036" ht="12.75" hidden="1" customHeight="1" x14ac:dyDescent="0.25"/>
    <row r="2037" ht="12.75" hidden="1" customHeight="1" x14ac:dyDescent="0.25"/>
    <row r="2038" ht="12.75" hidden="1" customHeight="1" x14ac:dyDescent="0.25"/>
    <row r="2039" ht="12.75" hidden="1" customHeight="1" x14ac:dyDescent="0.25"/>
    <row r="2040" ht="12.75" hidden="1" customHeight="1" x14ac:dyDescent="0.25"/>
    <row r="2041" ht="12.75" hidden="1" customHeight="1" x14ac:dyDescent="0.25"/>
    <row r="2042" ht="12.75" hidden="1" customHeight="1" x14ac:dyDescent="0.25"/>
    <row r="2043" ht="12.75" hidden="1" customHeight="1" x14ac:dyDescent="0.25"/>
    <row r="2044" ht="12.75" hidden="1" customHeight="1" x14ac:dyDescent="0.25"/>
    <row r="2045" ht="12.75" hidden="1" customHeight="1" x14ac:dyDescent="0.25"/>
    <row r="2046" ht="12.75" hidden="1" customHeight="1" x14ac:dyDescent="0.25"/>
    <row r="2047" ht="12.75" hidden="1" customHeight="1" x14ac:dyDescent="0.25"/>
    <row r="2048" ht="12.75" hidden="1" customHeight="1" x14ac:dyDescent="0.25"/>
    <row r="2049" ht="12.75" hidden="1" customHeight="1" x14ac:dyDescent="0.25"/>
    <row r="2050" ht="12.75" hidden="1" customHeight="1" x14ac:dyDescent="0.25"/>
    <row r="2051" ht="12.75" hidden="1" customHeight="1" x14ac:dyDescent="0.25"/>
    <row r="2052" ht="12.75" hidden="1" customHeight="1" x14ac:dyDescent="0.25"/>
    <row r="2053" ht="12.75" hidden="1" customHeight="1" x14ac:dyDescent="0.25"/>
    <row r="2054" ht="12.75" hidden="1" customHeight="1" x14ac:dyDescent="0.25"/>
    <row r="2055" ht="12.75" hidden="1" customHeight="1" x14ac:dyDescent="0.25"/>
    <row r="2056" ht="12.75" hidden="1" customHeight="1" x14ac:dyDescent="0.25"/>
    <row r="2057" ht="12.75" hidden="1" customHeight="1" x14ac:dyDescent="0.25"/>
    <row r="2058" ht="12.75" hidden="1" customHeight="1" x14ac:dyDescent="0.25"/>
    <row r="2059" ht="12.75" hidden="1" customHeight="1" x14ac:dyDescent="0.25"/>
    <row r="2060" ht="12.75" hidden="1" customHeight="1" x14ac:dyDescent="0.25"/>
    <row r="2061" ht="12.75" hidden="1" customHeight="1" x14ac:dyDescent="0.25"/>
    <row r="2062" ht="12.75" hidden="1" customHeight="1" x14ac:dyDescent="0.25"/>
    <row r="2063" ht="12.75" hidden="1" customHeight="1" x14ac:dyDescent="0.25"/>
    <row r="2064" ht="12.75" hidden="1" customHeight="1" x14ac:dyDescent="0.25"/>
    <row r="2065" ht="12.75" hidden="1" customHeight="1" x14ac:dyDescent="0.25"/>
    <row r="2066" ht="12.75" hidden="1" customHeight="1" x14ac:dyDescent="0.25"/>
    <row r="2067" ht="12.75" hidden="1" customHeight="1" x14ac:dyDescent="0.25"/>
    <row r="2068" ht="12.75" hidden="1" customHeight="1" x14ac:dyDescent="0.25"/>
    <row r="2069" ht="12.75" hidden="1" customHeight="1" x14ac:dyDescent="0.25"/>
    <row r="2070" ht="12.75" hidden="1" customHeight="1" x14ac:dyDescent="0.25"/>
    <row r="2071" ht="12.75" hidden="1" customHeight="1" x14ac:dyDescent="0.25"/>
    <row r="2072" ht="12.75" hidden="1" customHeight="1" x14ac:dyDescent="0.25"/>
    <row r="2073" ht="12.75" hidden="1" customHeight="1" x14ac:dyDescent="0.25"/>
    <row r="2074" ht="12.75" hidden="1" customHeight="1" x14ac:dyDescent="0.25"/>
    <row r="2075" ht="12.75" hidden="1" customHeight="1" x14ac:dyDescent="0.25"/>
    <row r="2076" ht="12.75" hidden="1" customHeight="1" x14ac:dyDescent="0.25"/>
    <row r="2077" ht="12.75" hidden="1" customHeight="1" x14ac:dyDescent="0.25"/>
    <row r="2078" ht="12.75" hidden="1" customHeight="1" x14ac:dyDescent="0.25"/>
    <row r="2079" ht="12.75" hidden="1" customHeight="1" x14ac:dyDescent="0.25"/>
    <row r="2080" ht="12.75" hidden="1" customHeight="1" x14ac:dyDescent="0.25"/>
    <row r="2081" ht="12.75" hidden="1" customHeight="1" x14ac:dyDescent="0.25"/>
    <row r="2082" ht="12.75" hidden="1" customHeight="1" x14ac:dyDescent="0.25"/>
    <row r="2083" ht="12.75" hidden="1" customHeight="1" x14ac:dyDescent="0.25"/>
    <row r="2084" ht="12.75" hidden="1" customHeight="1" x14ac:dyDescent="0.25"/>
    <row r="2085" ht="12.75" hidden="1" customHeight="1" x14ac:dyDescent="0.25"/>
    <row r="2086" ht="12.75" hidden="1" customHeight="1" x14ac:dyDescent="0.25"/>
    <row r="2087" ht="12.75" hidden="1" customHeight="1" x14ac:dyDescent="0.25"/>
    <row r="2088" ht="12.75" hidden="1" customHeight="1" x14ac:dyDescent="0.25"/>
    <row r="2089" ht="12.75" hidden="1" customHeight="1" x14ac:dyDescent="0.25"/>
    <row r="2090" ht="12.75" hidden="1" customHeight="1" x14ac:dyDescent="0.25"/>
    <row r="2091" ht="12.75" hidden="1" customHeight="1" x14ac:dyDescent="0.25"/>
    <row r="2092" ht="12.75" hidden="1" customHeight="1" x14ac:dyDescent="0.25"/>
    <row r="2093" ht="12.75" hidden="1" customHeight="1" x14ac:dyDescent="0.25"/>
    <row r="2094" ht="12.75" hidden="1" customHeight="1" x14ac:dyDescent="0.25"/>
    <row r="2095" ht="12.75" hidden="1" customHeight="1" x14ac:dyDescent="0.25"/>
    <row r="2096" ht="12.75" hidden="1" customHeight="1" x14ac:dyDescent="0.25"/>
    <row r="2097" ht="12.75" hidden="1" customHeight="1" x14ac:dyDescent="0.25"/>
    <row r="2098" ht="12.75" hidden="1" customHeight="1" x14ac:dyDescent="0.25"/>
    <row r="2099" ht="12.75" hidden="1" customHeight="1" x14ac:dyDescent="0.25"/>
    <row r="2100" ht="12.75" hidden="1" customHeight="1" x14ac:dyDescent="0.25"/>
    <row r="2101" ht="12.75" hidden="1" customHeight="1" x14ac:dyDescent="0.25"/>
    <row r="2102" ht="12.75" hidden="1" customHeight="1" x14ac:dyDescent="0.25"/>
    <row r="2103" ht="12.75" hidden="1" customHeight="1" x14ac:dyDescent="0.25"/>
    <row r="2104" ht="12.75" hidden="1" customHeight="1" x14ac:dyDescent="0.25"/>
    <row r="2105" ht="12.75" hidden="1" customHeight="1" x14ac:dyDescent="0.25"/>
    <row r="2106" ht="12.75" hidden="1" customHeight="1" x14ac:dyDescent="0.25"/>
    <row r="2107" ht="12.75" hidden="1" customHeight="1" x14ac:dyDescent="0.25"/>
    <row r="2108" ht="12.75" hidden="1" customHeight="1" x14ac:dyDescent="0.25"/>
    <row r="2109" ht="12.75" hidden="1" customHeight="1" x14ac:dyDescent="0.25"/>
    <row r="2110" ht="12.75" hidden="1" customHeight="1" x14ac:dyDescent="0.25"/>
    <row r="2111" ht="12.75" hidden="1" customHeight="1" x14ac:dyDescent="0.25"/>
    <row r="2112" ht="12.75" hidden="1" customHeight="1" x14ac:dyDescent="0.25"/>
    <row r="2113" ht="12.75" hidden="1" customHeight="1" x14ac:dyDescent="0.25"/>
    <row r="2114" ht="12.75" hidden="1" customHeight="1" x14ac:dyDescent="0.25"/>
    <row r="2115" ht="12.75" hidden="1" customHeight="1" x14ac:dyDescent="0.25"/>
    <row r="2116" ht="12.75" hidden="1" customHeight="1" x14ac:dyDescent="0.25"/>
    <row r="2117" ht="12.75" hidden="1" customHeight="1" x14ac:dyDescent="0.25"/>
    <row r="2118" ht="12.75" hidden="1" customHeight="1" x14ac:dyDescent="0.25"/>
    <row r="2119" ht="12.75" hidden="1" customHeight="1" x14ac:dyDescent="0.25"/>
    <row r="2120" ht="12.75" hidden="1" customHeight="1" x14ac:dyDescent="0.25"/>
    <row r="2121" ht="12.75" hidden="1" customHeight="1" x14ac:dyDescent="0.25"/>
    <row r="2122" ht="12.75" hidden="1" customHeight="1" x14ac:dyDescent="0.25"/>
    <row r="2123" ht="12.75" hidden="1" customHeight="1" x14ac:dyDescent="0.25"/>
    <row r="2124" ht="12.75" hidden="1" customHeight="1" x14ac:dyDescent="0.25"/>
    <row r="2125" ht="12.75" hidden="1" customHeight="1" x14ac:dyDescent="0.25"/>
    <row r="2126" ht="12.75" hidden="1" customHeight="1" x14ac:dyDescent="0.25"/>
    <row r="2127" ht="12.75" hidden="1" customHeight="1" x14ac:dyDescent="0.25"/>
    <row r="2128" ht="12.75" hidden="1" customHeight="1" x14ac:dyDescent="0.25"/>
    <row r="2129" ht="12.75" hidden="1" customHeight="1" x14ac:dyDescent="0.25"/>
    <row r="2130" ht="12.75" hidden="1" customHeight="1" x14ac:dyDescent="0.25"/>
    <row r="2131" ht="12.75" hidden="1" customHeight="1" x14ac:dyDescent="0.25"/>
    <row r="2132" ht="12.75" hidden="1" customHeight="1" x14ac:dyDescent="0.25"/>
    <row r="2133" ht="12.75" hidden="1" customHeight="1" x14ac:dyDescent="0.25"/>
    <row r="2134" ht="12.75" hidden="1" customHeight="1" x14ac:dyDescent="0.25"/>
    <row r="2135" ht="12.75" hidden="1" customHeight="1" x14ac:dyDescent="0.25"/>
    <row r="2136" ht="12.75" hidden="1" customHeight="1" x14ac:dyDescent="0.25"/>
    <row r="2137" ht="12.75" hidden="1" customHeight="1" x14ac:dyDescent="0.25"/>
    <row r="2138" ht="12.75" hidden="1" customHeight="1" x14ac:dyDescent="0.25"/>
    <row r="2139" ht="12.75" hidden="1" customHeight="1" x14ac:dyDescent="0.25"/>
    <row r="2140" ht="12.75" hidden="1" customHeight="1" x14ac:dyDescent="0.25"/>
    <row r="2141" ht="12.75" hidden="1" customHeight="1" x14ac:dyDescent="0.25"/>
    <row r="2142" ht="12.75" hidden="1" customHeight="1" x14ac:dyDescent="0.25"/>
    <row r="2143" ht="12.75" hidden="1" customHeight="1" x14ac:dyDescent="0.25"/>
    <row r="2144" ht="12.75" hidden="1" customHeight="1" x14ac:dyDescent="0.25"/>
    <row r="2145" ht="12.75" hidden="1" customHeight="1" x14ac:dyDescent="0.25"/>
    <row r="2146" ht="12.75" hidden="1" customHeight="1" x14ac:dyDescent="0.25"/>
    <row r="2147" ht="12.75" hidden="1" customHeight="1" x14ac:dyDescent="0.25"/>
    <row r="2148" ht="12.75" hidden="1" customHeight="1" x14ac:dyDescent="0.25"/>
    <row r="2149" ht="12.75" hidden="1" customHeight="1" x14ac:dyDescent="0.25"/>
    <row r="2150" ht="12.75" hidden="1" customHeight="1" x14ac:dyDescent="0.25"/>
    <row r="2151" ht="12.75" hidden="1" customHeight="1" x14ac:dyDescent="0.25"/>
    <row r="2152" ht="12.75" hidden="1" customHeight="1" x14ac:dyDescent="0.25"/>
    <row r="2153" ht="12.75" hidden="1" customHeight="1" x14ac:dyDescent="0.25"/>
    <row r="2154" ht="12.75" hidden="1" customHeight="1" x14ac:dyDescent="0.25"/>
    <row r="2155" ht="12.75" hidden="1" customHeight="1" x14ac:dyDescent="0.25"/>
    <row r="2156" ht="12.75" hidden="1" customHeight="1" x14ac:dyDescent="0.25"/>
    <row r="2157" ht="12.75" hidden="1" customHeight="1" x14ac:dyDescent="0.25"/>
    <row r="2158" ht="12.75" hidden="1" customHeight="1" x14ac:dyDescent="0.25"/>
    <row r="2159" ht="12.75" hidden="1" customHeight="1" x14ac:dyDescent="0.25"/>
    <row r="2160" ht="12.75" hidden="1" customHeight="1" x14ac:dyDescent="0.25"/>
    <row r="2161" ht="12.75" hidden="1" customHeight="1" x14ac:dyDescent="0.25"/>
    <row r="2162" ht="12.75" hidden="1" customHeight="1" x14ac:dyDescent="0.25"/>
    <row r="2163" ht="12.75" hidden="1" customHeight="1" x14ac:dyDescent="0.25"/>
    <row r="2164" ht="12.75" hidden="1" customHeight="1" x14ac:dyDescent="0.25"/>
    <row r="2165" ht="12.75" hidden="1" customHeight="1" x14ac:dyDescent="0.25"/>
    <row r="2166" ht="12.75" hidden="1" customHeight="1" x14ac:dyDescent="0.25"/>
    <row r="2167" ht="12.75" hidden="1" customHeight="1" x14ac:dyDescent="0.25"/>
    <row r="2168" ht="12.75" hidden="1" customHeight="1" x14ac:dyDescent="0.25"/>
    <row r="2169" ht="12.75" hidden="1" customHeight="1" x14ac:dyDescent="0.25"/>
    <row r="2170" ht="12.75" hidden="1" customHeight="1" x14ac:dyDescent="0.25"/>
    <row r="2171" ht="12.75" hidden="1" customHeight="1" x14ac:dyDescent="0.25"/>
    <row r="2172" ht="12.75" hidden="1" customHeight="1" x14ac:dyDescent="0.25"/>
    <row r="2173" ht="12.75" hidden="1" customHeight="1" x14ac:dyDescent="0.25"/>
    <row r="2174" ht="12.75" hidden="1" customHeight="1" x14ac:dyDescent="0.25"/>
    <row r="2175" ht="12.75" hidden="1" customHeight="1" x14ac:dyDescent="0.25"/>
    <row r="2176" ht="12.75" hidden="1" customHeight="1" x14ac:dyDescent="0.25"/>
    <row r="2177" ht="12.75" hidden="1" customHeight="1" x14ac:dyDescent="0.25"/>
    <row r="2178" ht="12.75" hidden="1" customHeight="1" x14ac:dyDescent="0.25"/>
    <row r="2179" ht="12.75" hidden="1" customHeight="1" x14ac:dyDescent="0.25"/>
    <row r="2180" ht="12.75" hidden="1" customHeight="1" x14ac:dyDescent="0.25"/>
    <row r="2181" ht="12.75" hidden="1" customHeight="1" x14ac:dyDescent="0.25"/>
    <row r="2182" ht="12.75" hidden="1" customHeight="1" x14ac:dyDescent="0.25"/>
    <row r="2183" ht="12.75" hidden="1" customHeight="1" x14ac:dyDescent="0.25"/>
    <row r="2184" ht="12.75" hidden="1" customHeight="1" x14ac:dyDescent="0.25"/>
    <row r="2185" ht="12.75" hidden="1" customHeight="1" x14ac:dyDescent="0.25"/>
    <row r="2186" ht="12.75" hidden="1" customHeight="1" x14ac:dyDescent="0.25"/>
    <row r="2187" ht="12.75" hidden="1" customHeight="1" x14ac:dyDescent="0.25"/>
    <row r="2188" ht="12.75" hidden="1" customHeight="1" x14ac:dyDescent="0.25"/>
    <row r="2189" ht="12.75" hidden="1" customHeight="1" x14ac:dyDescent="0.25"/>
    <row r="2190" ht="12.75" hidden="1" customHeight="1" x14ac:dyDescent="0.25"/>
    <row r="2191" ht="12.75" hidden="1" customHeight="1" x14ac:dyDescent="0.25"/>
    <row r="2192" ht="12.75" hidden="1" customHeight="1" x14ac:dyDescent="0.25"/>
    <row r="2193" ht="12.75" hidden="1" customHeight="1" x14ac:dyDescent="0.25"/>
    <row r="2194" ht="12.75" hidden="1" customHeight="1" x14ac:dyDescent="0.25"/>
    <row r="2195" ht="12.75" hidden="1" customHeight="1" x14ac:dyDescent="0.25"/>
    <row r="2196" ht="12.75" hidden="1" customHeight="1" x14ac:dyDescent="0.25"/>
    <row r="2197" ht="12.75" hidden="1" customHeight="1" x14ac:dyDescent="0.25"/>
    <row r="2198" ht="12.75" hidden="1" customHeight="1" x14ac:dyDescent="0.25"/>
    <row r="2199" ht="12.75" hidden="1" customHeight="1" x14ac:dyDescent="0.25"/>
    <row r="2200" ht="12.75" hidden="1" customHeight="1" x14ac:dyDescent="0.25"/>
    <row r="2201" ht="12.75" hidden="1" customHeight="1" x14ac:dyDescent="0.25"/>
    <row r="2202" ht="12.75" hidden="1" customHeight="1" x14ac:dyDescent="0.25"/>
    <row r="2203" ht="12.75" hidden="1" customHeight="1" x14ac:dyDescent="0.25"/>
    <row r="2204" ht="12.75" hidden="1" customHeight="1" x14ac:dyDescent="0.25"/>
    <row r="2205" ht="12.75" hidden="1" customHeight="1" x14ac:dyDescent="0.25"/>
    <row r="2206" ht="12.75" hidden="1" customHeight="1" x14ac:dyDescent="0.25"/>
    <row r="2207" ht="12.75" hidden="1" customHeight="1" x14ac:dyDescent="0.25"/>
    <row r="2208" ht="12.75" hidden="1" customHeight="1" x14ac:dyDescent="0.25"/>
    <row r="2209" ht="12.75" hidden="1" customHeight="1" x14ac:dyDescent="0.25"/>
    <row r="2210" ht="12.75" hidden="1" customHeight="1" x14ac:dyDescent="0.25"/>
    <row r="2211" ht="12.75" hidden="1" customHeight="1" x14ac:dyDescent="0.25"/>
    <row r="2212" ht="12.75" hidden="1" customHeight="1" x14ac:dyDescent="0.25"/>
    <row r="2213" ht="12.75" hidden="1" customHeight="1" x14ac:dyDescent="0.25"/>
    <row r="2214" ht="12.75" hidden="1" customHeight="1" x14ac:dyDescent="0.25"/>
    <row r="2215" ht="12.75" hidden="1" customHeight="1" x14ac:dyDescent="0.25"/>
    <row r="2216" ht="12.75" hidden="1" customHeight="1" x14ac:dyDescent="0.25"/>
    <row r="2217" ht="12.75" hidden="1" customHeight="1" x14ac:dyDescent="0.25"/>
    <row r="2218" ht="12.75" hidden="1" customHeight="1" x14ac:dyDescent="0.25"/>
    <row r="2219" ht="12.75" hidden="1" customHeight="1" x14ac:dyDescent="0.25"/>
    <row r="2220" ht="12.75" hidden="1" customHeight="1" x14ac:dyDescent="0.25"/>
    <row r="2221" ht="12.75" hidden="1" customHeight="1" x14ac:dyDescent="0.25"/>
    <row r="2222" ht="12.75" hidden="1" customHeight="1" x14ac:dyDescent="0.25"/>
    <row r="2223" ht="12.75" hidden="1" customHeight="1" x14ac:dyDescent="0.25"/>
    <row r="2224" ht="12.75" hidden="1" customHeight="1" x14ac:dyDescent="0.25"/>
    <row r="2225" ht="12.75" hidden="1" customHeight="1" x14ac:dyDescent="0.25"/>
    <row r="2226" ht="12.75" hidden="1" customHeight="1" x14ac:dyDescent="0.25"/>
    <row r="2227" ht="12.75" hidden="1" customHeight="1" x14ac:dyDescent="0.25"/>
    <row r="2228" ht="12.75" hidden="1" customHeight="1" x14ac:dyDescent="0.25"/>
    <row r="2229" ht="12.75" hidden="1" customHeight="1" x14ac:dyDescent="0.25"/>
    <row r="2230" ht="12.75" hidden="1" customHeight="1" x14ac:dyDescent="0.25"/>
    <row r="2231" ht="12.75" hidden="1" customHeight="1" x14ac:dyDescent="0.25"/>
    <row r="2232" ht="12.75" hidden="1" customHeight="1" x14ac:dyDescent="0.25"/>
    <row r="2233" ht="12.75" hidden="1" customHeight="1" x14ac:dyDescent="0.25"/>
    <row r="2234" ht="12.75" hidden="1" customHeight="1" x14ac:dyDescent="0.25"/>
    <row r="2235" ht="12.75" hidden="1" customHeight="1" x14ac:dyDescent="0.25"/>
    <row r="2236" ht="12.75" hidden="1" customHeight="1" x14ac:dyDescent="0.25"/>
    <row r="2237" ht="12.75" hidden="1" customHeight="1" x14ac:dyDescent="0.25"/>
    <row r="2238" ht="12.75" hidden="1" customHeight="1" x14ac:dyDescent="0.25"/>
    <row r="2239" ht="12.75" hidden="1" customHeight="1" x14ac:dyDescent="0.25"/>
    <row r="2240" ht="12.75" hidden="1" customHeight="1" x14ac:dyDescent="0.25"/>
    <row r="2241" ht="12.75" hidden="1" customHeight="1" x14ac:dyDescent="0.25"/>
    <row r="2242" ht="12.75" hidden="1" customHeight="1" x14ac:dyDescent="0.25"/>
    <row r="2243" ht="12.75" hidden="1" customHeight="1" x14ac:dyDescent="0.25"/>
    <row r="2244" ht="12.75" hidden="1" customHeight="1" x14ac:dyDescent="0.25"/>
    <row r="2245" ht="12.75" hidden="1" customHeight="1" x14ac:dyDescent="0.25"/>
    <row r="2246" ht="12.75" hidden="1" customHeight="1" x14ac:dyDescent="0.25"/>
    <row r="2247" ht="12.75" hidden="1" customHeight="1" x14ac:dyDescent="0.25"/>
    <row r="2248" ht="12.75" hidden="1" customHeight="1" x14ac:dyDescent="0.25"/>
    <row r="2249" ht="12.75" hidden="1" customHeight="1" x14ac:dyDescent="0.25"/>
    <row r="2250" ht="12.75" hidden="1" customHeight="1" x14ac:dyDescent="0.25"/>
    <row r="2251" ht="12.75" hidden="1" customHeight="1" x14ac:dyDescent="0.25"/>
    <row r="2252" ht="12.75" hidden="1" customHeight="1" x14ac:dyDescent="0.25"/>
    <row r="2253" ht="12.75" hidden="1" customHeight="1" x14ac:dyDescent="0.25"/>
    <row r="2254" ht="12.75" hidden="1" customHeight="1" x14ac:dyDescent="0.25"/>
    <row r="2255" ht="12.75" hidden="1" customHeight="1" x14ac:dyDescent="0.25"/>
    <row r="2256" ht="12.75" hidden="1" customHeight="1" x14ac:dyDescent="0.25"/>
    <row r="2257" ht="12.75" hidden="1" customHeight="1" x14ac:dyDescent="0.25"/>
    <row r="2258" ht="12.75" hidden="1" customHeight="1" x14ac:dyDescent="0.25"/>
    <row r="2259" ht="12.75" hidden="1" customHeight="1" x14ac:dyDescent="0.25"/>
    <row r="2260" ht="12.75" hidden="1" customHeight="1" x14ac:dyDescent="0.25"/>
    <row r="2261" ht="12.75" hidden="1" customHeight="1" x14ac:dyDescent="0.25"/>
    <row r="2262" ht="12.75" hidden="1" customHeight="1" x14ac:dyDescent="0.25"/>
    <row r="2263" ht="12.75" hidden="1" customHeight="1" x14ac:dyDescent="0.25"/>
    <row r="2264" ht="12.75" hidden="1" customHeight="1" x14ac:dyDescent="0.25"/>
    <row r="2265" ht="12.75" hidden="1" customHeight="1" x14ac:dyDescent="0.25"/>
    <row r="2266" ht="12.75" hidden="1" customHeight="1" x14ac:dyDescent="0.25"/>
    <row r="2267" ht="12.75" hidden="1" customHeight="1" x14ac:dyDescent="0.25"/>
    <row r="2268" ht="12.75" hidden="1" customHeight="1" x14ac:dyDescent="0.25"/>
    <row r="2269" ht="12.75" hidden="1" customHeight="1" x14ac:dyDescent="0.25"/>
    <row r="2270" ht="12.75" hidden="1" customHeight="1" x14ac:dyDescent="0.25"/>
    <row r="2271" ht="12.75" hidden="1" customHeight="1" x14ac:dyDescent="0.25"/>
    <row r="2272" ht="12.75" hidden="1" customHeight="1" x14ac:dyDescent="0.25"/>
    <row r="2273" ht="12.75" hidden="1" customHeight="1" x14ac:dyDescent="0.25"/>
    <row r="2274" ht="12.75" hidden="1" customHeight="1" x14ac:dyDescent="0.25"/>
    <row r="2275" ht="12.75" hidden="1" customHeight="1" x14ac:dyDescent="0.25"/>
    <row r="2276" ht="12.75" hidden="1" customHeight="1" x14ac:dyDescent="0.25"/>
    <row r="2277" ht="12.75" hidden="1" customHeight="1" x14ac:dyDescent="0.25"/>
    <row r="2278" ht="12.75" hidden="1" customHeight="1" x14ac:dyDescent="0.25"/>
    <row r="2279" ht="12.75" hidden="1" customHeight="1" x14ac:dyDescent="0.25"/>
    <row r="2280" ht="12.75" hidden="1" customHeight="1" x14ac:dyDescent="0.25"/>
    <row r="2281" ht="12.75" hidden="1" customHeight="1" x14ac:dyDescent="0.25"/>
    <row r="2282" ht="12.75" hidden="1" customHeight="1" x14ac:dyDescent="0.25"/>
    <row r="2283" ht="12.75" hidden="1" customHeight="1" x14ac:dyDescent="0.25"/>
    <row r="2284" ht="12.75" hidden="1" customHeight="1" x14ac:dyDescent="0.25"/>
    <row r="2285" ht="12.75" hidden="1" customHeight="1" x14ac:dyDescent="0.25"/>
    <row r="2286" ht="12.75" hidden="1" customHeight="1" x14ac:dyDescent="0.25"/>
    <row r="2287" ht="12.75" hidden="1" customHeight="1" x14ac:dyDescent="0.25"/>
    <row r="2288" ht="12.75" hidden="1" customHeight="1" x14ac:dyDescent="0.25"/>
    <row r="2289" ht="12.75" hidden="1" customHeight="1" x14ac:dyDescent="0.25"/>
    <row r="2290" ht="12.75" hidden="1" customHeight="1" x14ac:dyDescent="0.25"/>
    <row r="2291" ht="12.75" hidden="1" customHeight="1" x14ac:dyDescent="0.25"/>
    <row r="2292" ht="12.75" hidden="1" customHeight="1" x14ac:dyDescent="0.25"/>
    <row r="2293" ht="12.75" hidden="1" customHeight="1" x14ac:dyDescent="0.25"/>
    <row r="2294" ht="12.75" hidden="1" customHeight="1" x14ac:dyDescent="0.25"/>
    <row r="2295" ht="12.75" hidden="1" customHeight="1" x14ac:dyDescent="0.25"/>
    <row r="2296" ht="12.75" hidden="1" customHeight="1" x14ac:dyDescent="0.25"/>
    <row r="2297" ht="12.75" hidden="1" customHeight="1" x14ac:dyDescent="0.25"/>
    <row r="2298" ht="12.75" hidden="1" customHeight="1" x14ac:dyDescent="0.25"/>
    <row r="2299" ht="12.75" hidden="1" customHeight="1" x14ac:dyDescent="0.25"/>
    <row r="2300" ht="12.75" hidden="1" customHeight="1" x14ac:dyDescent="0.25"/>
    <row r="2301" ht="12.75" hidden="1" customHeight="1" x14ac:dyDescent="0.25"/>
    <row r="2302" ht="12.75" hidden="1" customHeight="1" x14ac:dyDescent="0.25"/>
    <row r="2303" ht="12.75" hidden="1" customHeight="1" x14ac:dyDescent="0.25"/>
    <row r="2304" ht="12.75" hidden="1" customHeight="1" x14ac:dyDescent="0.25"/>
    <row r="2305" ht="12.75" hidden="1" customHeight="1" x14ac:dyDescent="0.25"/>
    <row r="2306" ht="12.75" hidden="1" customHeight="1" x14ac:dyDescent="0.25"/>
    <row r="2307" ht="12.75" hidden="1" customHeight="1" x14ac:dyDescent="0.25"/>
    <row r="2308" ht="12.75" hidden="1" customHeight="1" x14ac:dyDescent="0.25"/>
    <row r="2309" ht="12.75" hidden="1" customHeight="1" x14ac:dyDescent="0.25"/>
    <row r="2310" ht="12.75" hidden="1" customHeight="1" x14ac:dyDescent="0.25"/>
    <row r="2311" ht="12.75" hidden="1" customHeight="1" x14ac:dyDescent="0.25"/>
    <row r="2312" ht="12.75" hidden="1" customHeight="1" x14ac:dyDescent="0.25"/>
    <row r="2313" ht="12.75" hidden="1" customHeight="1" x14ac:dyDescent="0.25"/>
    <row r="2314" ht="12.75" hidden="1" customHeight="1" x14ac:dyDescent="0.25"/>
    <row r="2315" ht="12.75" hidden="1" customHeight="1" x14ac:dyDescent="0.25"/>
    <row r="2316" ht="12.75" hidden="1" customHeight="1" x14ac:dyDescent="0.25"/>
    <row r="2317" ht="12.75" hidden="1" customHeight="1" x14ac:dyDescent="0.25"/>
    <row r="2318" ht="12.75" hidden="1" customHeight="1" x14ac:dyDescent="0.25"/>
    <row r="2319" ht="12.75" hidden="1" customHeight="1" x14ac:dyDescent="0.25"/>
    <row r="2320" ht="12.75" hidden="1" customHeight="1" x14ac:dyDescent="0.25"/>
    <row r="2321" ht="12.75" hidden="1" customHeight="1" x14ac:dyDescent="0.25"/>
    <row r="2322" ht="12.75" hidden="1" customHeight="1" x14ac:dyDescent="0.25"/>
    <row r="2323" ht="12.75" hidden="1" customHeight="1" x14ac:dyDescent="0.25"/>
    <row r="2324" ht="12.75" hidden="1" customHeight="1" x14ac:dyDescent="0.25"/>
    <row r="2325" ht="12.75" hidden="1" customHeight="1" x14ac:dyDescent="0.25"/>
    <row r="2326" ht="12.75" hidden="1" customHeight="1" x14ac:dyDescent="0.25"/>
    <row r="2327" ht="12.75" hidden="1" customHeight="1" x14ac:dyDescent="0.25"/>
    <row r="2328" ht="12.75" hidden="1" customHeight="1" x14ac:dyDescent="0.25"/>
    <row r="2329" ht="12.75" hidden="1" customHeight="1" x14ac:dyDescent="0.25"/>
    <row r="2330" ht="12.75" hidden="1" customHeight="1" x14ac:dyDescent="0.25"/>
    <row r="2331" ht="12.75" hidden="1" customHeight="1" x14ac:dyDescent="0.25"/>
    <row r="2332" ht="12.75" hidden="1" customHeight="1" x14ac:dyDescent="0.25"/>
    <row r="2333" ht="12.75" hidden="1" customHeight="1" x14ac:dyDescent="0.25"/>
    <row r="2334" ht="12.75" hidden="1" customHeight="1" x14ac:dyDescent="0.25"/>
    <row r="2335" ht="12.75" hidden="1" customHeight="1" x14ac:dyDescent="0.25"/>
    <row r="2336" ht="12.75" hidden="1" customHeight="1" x14ac:dyDescent="0.25"/>
    <row r="2337" ht="12.75" hidden="1" customHeight="1" x14ac:dyDescent="0.25"/>
    <row r="2338" ht="12.75" hidden="1" customHeight="1" x14ac:dyDescent="0.25"/>
    <row r="2339" ht="12.75" hidden="1" customHeight="1" x14ac:dyDescent="0.25"/>
    <row r="2340" ht="12.75" hidden="1" customHeight="1" x14ac:dyDescent="0.25"/>
    <row r="2341" ht="12.75" hidden="1" customHeight="1" x14ac:dyDescent="0.25"/>
    <row r="2342" ht="12.75" hidden="1" customHeight="1" x14ac:dyDescent="0.25"/>
    <row r="2343" ht="12.75" hidden="1" customHeight="1" x14ac:dyDescent="0.25"/>
    <row r="2344" ht="12.75" hidden="1" customHeight="1" x14ac:dyDescent="0.25"/>
    <row r="2345" ht="12.75" hidden="1" customHeight="1" x14ac:dyDescent="0.25"/>
    <row r="2346" ht="12.75" hidden="1" customHeight="1" x14ac:dyDescent="0.25"/>
    <row r="2347" ht="12.75" hidden="1" customHeight="1" x14ac:dyDescent="0.25"/>
    <row r="2348" ht="12.75" hidden="1" customHeight="1" x14ac:dyDescent="0.25"/>
    <row r="2349" ht="12.75" hidden="1" customHeight="1" x14ac:dyDescent="0.25"/>
    <row r="2350" ht="12.75" hidden="1" customHeight="1" x14ac:dyDescent="0.25"/>
    <row r="2351" ht="12.75" hidden="1" customHeight="1" x14ac:dyDescent="0.25"/>
    <row r="2352" ht="12.75" hidden="1" customHeight="1" x14ac:dyDescent="0.25"/>
    <row r="2353" ht="12.75" hidden="1" customHeight="1" x14ac:dyDescent="0.25"/>
    <row r="2354" ht="12.75" hidden="1" customHeight="1" x14ac:dyDescent="0.25"/>
    <row r="2355" ht="12.75" hidden="1" customHeight="1" x14ac:dyDescent="0.25"/>
    <row r="2356" ht="12.75" hidden="1" customHeight="1" x14ac:dyDescent="0.25"/>
    <row r="2357" ht="12.75" hidden="1" customHeight="1" x14ac:dyDescent="0.25"/>
    <row r="2358" ht="12.75" hidden="1" customHeight="1" x14ac:dyDescent="0.25"/>
    <row r="2359" ht="12.75" hidden="1" customHeight="1" x14ac:dyDescent="0.25"/>
    <row r="2360" ht="12.75" hidden="1" customHeight="1" x14ac:dyDescent="0.25"/>
    <row r="2361" ht="12.75" hidden="1" customHeight="1" x14ac:dyDescent="0.25"/>
    <row r="2362" ht="12.75" hidden="1" customHeight="1" x14ac:dyDescent="0.25"/>
    <row r="2363" ht="12.75" hidden="1" customHeight="1" x14ac:dyDescent="0.25"/>
    <row r="2364" ht="12.75" hidden="1" customHeight="1" x14ac:dyDescent="0.25"/>
    <row r="2365" ht="12.75" hidden="1" customHeight="1" x14ac:dyDescent="0.25"/>
    <row r="2366" ht="12.75" hidden="1" customHeight="1" x14ac:dyDescent="0.25"/>
    <row r="2367" ht="12.75" hidden="1" customHeight="1" x14ac:dyDescent="0.25"/>
    <row r="2368" ht="12.75" hidden="1" customHeight="1" x14ac:dyDescent="0.25"/>
    <row r="2369" ht="12.75" hidden="1" customHeight="1" x14ac:dyDescent="0.25"/>
    <row r="2370" ht="12.75" hidden="1" customHeight="1" x14ac:dyDescent="0.25"/>
    <row r="2371" ht="12.75" hidden="1" customHeight="1" x14ac:dyDescent="0.25"/>
    <row r="2372" ht="12.75" hidden="1" customHeight="1" x14ac:dyDescent="0.25"/>
    <row r="2373" ht="12.75" hidden="1" customHeight="1" x14ac:dyDescent="0.25"/>
    <row r="2374" ht="12.75" hidden="1" customHeight="1" x14ac:dyDescent="0.25"/>
    <row r="2375" ht="12.75" hidden="1" customHeight="1" x14ac:dyDescent="0.25"/>
    <row r="2376" ht="12.75" hidden="1" customHeight="1" x14ac:dyDescent="0.25"/>
    <row r="2377" ht="12.75" hidden="1" customHeight="1" x14ac:dyDescent="0.25"/>
    <row r="2378" ht="12.75" hidden="1" customHeight="1" x14ac:dyDescent="0.25"/>
    <row r="2379" ht="12.75" hidden="1" customHeight="1" x14ac:dyDescent="0.25"/>
    <row r="2380" ht="12.75" hidden="1" customHeight="1" x14ac:dyDescent="0.25"/>
    <row r="2381" ht="12.75" hidden="1" customHeight="1" x14ac:dyDescent="0.25"/>
    <row r="2382" ht="12.75" hidden="1" customHeight="1" x14ac:dyDescent="0.25"/>
    <row r="2383" ht="12.75" hidden="1" customHeight="1" x14ac:dyDescent="0.25"/>
    <row r="2384" ht="12.75" hidden="1" customHeight="1" x14ac:dyDescent="0.25"/>
    <row r="2385" ht="12.75" hidden="1" customHeight="1" x14ac:dyDescent="0.25"/>
    <row r="2386" ht="12.75" hidden="1" customHeight="1" x14ac:dyDescent="0.25"/>
    <row r="2387" ht="12.75" hidden="1" customHeight="1" x14ac:dyDescent="0.25"/>
    <row r="2388" ht="12.75" hidden="1" customHeight="1" x14ac:dyDescent="0.25"/>
    <row r="2389" ht="12.75" hidden="1" customHeight="1" x14ac:dyDescent="0.25"/>
    <row r="2390" ht="12.75" hidden="1" customHeight="1" x14ac:dyDescent="0.25"/>
    <row r="2391" ht="12.75" hidden="1" customHeight="1" x14ac:dyDescent="0.25"/>
    <row r="2392" ht="12.75" hidden="1" customHeight="1" x14ac:dyDescent="0.25"/>
    <row r="2393" ht="12.75" hidden="1" customHeight="1" x14ac:dyDescent="0.25"/>
    <row r="2394" ht="12.75" hidden="1" customHeight="1" x14ac:dyDescent="0.25"/>
    <row r="2395" ht="12.75" hidden="1" customHeight="1" x14ac:dyDescent="0.25"/>
    <row r="2396" ht="12.75" hidden="1" customHeight="1" x14ac:dyDescent="0.25"/>
    <row r="2397" ht="12.75" hidden="1" customHeight="1" x14ac:dyDescent="0.25"/>
    <row r="2398" ht="12.75" hidden="1" customHeight="1" x14ac:dyDescent="0.25"/>
    <row r="2399" ht="12.75" hidden="1" customHeight="1" x14ac:dyDescent="0.25"/>
    <row r="2400" ht="12.75" hidden="1" customHeight="1" x14ac:dyDescent="0.25"/>
    <row r="2401" ht="12.75" hidden="1" customHeight="1" x14ac:dyDescent="0.25"/>
    <row r="2402" ht="12.75" hidden="1" customHeight="1" x14ac:dyDescent="0.25"/>
    <row r="2403" ht="12.75" hidden="1" customHeight="1" x14ac:dyDescent="0.25"/>
    <row r="2404" ht="12.75" hidden="1" customHeight="1" x14ac:dyDescent="0.25"/>
    <row r="2405" ht="12.75" hidden="1" customHeight="1" x14ac:dyDescent="0.25"/>
    <row r="2406" ht="12.75" hidden="1" customHeight="1" x14ac:dyDescent="0.25"/>
    <row r="2407" ht="12.75" hidden="1" customHeight="1" x14ac:dyDescent="0.25"/>
    <row r="2408" ht="12.75" hidden="1" customHeight="1" x14ac:dyDescent="0.25"/>
    <row r="2409" ht="12.75" hidden="1" customHeight="1" x14ac:dyDescent="0.25"/>
    <row r="2410" ht="12.75" hidden="1" customHeight="1" x14ac:dyDescent="0.25"/>
    <row r="2411" ht="12.75" hidden="1" customHeight="1" x14ac:dyDescent="0.25"/>
    <row r="2412" ht="12.75" hidden="1" customHeight="1" x14ac:dyDescent="0.25"/>
    <row r="2413" ht="12.75" hidden="1" customHeight="1" x14ac:dyDescent="0.25"/>
    <row r="2414" ht="12.75" hidden="1" customHeight="1" x14ac:dyDescent="0.25"/>
    <row r="2415" ht="12.75" hidden="1" customHeight="1" x14ac:dyDescent="0.25"/>
    <row r="2416" ht="12.75" hidden="1" customHeight="1" x14ac:dyDescent="0.25"/>
    <row r="2417" ht="12.75" hidden="1" customHeight="1" x14ac:dyDescent="0.25"/>
    <row r="2418" ht="12.75" hidden="1" customHeight="1" x14ac:dyDescent="0.25"/>
    <row r="2419" ht="12.75" hidden="1" customHeight="1" x14ac:dyDescent="0.25"/>
    <row r="2420" ht="12.75" hidden="1" customHeight="1" x14ac:dyDescent="0.25"/>
    <row r="2421" ht="12.75" hidden="1" customHeight="1" x14ac:dyDescent="0.25"/>
    <row r="2422" ht="12.75" hidden="1" customHeight="1" x14ac:dyDescent="0.25"/>
    <row r="2423" ht="12.75" hidden="1" customHeight="1" x14ac:dyDescent="0.25"/>
    <row r="2424" ht="12.75" hidden="1" customHeight="1" x14ac:dyDescent="0.25"/>
    <row r="2425" ht="12.75" hidden="1" customHeight="1" x14ac:dyDescent="0.25"/>
    <row r="2426" ht="12.75" hidden="1" customHeight="1" x14ac:dyDescent="0.25"/>
    <row r="2427" ht="12.75" hidden="1" customHeight="1" x14ac:dyDescent="0.25"/>
    <row r="2428" ht="12.75" hidden="1" customHeight="1" x14ac:dyDescent="0.25"/>
    <row r="2429" ht="12.75" hidden="1" customHeight="1" x14ac:dyDescent="0.25"/>
    <row r="2430" ht="12.75" hidden="1" customHeight="1" x14ac:dyDescent="0.25"/>
    <row r="2431" ht="12.75" hidden="1" customHeight="1" x14ac:dyDescent="0.25"/>
    <row r="2432" ht="12.75" hidden="1" customHeight="1" x14ac:dyDescent="0.25"/>
    <row r="2433" ht="12.75" hidden="1" customHeight="1" x14ac:dyDescent="0.25"/>
    <row r="2434" ht="12.75" hidden="1" customHeight="1" x14ac:dyDescent="0.25"/>
    <row r="2435" ht="12.75" hidden="1" customHeight="1" x14ac:dyDescent="0.25"/>
    <row r="2436" ht="12.75" hidden="1" customHeight="1" x14ac:dyDescent="0.25"/>
    <row r="2437" ht="12.75" hidden="1" customHeight="1" x14ac:dyDescent="0.25"/>
    <row r="2438" ht="12.75" hidden="1" customHeight="1" x14ac:dyDescent="0.25"/>
    <row r="2439" ht="12.75" hidden="1" customHeight="1" x14ac:dyDescent="0.25"/>
    <row r="2440" ht="12.75" hidden="1" customHeight="1" x14ac:dyDescent="0.25"/>
    <row r="2441" ht="12.75" hidden="1" customHeight="1" x14ac:dyDescent="0.25"/>
    <row r="2442" ht="12.75" hidden="1" customHeight="1" x14ac:dyDescent="0.25"/>
    <row r="2443" ht="12.75" hidden="1" customHeight="1" x14ac:dyDescent="0.25"/>
    <row r="2444" ht="12.75" hidden="1" customHeight="1" x14ac:dyDescent="0.25"/>
    <row r="2445" ht="12.75" hidden="1" customHeight="1" x14ac:dyDescent="0.25"/>
    <row r="2446" ht="12.75" hidden="1" customHeight="1" x14ac:dyDescent="0.25"/>
    <row r="2447" ht="12.75" hidden="1" customHeight="1" x14ac:dyDescent="0.25"/>
    <row r="2448" ht="12.75" hidden="1" customHeight="1" x14ac:dyDescent="0.25"/>
    <row r="2449" ht="12.75" hidden="1" customHeight="1" x14ac:dyDescent="0.25"/>
    <row r="2450" ht="12.75" hidden="1" customHeight="1" x14ac:dyDescent="0.25"/>
    <row r="2451" ht="12.75" hidden="1" customHeight="1" x14ac:dyDescent="0.25"/>
    <row r="2452" ht="12.75" hidden="1" customHeight="1" x14ac:dyDescent="0.25"/>
    <row r="2453" ht="12.75" hidden="1" customHeight="1" x14ac:dyDescent="0.25"/>
    <row r="2454" ht="12.75" hidden="1" customHeight="1" x14ac:dyDescent="0.25"/>
    <row r="2455" ht="12.75" hidden="1" customHeight="1" x14ac:dyDescent="0.25"/>
    <row r="2456" ht="12.75" hidden="1" customHeight="1" x14ac:dyDescent="0.25"/>
    <row r="2457" ht="12.75" hidden="1" customHeight="1" x14ac:dyDescent="0.25"/>
    <row r="2458" ht="12.75" hidden="1" customHeight="1" x14ac:dyDescent="0.25"/>
    <row r="2459" ht="12.75" hidden="1" customHeight="1" x14ac:dyDescent="0.25"/>
    <row r="2460" ht="12.75" hidden="1" customHeight="1" x14ac:dyDescent="0.25"/>
    <row r="2461" ht="12.75" hidden="1" customHeight="1" x14ac:dyDescent="0.25"/>
    <row r="2462" ht="12.75" hidden="1" customHeight="1" x14ac:dyDescent="0.25"/>
    <row r="2463" ht="12.75" hidden="1" customHeight="1" x14ac:dyDescent="0.25"/>
    <row r="2464" ht="12.75" hidden="1" customHeight="1" x14ac:dyDescent="0.25"/>
    <row r="2465" ht="12.75" hidden="1" customHeight="1" x14ac:dyDescent="0.25"/>
    <row r="2466" ht="12.75" hidden="1" customHeight="1" x14ac:dyDescent="0.25"/>
    <row r="2467" ht="12.75" hidden="1" customHeight="1" x14ac:dyDescent="0.25"/>
    <row r="2468" ht="12.75" hidden="1" customHeight="1" x14ac:dyDescent="0.25"/>
    <row r="2469" ht="12.75" hidden="1" customHeight="1" x14ac:dyDescent="0.25"/>
    <row r="2470" ht="12.75" hidden="1" customHeight="1" x14ac:dyDescent="0.25"/>
    <row r="2471" ht="12.75" hidden="1" customHeight="1" x14ac:dyDescent="0.25"/>
    <row r="2472" ht="12.75" hidden="1" customHeight="1" x14ac:dyDescent="0.25"/>
    <row r="2473" ht="12.75" hidden="1" customHeight="1" x14ac:dyDescent="0.25"/>
    <row r="2474" ht="12.75" hidden="1" customHeight="1" x14ac:dyDescent="0.25"/>
    <row r="2475" ht="12.75" hidden="1" customHeight="1" x14ac:dyDescent="0.25"/>
    <row r="2476" ht="12.75" hidden="1" customHeight="1" x14ac:dyDescent="0.25"/>
    <row r="2477" ht="12.75" hidden="1" customHeight="1" x14ac:dyDescent="0.25"/>
    <row r="2478" ht="12.75" hidden="1" customHeight="1" x14ac:dyDescent="0.25"/>
    <row r="2479" ht="12.75" hidden="1" customHeight="1" x14ac:dyDescent="0.25"/>
    <row r="2480" ht="12.75" hidden="1" customHeight="1" x14ac:dyDescent="0.25"/>
    <row r="2481" ht="12.75" hidden="1" customHeight="1" x14ac:dyDescent="0.25"/>
    <row r="2482" ht="12.75" hidden="1" customHeight="1" x14ac:dyDescent="0.25"/>
    <row r="2483" ht="12.75" hidden="1" customHeight="1" x14ac:dyDescent="0.25"/>
    <row r="2484" ht="12.75" hidden="1" customHeight="1" x14ac:dyDescent="0.25"/>
    <row r="2485" ht="12.75" hidden="1" customHeight="1" x14ac:dyDescent="0.25"/>
    <row r="2486" ht="12.75" hidden="1" customHeight="1" x14ac:dyDescent="0.25"/>
    <row r="2487" ht="12.75" hidden="1" customHeight="1" x14ac:dyDescent="0.25"/>
    <row r="2488" ht="12.75" hidden="1" customHeight="1" x14ac:dyDescent="0.25"/>
    <row r="2489" ht="12.75" hidden="1" customHeight="1" x14ac:dyDescent="0.25"/>
    <row r="2490" ht="12.75" hidden="1" customHeight="1" x14ac:dyDescent="0.25"/>
    <row r="2491" ht="12.75" hidden="1" customHeight="1" x14ac:dyDescent="0.25"/>
    <row r="2492" ht="12.75" hidden="1" customHeight="1" x14ac:dyDescent="0.25"/>
    <row r="2493" ht="12.75" hidden="1" customHeight="1" x14ac:dyDescent="0.25"/>
    <row r="2494" ht="12.75" hidden="1" customHeight="1" x14ac:dyDescent="0.25"/>
    <row r="2495" ht="12.75" hidden="1" customHeight="1" x14ac:dyDescent="0.25"/>
    <row r="2496" ht="12.75" hidden="1" customHeight="1" x14ac:dyDescent="0.25"/>
    <row r="2497" ht="12.75" hidden="1" customHeight="1" x14ac:dyDescent="0.25"/>
    <row r="2498" ht="12.75" hidden="1" customHeight="1" x14ac:dyDescent="0.25"/>
    <row r="2499" ht="12.75" hidden="1" customHeight="1" x14ac:dyDescent="0.25"/>
    <row r="2500" ht="12.75" hidden="1" customHeight="1" x14ac:dyDescent="0.25"/>
    <row r="2501" ht="12.75" hidden="1" customHeight="1" x14ac:dyDescent="0.25"/>
    <row r="2502" ht="12.75" hidden="1" customHeight="1" x14ac:dyDescent="0.25"/>
    <row r="2503" ht="12.75" hidden="1" customHeight="1" x14ac:dyDescent="0.25"/>
    <row r="2504" ht="12.75" hidden="1" customHeight="1" x14ac:dyDescent="0.25"/>
    <row r="2505" ht="12.75" hidden="1" customHeight="1" x14ac:dyDescent="0.25"/>
    <row r="2506" ht="12.75" hidden="1" customHeight="1" x14ac:dyDescent="0.25"/>
    <row r="2507" ht="12.75" hidden="1" customHeight="1" x14ac:dyDescent="0.25"/>
    <row r="2508" ht="12.75" hidden="1" customHeight="1" x14ac:dyDescent="0.25"/>
    <row r="2509" ht="12.75" hidden="1" customHeight="1" x14ac:dyDescent="0.25"/>
    <row r="2510" ht="12.75" hidden="1" customHeight="1" x14ac:dyDescent="0.25"/>
    <row r="2511" ht="12.75" hidden="1" customHeight="1" x14ac:dyDescent="0.25"/>
    <row r="2512" ht="12.75" hidden="1" customHeight="1" x14ac:dyDescent="0.25"/>
    <row r="2513" ht="12.75" hidden="1" customHeight="1" x14ac:dyDescent="0.25"/>
    <row r="2514" ht="12.75" hidden="1" customHeight="1" x14ac:dyDescent="0.25"/>
    <row r="2515" ht="12.75" hidden="1" customHeight="1" x14ac:dyDescent="0.25"/>
    <row r="2516" ht="12.75" hidden="1" customHeight="1" x14ac:dyDescent="0.25"/>
    <row r="2517" ht="12.75" hidden="1" customHeight="1" x14ac:dyDescent="0.25"/>
    <row r="2518" ht="12.75" hidden="1" customHeight="1" x14ac:dyDescent="0.25"/>
    <row r="2519" ht="12.75" hidden="1" customHeight="1" x14ac:dyDescent="0.25"/>
    <row r="2520" ht="12.75" hidden="1" customHeight="1" x14ac:dyDescent="0.25"/>
    <row r="2521" ht="12.75" hidden="1" customHeight="1" x14ac:dyDescent="0.25"/>
    <row r="2522" ht="12.75" hidden="1" customHeight="1" x14ac:dyDescent="0.25"/>
    <row r="2523" ht="12.75" hidden="1" customHeight="1" x14ac:dyDescent="0.25"/>
    <row r="2524" ht="12.75" hidden="1" customHeight="1" x14ac:dyDescent="0.25"/>
    <row r="2525" ht="12.75" hidden="1" customHeight="1" x14ac:dyDescent="0.25"/>
    <row r="2526" ht="12.75" hidden="1" customHeight="1" x14ac:dyDescent="0.25"/>
    <row r="2527" ht="12.75" hidden="1" customHeight="1" x14ac:dyDescent="0.25"/>
    <row r="2528" ht="12.75" hidden="1" customHeight="1" x14ac:dyDescent="0.25"/>
    <row r="2529" ht="12.75" hidden="1" customHeight="1" x14ac:dyDescent="0.25"/>
    <row r="2530" ht="12.75" hidden="1" customHeight="1" x14ac:dyDescent="0.25"/>
    <row r="2531" ht="12.75" hidden="1" customHeight="1" x14ac:dyDescent="0.25"/>
    <row r="2532" ht="12.75" hidden="1" customHeight="1" x14ac:dyDescent="0.25"/>
    <row r="2533" ht="12.75" hidden="1" customHeight="1" x14ac:dyDescent="0.25"/>
    <row r="2534" ht="12.75" hidden="1" customHeight="1" x14ac:dyDescent="0.25"/>
    <row r="2535" ht="12.75" hidden="1" customHeight="1" x14ac:dyDescent="0.25"/>
    <row r="2536" ht="12.75" hidden="1" customHeight="1" x14ac:dyDescent="0.25"/>
    <row r="2537" ht="12.75" hidden="1" customHeight="1" x14ac:dyDescent="0.25"/>
    <row r="2538" ht="12.75" hidden="1" customHeight="1" x14ac:dyDescent="0.25"/>
    <row r="2539" ht="12.75" hidden="1" customHeight="1" x14ac:dyDescent="0.25"/>
    <row r="2540" ht="12.75" hidden="1" customHeight="1" x14ac:dyDescent="0.25"/>
    <row r="2541" ht="12.75" hidden="1" customHeight="1" x14ac:dyDescent="0.25"/>
    <row r="2542" ht="12.75" hidden="1" customHeight="1" x14ac:dyDescent="0.25"/>
    <row r="2543" ht="12.75" hidden="1" customHeight="1" x14ac:dyDescent="0.25"/>
    <row r="2544" ht="12.75" hidden="1" customHeight="1" x14ac:dyDescent="0.25"/>
    <row r="2545" ht="12.75" hidden="1" customHeight="1" x14ac:dyDescent="0.25"/>
    <row r="2546" ht="12.75" hidden="1" customHeight="1" x14ac:dyDescent="0.25"/>
    <row r="2547" ht="12.75" hidden="1" customHeight="1" x14ac:dyDescent="0.25"/>
    <row r="2548" ht="12.75" hidden="1" customHeight="1" x14ac:dyDescent="0.25"/>
    <row r="2549" ht="12.75" hidden="1" customHeight="1" x14ac:dyDescent="0.25"/>
    <row r="2550" ht="12.75" hidden="1" customHeight="1" x14ac:dyDescent="0.25"/>
    <row r="2551" ht="12.75" hidden="1" customHeight="1" x14ac:dyDescent="0.25"/>
    <row r="2552" ht="12.75" hidden="1" customHeight="1" x14ac:dyDescent="0.25"/>
    <row r="2553" ht="12.75" hidden="1" customHeight="1" x14ac:dyDescent="0.25"/>
    <row r="2554" ht="12.75" hidden="1" customHeight="1" x14ac:dyDescent="0.25"/>
    <row r="2555" ht="12.75" hidden="1" customHeight="1" x14ac:dyDescent="0.25"/>
    <row r="2556" ht="12.75" hidden="1" customHeight="1" x14ac:dyDescent="0.25"/>
    <row r="2557" ht="12.75" hidden="1" customHeight="1" x14ac:dyDescent="0.25"/>
    <row r="2558" ht="12.75" hidden="1" customHeight="1" x14ac:dyDescent="0.25"/>
    <row r="2559" ht="12.75" hidden="1" customHeight="1" x14ac:dyDescent="0.25"/>
    <row r="2560" ht="12.75" hidden="1" customHeight="1" x14ac:dyDescent="0.25"/>
    <row r="2561" ht="12.75" hidden="1" customHeight="1" x14ac:dyDescent="0.25"/>
    <row r="2562" ht="12.75" hidden="1" customHeight="1" x14ac:dyDescent="0.25"/>
    <row r="2563" ht="12.75" hidden="1" customHeight="1" x14ac:dyDescent="0.25"/>
    <row r="2564" ht="12.75" hidden="1" customHeight="1" x14ac:dyDescent="0.25"/>
    <row r="2565" ht="12.75" hidden="1" customHeight="1" x14ac:dyDescent="0.25"/>
    <row r="2566" ht="12.75" hidden="1" customHeight="1" x14ac:dyDescent="0.25"/>
    <row r="2567" ht="12.75" hidden="1" customHeight="1" x14ac:dyDescent="0.25"/>
    <row r="2568" ht="12.75" hidden="1" customHeight="1" x14ac:dyDescent="0.25"/>
    <row r="2569" ht="12.75" hidden="1" customHeight="1" x14ac:dyDescent="0.25"/>
    <row r="2570" ht="12.75" hidden="1" customHeight="1" x14ac:dyDescent="0.25"/>
    <row r="2571" ht="12.75" hidden="1" customHeight="1" x14ac:dyDescent="0.25"/>
    <row r="2572" ht="12.75" hidden="1" customHeight="1" x14ac:dyDescent="0.25"/>
    <row r="2573" ht="12.75" hidden="1" customHeight="1" x14ac:dyDescent="0.25"/>
    <row r="2574" ht="12.75" hidden="1" customHeight="1" x14ac:dyDescent="0.25"/>
    <row r="2575" ht="12.75" hidden="1" customHeight="1" x14ac:dyDescent="0.25"/>
    <row r="2576" ht="12.75" hidden="1" customHeight="1" x14ac:dyDescent="0.25"/>
    <row r="2577" ht="12.75" hidden="1" customHeight="1" x14ac:dyDescent="0.25"/>
    <row r="2578" ht="12.75" hidden="1" customHeight="1" x14ac:dyDescent="0.25"/>
    <row r="2579" ht="12.75" hidden="1" customHeight="1" x14ac:dyDescent="0.25"/>
    <row r="2580" ht="12.75" hidden="1" customHeight="1" x14ac:dyDescent="0.25"/>
    <row r="2581" ht="12.75" hidden="1" customHeight="1" x14ac:dyDescent="0.25"/>
    <row r="2582" ht="12.75" hidden="1" customHeight="1" x14ac:dyDescent="0.25"/>
    <row r="2583" ht="12.75" hidden="1" customHeight="1" x14ac:dyDescent="0.25"/>
    <row r="2584" ht="12.75" hidden="1" customHeight="1" x14ac:dyDescent="0.25"/>
    <row r="2585" ht="12.75" hidden="1" customHeight="1" x14ac:dyDescent="0.25"/>
    <row r="2586" ht="12.75" hidden="1" customHeight="1" x14ac:dyDescent="0.25"/>
    <row r="2587" ht="12.75" hidden="1" customHeight="1" x14ac:dyDescent="0.25"/>
    <row r="2588" ht="12.75" hidden="1" customHeight="1" x14ac:dyDescent="0.25"/>
    <row r="2589" ht="12.75" hidden="1" customHeight="1" x14ac:dyDescent="0.25"/>
    <row r="2590" ht="12.75" hidden="1" customHeight="1" x14ac:dyDescent="0.25"/>
    <row r="2591" ht="12.75" hidden="1" customHeight="1" x14ac:dyDescent="0.25"/>
    <row r="2592" ht="12.75" hidden="1" customHeight="1" x14ac:dyDescent="0.25"/>
    <row r="2593" ht="12.75" hidden="1" customHeight="1" x14ac:dyDescent="0.25"/>
    <row r="2594" ht="12.75" hidden="1" customHeight="1" x14ac:dyDescent="0.25"/>
    <row r="2595" ht="12.75" hidden="1" customHeight="1" x14ac:dyDescent="0.25"/>
    <row r="2596" ht="12.75" hidden="1" customHeight="1" x14ac:dyDescent="0.25"/>
    <row r="2597" ht="12.75" hidden="1" customHeight="1" x14ac:dyDescent="0.25"/>
    <row r="2598" ht="12.75" hidden="1" customHeight="1" x14ac:dyDescent="0.25"/>
    <row r="2599" ht="12.75" hidden="1" customHeight="1" x14ac:dyDescent="0.25"/>
    <row r="2600" ht="12.75" hidden="1" customHeight="1" x14ac:dyDescent="0.25"/>
    <row r="2601" ht="12.75" hidden="1" customHeight="1" x14ac:dyDescent="0.25"/>
    <row r="2602" ht="12.75" hidden="1" customHeight="1" x14ac:dyDescent="0.25"/>
    <row r="2603" ht="12.75" hidden="1" customHeight="1" x14ac:dyDescent="0.25"/>
    <row r="2604" ht="12.75" hidden="1" customHeight="1" x14ac:dyDescent="0.25"/>
    <row r="2605" ht="12.75" hidden="1" customHeight="1" x14ac:dyDescent="0.25"/>
    <row r="2606" ht="12.75" hidden="1" customHeight="1" x14ac:dyDescent="0.25"/>
    <row r="2607" ht="12.75" hidden="1" customHeight="1" x14ac:dyDescent="0.25"/>
    <row r="2608" ht="12.75" hidden="1" customHeight="1" x14ac:dyDescent="0.25"/>
    <row r="2609" ht="12.75" hidden="1" customHeight="1" x14ac:dyDescent="0.25"/>
    <row r="2610" ht="12.75" hidden="1" customHeight="1" x14ac:dyDescent="0.25"/>
    <row r="2611" ht="12.75" hidden="1" customHeight="1" x14ac:dyDescent="0.25"/>
    <row r="2612" ht="12.75" hidden="1" customHeight="1" x14ac:dyDescent="0.25"/>
    <row r="2613" ht="12.75" hidden="1" customHeight="1" x14ac:dyDescent="0.25"/>
    <row r="2614" ht="12.75" hidden="1" customHeight="1" x14ac:dyDescent="0.25"/>
    <row r="2615" ht="12.75" hidden="1" customHeight="1" x14ac:dyDescent="0.25"/>
    <row r="2616" ht="12.75" hidden="1" customHeight="1" x14ac:dyDescent="0.25"/>
    <row r="2617" ht="12.75" hidden="1" customHeight="1" x14ac:dyDescent="0.25"/>
    <row r="2618" ht="12.75" hidden="1" customHeight="1" x14ac:dyDescent="0.25"/>
    <row r="2619" ht="12.75" hidden="1" customHeight="1" x14ac:dyDescent="0.25"/>
    <row r="2620" ht="12.75" hidden="1" customHeight="1" x14ac:dyDescent="0.25"/>
    <row r="2621" ht="12.75" hidden="1" customHeight="1" x14ac:dyDescent="0.25"/>
    <row r="2622" ht="12.75" hidden="1" customHeight="1" x14ac:dyDescent="0.25"/>
    <row r="2623" ht="12.75" hidden="1" customHeight="1" x14ac:dyDescent="0.25"/>
    <row r="2624" ht="12.75" hidden="1" customHeight="1" x14ac:dyDescent="0.25"/>
    <row r="2625" ht="12.75" hidden="1" customHeight="1" x14ac:dyDescent="0.25"/>
    <row r="2626" ht="12.75" hidden="1" customHeight="1" x14ac:dyDescent="0.25"/>
    <row r="2627" ht="12.75" hidden="1" customHeight="1" x14ac:dyDescent="0.25"/>
    <row r="2628" ht="12.75" hidden="1" customHeight="1" x14ac:dyDescent="0.25"/>
    <row r="2629" ht="12.75" hidden="1" customHeight="1" x14ac:dyDescent="0.25"/>
    <row r="2630" ht="12.75" hidden="1" customHeight="1" x14ac:dyDescent="0.25"/>
    <row r="2631" ht="12.75" hidden="1" customHeight="1" x14ac:dyDescent="0.25"/>
    <row r="2632" ht="12.75" hidden="1" customHeight="1" x14ac:dyDescent="0.25"/>
    <row r="2633" ht="12.75" hidden="1" customHeight="1" x14ac:dyDescent="0.25"/>
    <row r="2634" ht="12.75" hidden="1" customHeight="1" x14ac:dyDescent="0.25"/>
    <row r="2635" ht="12.75" hidden="1" customHeight="1" x14ac:dyDescent="0.25"/>
    <row r="2636" ht="12.75" hidden="1" customHeight="1" x14ac:dyDescent="0.25"/>
    <row r="2637" ht="12.75" hidden="1" customHeight="1" x14ac:dyDescent="0.25"/>
    <row r="2638" ht="12.75" hidden="1" customHeight="1" x14ac:dyDescent="0.25"/>
    <row r="2639" ht="12.75" hidden="1" customHeight="1" x14ac:dyDescent="0.25"/>
    <row r="2640" ht="12.75" hidden="1" customHeight="1" x14ac:dyDescent="0.25"/>
    <row r="2641" ht="12.75" hidden="1" customHeight="1" x14ac:dyDescent="0.25"/>
    <row r="2642" ht="12.75" hidden="1" customHeight="1" x14ac:dyDescent="0.25"/>
    <row r="2643" ht="12.75" hidden="1" customHeight="1" x14ac:dyDescent="0.25"/>
    <row r="2644" ht="12.75" hidden="1" customHeight="1" x14ac:dyDescent="0.25"/>
    <row r="2645" ht="12.75" hidden="1" customHeight="1" x14ac:dyDescent="0.25"/>
    <row r="2646" ht="12.75" hidden="1" customHeight="1" x14ac:dyDescent="0.25"/>
    <row r="2647" ht="12.75" hidden="1" customHeight="1" x14ac:dyDescent="0.25"/>
    <row r="2648" ht="12.75" hidden="1" customHeight="1" x14ac:dyDescent="0.25"/>
    <row r="2649" ht="12.75" hidden="1" customHeight="1" x14ac:dyDescent="0.25"/>
    <row r="2650" ht="12.75" hidden="1" customHeight="1" x14ac:dyDescent="0.25"/>
    <row r="2651" ht="12.75" hidden="1" customHeight="1" x14ac:dyDescent="0.25"/>
    <row r="2652" ht="12.75" hidden="1" customHeight="1" x14ac:dyDescent="0.25"/>
    <row r="2653" ht="12.75" hidden="1" customHeight="1" x14ac:dyDescent="0.25"/>
    <row r="2654" ht="12.75" hidden="1" customHeight="1" x14ac:dyDescent="0.25"/>
    <row r="2655" ht="12.75" hidden="1" customHeight="1" x14ac:dyDescent="0.25"/>
    <row r="2656" ht="12.75" hidden="1" customHeight="1" x14ac:dyDescent="0.25"/>
    <row r="2657" ht="12.75" hidden="1" customHeight="1" x14ac:dyDescent="0.25"/>
    <row r="2658" ht="12.75" hidden="1" customHeight="1" x14ac:dyDescent="0.25"/>
    <row r="2659" ht="12.75" hidden="1" customHeight="1" x14ac:dyDescent="0.25"/>
    <row r="2660" ht="12.75" hidden="1" customHeight="1" x14ac:dyDescent="0.25"/>
    <row r="2661" ht="12.75" hidden="1" customHeight="1" x14ac:dyDescent="0.25"/>
    <row r="2662" ht="12.75" hidden="1" customHeight="1" x14ac:dyDescent="0.25"/>
    <row r="2663" ht="12.75" hidden="1" customHeight="1" x14ac:dyDescent="0.25"/>
    <row r="2664" ht="12.75" hidden="1" customHeight="1" x14ac:dyDescent="0.25"/>
    <row r="2665" ht="12.75" hidden="1" customHeight="1" x14ac:dyDescent="0.25"/>
    <row r="2666" ht="12.75" hidden="1" customHeight="1" x14ac:dyDescent="0.25"/>
    <row r="2667" ht="12.75" hidden="1" customHeight="1" x14ac:dyDescent="0.25"/>
    <row r="2668" ht="12.75" hidden="1" customHeight="1" x14ac:dyDescent="0.25"/>
    <row r="2669" ht="12.75" hidden="1" customHeight="1" x14ac:dyDescent="0.25"/>
    <row r="2670" ht="12.75" hidden="1" customHeight="1" x14ac:dyDescent="0.25"/>
    <row r="2671" ht="12.75" hidden="1" customHeight="1" x14ac:dyDescent="0.25"/>
    <row r="2672" ht="12.75" hidden="1" customHeight="1" x14ac:dyDescent="0.25"/>
    <row r="2673" ht="12.75" hidden="1" customHeight="1" x14ac:dyDescent="0.25"/>
    <row r="2674" ht="12.75" hidden="1" customHeight="1" x14ac:dyDescent="0.25"/>
    <row r="2675" ht="12.75" hidden="1" customHeight="1" x14ac:dyDescent="0.25"/>
    <row r="2676" ht="12.75" hidden="1" customHeight="1" x14ac:dyDescent="0.25"/>
    <row r="2677" ht="12.75" hidden="1" customHeight="1" x14ac:dyDescent="0.25"/>
    <row r="2678" ht="12.75" hidden="1" customHeight="1" x14ac:dyDescent="0.25"/>
    <row r="2679" ht="12.75" hidden="1" customHeight="1" x14ac:dyDescent="0.25"/>
    <row r="2680" ht="12.75" hidden="1" customHeight="1" x14ac:dyDescent="0.25"/>
    <row r="2681" ht="12.75" hidden="1" customHeight="1" x14ac:dyDescent="0.25"/>
    <row r="2682" ht="12.75" hidden="1" customHeight="1" x14ac:dyDescent="0.25"/>
    <row r="2683" ht="12.75" hidden="1" customHeight="1" x14ac:dyDescent="0.25"/>
    <row r="2684" ht="12.75" hidden="1" customHeight="1" x14ac:dyDescent="0.25"/>
    <row r="2685" ht="12.75" hidden="1" customHeight="1" x14ac:dyDescent="0.25"/>
    <row r="2686" ht="12.75" hidden="1" customHeight="1" x14ac:dyDescent="0.25"/>
    <row r="2687" ht="12.75" hidden="1" customHeight="1" x14ac:dyDescent="0.25"/>
    <row r="2688" ht="12.75" hidden="1" customHeight="1" x14ac:dyDescent="0.25"/>
    <row r="2689" ht="12.75" hidden="1" customHeight="1" x14ac:dyDescent="0.25"/>
    <row r="2690" ht="12.75" hidden="1" customHeight="1" x14ac:dyDescent="0.25"/>
    <row r="2691" ht="12.75" hidden="1" customHeight="1" x14ac:dyDescent="0.25"/>
    <row r="2692" ht="12.75" hidden="1" customHeight="1" x14ac:dyDescent="0.25"/>
    <row r="2693" ht="12.75" hidden="1" customHeight="1" x14ac:dyDescent="0.25"/>
    <row r="2694" ht="12.75" hidden="1" customHeight="1" x14ac:dyDescent="0.25"/>
    <row r="2695" ht="12.75" hidden="1" customHeight="1" x14ac:dyDescent="0.25"/>
    <row r="2696" ht="12.75" hidden="1" customHeight="1" x14ac:dyDescent="0.25"/>
    <row r="2697" ht="12.75" hidden="1" customHeight="1" x14ac:dyDescent="0.25"/>
    <row r="2698" ht="12.75" hidden="1" customHeight="1" x14ac:dyDescent="0.25"/>
    <row r="2699" ht="12.75" hidden="1" customHeight="1" x14ac:dyDescent="0.25"/>
    <row r="2700" ht="12.75" hidden="1" customHeight="1" x14ac:dyDescent="0.25"/>
    <row r="2701" ht="12.75" hidden="1" customHeight="1" x14ac:dyDescent="0.25"/>
    <row r="2702" ht="12.75" hidden="1" customHeight="1" x14ac:dyDescent="0.25"/>
    <row r="2703" ht="12.75" hidden="1" customHeight="1" x14ac:dyDescent="0.25"/>
    <row r="2704" ht="12.75" hidden="1" customHeight="1" x14ac:dyDescent="0.25"/>
    <row r="2705" ht="12.75" hidden="1" customHeight="1" x14ac:dyDescent="0.25"/>
    <row r="2706" ht="12.75" hidden="1" customHeight="1" x14ac:dyDescent="0.25"/>
    <row r="2707" ht="12.75" hidden="1" customHeight="1" x14ac:dyDescent="0.25"/>
    <row r="2708" ht="12.75" hidden="1" customHeight="1" x14ac:dyDescent="0.25"/>
    <row r="2709" ht="12.75" hidden="1" customHeight="1" x14ac:dyDescent="0.25"/>
    <row r="2710" ht="12.75" hidden="1" customHeight="1" x14ac:dyDescent="0.25"/>
    <row r="2711" ht="12.75" hidden="1" customHeight="1" x14ac:dyDescent="0.25"/>
    <row r="2712" ht="12.75" hidden="1" customHeight="1" x14ac:dyDescent="0.25"/>
    <row r="2713" ht="12.75" hidden="1" customHeight="1" x14ac:dyDescent="0.25"/>
    <row r="2714" ht="12.75" hidden="1" customHeight="1" x14ac:dyDescent="0.25"/>
    <row r="2715" ht="12.75" hidden="1" customHeight="1" x14ac:dyDescent="0.25"/>
    <row r="2716" ht="12.75" hidden="1" customHeight="1" x14ac:dyDescent="0.25"/>
    <row r="2717" ht="12.75" hidden="1" customHeight="1" x14ac:dyDescent="0.25"/>
    <row r="2718" ht="12.75" hidden="1" customHeight="1" x14ac:dyDescent="0.25"/>
    <row r="2719" ht="12.75" hidden="1" customHeight="1" x14ac:dyDescent="0.25"/>
    <row r="2720" ht="12.75" hidden="1" customHeight="1" x14ac:dyDescent="0.25"/>
    <row r="2721" ht="12.75" hidden="1" customHeight="1" x14ac:dyDescent="0.25"/>
    <row r="2722" ht="12.75" hidden="1" customHeight="1" x14ac:dyDescent="0.25"/>
    <row r="2723" ht="12.75" hidden="1" customHeight="1" x14ac:dyDescent="0.25"/>
    <row r="2724" ht="12.75" hidden="1" customHeight="1" x14ac:dyDescent="0.25"/>
    <row r="2725" ht="12.75" hidden="1" customHeight="1" x14ac:dyDescent="0.25"/>
    <row r="2726" ht="12.75" hidden="1" customHeight="1" x14ac:dyDescent="0.25"/>
    <row r="2727" ht="12.75" hidden="1" customHeight="1" x14ac:dyDescent="0.25"/>
    <row r="2728" ht="12.75" hidden="1" customHeight="1" x14ac:dyDescent="0.25"/>
    <row r="2729" ht="12.75" hidden="1" customHeight="1" x14ac:dyDescent="0.25"/>
    <row r="2730" ht="12.75" hidden="1" customHeight="1" x14ac:dyDescent="0.25"/>
    <row r="2731" ht="12.75" hidden="1" customHeight="1" x14ac:dyDescent="0.25"/>
    <row r="2732" ht="12.75" hidden="1" customHeight="1" x14ac:dyDescent="0.25"/>
    <row r="2733" ht="12.75" hidden="1" customHeight="1" x14ac:dyDescent="0.25"/>
    <row r="2734" ht="12.75" hidden="1" customHeight="1" x14ac:dyDescent="0.25"/>
    <row r="2735" ht="12.75" hidden="1" customHeight="1" x14ac:dyDescent="0.25"/>
    <row r="2736" ht="12.75" hidden="1" customHeight="1" x14ac:dyDescent="0.25"/>
    <row r="2737" ht="12.75" hidden="1" customHeight="1" x14ac:dyDescent="0.25"/>
    <row r="2738" ht="12.75" hidden="1" customHeight="1" x14ac:dyDescent="0.25"/>
    <row r="2739" ht="12.75" hidden="1" customHeight="1" x14ac:dyDescent="0.25"/>
    <row r="2740" ht="12.75" hidden="1" customHeight="1" x14ac:dyDescent="0.25"/>
    <row r="2741" ht="12.75" hidden="1" customHeight="1" x14ac:dyDescent="0.25"/>
    <row r="2742" ht="12.75" hidden="1" customHeight="1" x14ac:dyDescent="0.25"/>
    <row r="2743" ht="12.75" hidden="1" customHeight="1" x14ac:dyDescent="0.25"/>
    <row r="2744" ht="12.75" hidden="1" customHeight="1" x14ac:dyDescent="0.25"/>
    <row r="2745" ht="12.75" hidden="1" customHeight="1" x14ac:dyDescent="0.25"/>
    <row r="2746" ht="12.75" hidden="1" customHeight="1" x14ac:dyDescent="0.25"/>
    <row r="2747" ht="12.75" hidden="1" customHeight="1" x14ac:dyDescent="0.25"/>
    <row r="2748" ht="12.75" hidden="1" customHeight="1" x14ac:dyDescent="0.25"/>
    <row r="2749" ht="12.75" hidden="1" customHeight="1" x14ac:dyDescent="0.25"/>
    <row r="2750" ht="12.75" hidden="1" customHeight="1" x14ac:dyDescent="0.25"/>
    <row r="2751" ht="12.75" hidden="1" customHeight="1" x14ac:dyDescent="0.25"/>
    <row r="2752" ht="12.75" hidden="1" customHeight="1" x14ac:dyDescent="0.25"/>
    <row r="2753" ht="12.75" hidden="1" customHeight="1" x14ac:dyDescent="0.25"/>
    <row r="2754" ht="12.75" hidden="1" customHeight="1" x14ac:dyDescent="0.25"/>
    <row r="2755" ht="12.75" hidden="1" customHeight="1" x14ac:dyDescent="0.25"/>
    <row r="2756" ht="12.75" hidden="1" customHeight="1" x14ac:dyDescent="0.25"/>
    <row r="2757" ht="12.75" hidden="1" customHeight="1" x14ac:dyDescent="0.25"/>
    <row r="2758" ht="12.75" hidden="1" customHeight="1" x14ac:dyDescent="0.25"/>
    <row r="2759" ht="12.75" hidden="1" customHeight="1" x14ac:dyDescent="0.25"/>
    <row r="2760" ht="12.75" hidden="1" customHeight="1" x14ac:dyDescent="0.25"/>
    <row r="2761" ht="12.75" hidden="1" customHeight="1" x14ac:dyDescent="0.25"/>
    <row r="2762" ht="12.75" hidden="1" customHeight="1" x14ac:dyDescent="0.25"/>
    <row r="2763" ht="12.75" hidden="1" customHeight="1" x14ac:dyDescent="0.25"/>
    <row r="2764" ht="12.75" hidden="1" customHeight="1" x14ac:dyDescent="0.25"/>
    <row r="2765" ht="12.75" hidden="1" customHeight="1" x14ac:dyDescent="0.25"/>
    <row r="2766" ht="12.75" hidden="1" customHeight="1" x14ac:dyDescent="0.25"/>
    <row r="2767" ht="12.75" hidden="1" customHeight="1" x14ac:dyDescent="0.25"/>
    <row r="2768" ht="12.75" hidden="1" customHeight="1" x14ac:dyDescent="0.25"/>
    <row r="2769" ht="12.75" hidden="1" customHeight="1" x14ac:dyDescent="0.25"/>
    <row r="2770" ht="12.75" hidden="1" customHeight="1" x14ac:dyDescent="0.25"/>
    <row r="2771" ht="12.75" hidden="1" customHeight="1" x14ac:dyDescent="0.25"/>
    <row r="2772" ht="12.75" hidden="1" customHeight="1" x14ac:dyDescent="0.25"/>
    <row r="2773" ht="12.75" hidden="1" customHeight="1" x14ac:dyDescent="0.25"/>
    <row r="2774" ht="12.75" hidden="1" customHeight="1" x14ac:dyDescent="0.25"/>
    <row r="2775" ht="12.75" hidden="1" customHeight="1" x14ac:dyDescent="0.25"/>
    <row r="2776" ht="12.75" hidden="1" customHeight="1" x14ac:dyDescent="0.25"/>
    <row r="2777" ht="12.75" hidden="1" customHeight="1" x14ac:dyDescent="0.25"/>
    <row r="2778" ht="12.75" hidden="1" customHeight="1" x14ac:dyDescent="0.25"/>
    <row r="2779" ht="12.75" hidden="1" customHeight="1" x14ac:dyDescent="0.25"/>
    <row r="2780" ht="12.75" hidden="1" customHeight="1" x14ac:dyDescent="0.25"/>
    <row r="2781" ht="12.75" hidden="1" customHeight="1" x14ac:dyDescent="0.25"/>
    <row r="2782" ht="12.75" hidden="1" customHeight="1" x14ac:dyDescent="0.25"/>
    <row r="2783" ht="12.75" hidden="1" customHeight="1" x14ac:dyDescent="0.25"/>
    <row r="2784" ht="12.75" hidden="1" customHeight="1" x14ac:dyDescent="0.25"/>
    <row r="2785" ht="12.75" hidden="1" customHeight="1" x14ac:dyDescent="0.25"/>
    <row r="2786" ht="12.75" hidden="1" customHeight="1" x14ac:dyDescent="0.25"/>
    <row r="2787" ht="12.75" hidden="1" customHeight="1" x14ac:dyDescent="0.25"/>
    <row r="2788" ht="12.75" hidden="1" customHeight="1" x14ac:dyDescent="0.25"/>
    <row r="2789" ht="12.75" hidden="1" customHeight="1" x14ac:dyDescent="0.25"/>
    <row r="2790" ht="12.75" hidden="1" customHeight="1" x14ac:dyDescent="0.25"/>
    <row r="2791" ht="12.75" hidden="1" customHeight="1" x14ac:dyDescent="0.25"/>
    <row r="2792" ht="12.75" hidden="1" customHeight="1" x14ac:dyDescent="0.25"/>
    <row r="2793" ht="12.75" hidden="1" customHeight="1" x14ac:dyDescent="0.25"/>
    <row r="2794" ht="12.75" hidden="1" customHeight="1" x14ac:dyDescent="0.25"/>
    <row r="2795" ht="12.75" hidden="1" customHeight="1" x14ac:dyDescent="0.25"/>
    <row r="2796" ht="12.75" hidden="1" customHeight="1" x14ac:dyDescent="0.25"/>
    <row r="2797" ht="12.75" hidden="1" customHeight="1" x14ac:dyDescent="0.25"/>
    <row r="2798" ht="12.75" hidden="1" customHeight="1" x14ac:dyDescent="0.25"/>
    <row r="2799" ht="12.75" hidden="1" customHeight="1" x14ac:dyDescent="0.25"/>
    <row r="2800" ht="12.75" hidden="1" customHeight="1" x14ac:dyDescent="0.25"/>
    <row r="2801" ht="12.75" hidden="1" customHeight="1" x14ac:dyDescent="0.25"/>
    <row r="2802" ht="12.75" hidden="1" customHeight="1" x14ac:dyDescent="0.25"/>
    <row r="2803" ht="12.75" hidden="1" customHeight="1" x14ac:dyDescent="0.25"/>
    <row r="2804" ht="12.75" hidden="1" customHeight="1" x14ac:dyDescent="0.25"/>
    <row r="2805" ht="12.75" hidden="1" customHeight="1" x14ac:dyDescent="0.25"/>
    <row r="2806" ht="12.75" hidden="1" customHeight="1" x14ac:dyDescent="0.25"/>
    <row r="2807" ht="12.75" hidden="1" customHeight="1" x14ac:dyDescent="0.25"/>
    <row r="2808" ht="12.75" hidden="1" customHeight="1" x14ac:dyDescent="0.25"/>
    <row r="2809" ht="12.75" hidden="1" customHeight="1" x14ac:dyDescent="0.25"/>
    <row r="2810" ht="12.75" hidden="1" customHeight="1" x14ac:dyDescent="0.25"/>
    <row r="2811" ht="12.75" hidden="1" customHeight="1" x14ac:dyDescent="0.25"/>
    <row r="2812" ht="12.75" hidden="1" customHeight="1" x14ac:dyDescent="0.25"/>
    <row r="2813" ht="12.75" hidden="1" customHeight="1" x14ac:dyDescent="0.25"/>
    <row r="2814" ht="12.75" hidden="1" customHeight="1" x14ac:dyDescent="0.25"/>
    <row r="2815" ht="12.75" hidden="1" customHeight="1" x14ac:dyDescent="0.25"/>
    <row r="2816" ht="12.75" hidden="1" customHeight="1" x14ac:dyDescent="0.25"/>
    <row r="2817" ht="12.75" hidden="1" customHeight="1" x14ac:dyDescent="0.25"/>
    <row r="2818" ht="12.75" hidden="1" customHeight="1" x14ac:dyDescent="0.25"/>
    <row r="2819" ht="12.75" hidden="1" customHeight="1" x14ac:dyDescent="0.25"/>
    <row r="2820" ht="12.75" hidden="1" customHeight="1" x14ac:dyDescent="0.25"/>
    <row r="2821" ht="12.75" hidden="1" customHeight="1" x14ac:dyDescent="0.25"/>
    <row r="2822" ht="12.75" hidden="1" customHeight="1" x14ac:dyDescent="0.25"/>
    <row r="2823" ht="12.75" hidden="1" customHeight="1" x14ac:dyDescent="0.25"/>
    <row r="2824" ht="12.75" hidden="1" customHeight="1" x14ac:dyDescent="0.25"/>
    <row r="2825" ht="12.75" hidden="1" customHeight="1" x14ac:dyDescent="0.25"/>
    <row r="2826" ht="12.75" hidden="1" customHeight="1" x14ac:dyDescent="0.25"/>
    <row r="2827" ht="12.75" hidden="1" customHeight="1" x14ac:dyDescent="0.25"/>
    <row r="2828" ht="12.75" hidden="1" customHeight="1" x14ac:dyDescent="0.25"/>
    <row r="2829" ht="12.75" hidden="1" customHeight="1" x14ac:dyDescent="0.25"/>
    <row r="2830" ht="12.75" hidden="1" customHeight="1" x14ac:dyDescent="0.25"/>
    <row r="2831" ht="12.75" hidden="1" customHeight="1" x14ac:dyDescent="0.25"/>
    <row r="2832" ht="12.75" hidden="1" customHeight="1" x14ac:dyDescent="0.25"/>
    <row r="2833" ht="12.75" hidden="1" customHeight="1" x14ac:dyDescent="0.25"/>
    <row r="2834" ht="12.75" hidden="1" customHeight="1" x14ac:dyDescent="0.25"/>
    <row r="2835" ht="12.75" hidden="1" customHeight="1" x14ac:dyDescent="0.25"/>
    <row r="2836" ht="12.75" hidden="1" customHeight="1" x14ac:dyDescent="0.25"/>
    <row r="2837" ht="12.75" hidden="1" customHeight="1" x14ac:dyDescent="0.25"/>
    <row r="2838" ht="12.75" hidden="1" customHeight="1" x14ac:dyDescent="0.25"/>
    <row r="2839" ht="12.75" hidden="1" customHeight="1" x14ac:dyDescent="0.25"/>
    <row r="2840" ht="12.75" hidden="1" customHeight="1" x14ac:dyDescent="0.25"/>
    <row r="2841" ht="12.75" hidden="1" customHeight="1" x14ac:dyDescent="0.25"/>
    <row r="2842" ht="12.75" hidden="1" customHeight="1" x14ac:dyDescent="0.25"/>
    <row r="2843" ht="12.75" hidden="1" customHeight="1" x14ac:dyDescent="0.25"/>
    <row r="2844" ht="12.75" hidden="1" customHeight="1" x14ac:dyDescent="0.25"/>
    <row r="2845" ht="12.75" hidden="1" customHeight="1" x14ac:dyDescent="0.25"/>
    <row r="2846" ht="12.75" hidden="1" customHeight="1" x14ac:dyDescent="0.25"/>
    <row r="2847" ht="12.75" hidden="1" customHeight="1" x14ac:dyDescent="0.25"/>
    <row r="2848" ht="12.75" hidden="1" customHeight="1" x14ac:dyDescent="0.25"/>
    <row r="2849" ht="12.75" hidden="1" customHeight="1" x14ac:dyDescent="0.25"/>
    <row r="2850" ht="12.75" hidden="1" customHeight="1" x14ac:dyDescent="0.25"/>
    <row r="2851" ht="12.75" hidden="1" customHeight="1" x14ac:dyDescent="0.25"/>
    <row r="2852" ht="12.75" hidden="1" customHeight="1" x14ac:dyDescent="0.25"/>
    <row r="2853" ht="12.75" hidden="1" customHeight="1" x14ac:dyDescent="0.25"/>
    <row r="2854" ht="12.75" hidden="1" customHeight="1" x14ac:dyDescent="0.25"/>
    <row r="2855" ht="12.75" hidden="1" customHeight="1" x14ac:dyDescent="0.25"/>
    <row r="2856" ht="12.75" hidden="1" customHeight="1" x14ac:dyDescent="0.25"/>
    <row r="2857" ht="12.75" hidden="1" customHeight="1" x14ac:dyDescent="0.25"/>
    <row r="2858" ht="12.75" hidden="1" customHeight="1" x14ac:dyDescent="0.25"/>
    <row r="2859" ht="12.75" hidden="1" customHeight="1" x14ac:dyDescent="0.25"/>
    <row r="2860" ht="12.75" hidden="1" customHeight="1" x14ac:dyDescent="0.25"/>
    <row r="2861" ht="12.75" hidden="1" customHeight="1" x14ac:dyDescent="0.25"/>
    <row r="2862" ht="12.75" hidden="1" customHeight="1" x14ac:dyDescent="0.25"/>
    <row r="2863" ht="12.75" hidden="1" customHeight="1" x14ac:dyDescent="0.25"/>
    <row r="2864" ht="12.75" hidden="1" customHeight="1" x14ac:dyDescent="0.25"/>
    <row r="2865" ht="12.75" hidden="1" customHeight="1" x14ac:dyDescent="0.25"/>
    <row r="2866" ht="12.75" hidden="1" customHeight="1" x14ac:dyDescent="0.25"/>
    <row r="2867" ht="12.75" hidden="1" customHeight="1" x14ac:dyDescent="0.25"/>
    <row r="2868" ht="12.75" hidden="1" customHeight="1" x14ac:dyDescent="0.25"/>
    <row r="2869" ht="12.75" hidden="1" customHeight="1" x14ac:dyDescent="0.25"/>
    <row r="2870" ht="12.75" hidden="1" customHeight="1" x14ac:dyDescent="0.25"/>
    <row r="2871" ht="12.75" hidden="1" customHeight="1" x14ac:dyDescent="0.25"/>
    <row r="2872" ht="12.75" hidden="1" customHeight="1" x14ac:dyDescent="0.25"/>
    <row r="2873" ht="12.75" hidden="1" customHeight="1" x14ac:dyDescent="0.25"/>
    <row r="2874" ht="12.75" hidden="1" customHeight="1" x14ac:dyDescent="0.25"/>
    <row r="2875" ht="12.75" hidden="1" customHeight="1" x14ac:dyDescent="0.25"/>
    <row r="2876" ht="12.75" hidden="1" customHeight="1" x14ac:dyDescent="0.25"/>
    <row r="2877" ht="12.75" hidden="1" customHeight="1" x14ac:dyDescent="0.25"/>
    <row r="2878" ht="12.75" hidden="1" customHeight="1" x14ac:dyDescent="0.25"/>
    <row r="2879" ht="12.75" hidden="1" customHeight="1" x14ac:dyDescent="0.25"/>
    <row r="2880" ht="12.75" hidden="1" customHeight="1" x14ac:dyDescent="0.25"/>
    <row r="2881" ht="12.75" hidden="1" customHeight="1" x14ac:dyDescent="0.25"/>
    <row r="2882" ht="12.75" hidden="1" customHeight="1" x14ac:dyDescent="0.25"/>
    <row r="2883" ht="12.75" hidden="1" customHeight="1" x14ac:dyDescent="0.25"/>
    <row r="2884" ht="12.75" hidden="1" customHeight="1" x14ac:dyDescent="0.25"/>
    <row r="2885" ht="12.75" hidden="1" customHeight="1" x14ac:dyDescent="0.25"/>
    <row r="2886" ht="12.75" hidden="1" customHeight="1" x14ac:dyDescent="0.25"/>
    <row r="2887" ht="12.75" hidden="1" customHeight="1" x14ac:dyDescent="0.25"/>
    <row r="2888" ht="12.75" hidden="1" customHeight="1" x14ac:dyDescent="0.25"/>
    <row r="2889" ht="12.75" hidden="1" customHeight="1" x14ac:dyDescent="0.25"/>
    <row r="2890" ht="12.75" hidden="1" customHeight="1" x14ac:dyDescent="0.25"/>
    <row r="2891" ht="12.75" hidden="1" customHeight="1" x14ac:dyDescent="0.25"/>
    <row r="2892" ht="12.75" hidden="1" customHeight="1" x14ac:dyDescent="0.25"/>
    <row r="2893" ht="12.75" hidden="1" customHeight="1" x14ac:dyDescent="0.25"/>
    <row r="2894" ht="12.75" hidden="1" customHeight="1" x14ac:dyDescent="0.25"/>
    <row r="2895" ht="12.75" hidden="1" customHeight="1" x14ac:dyDescent="0.25"/>
    <row r="2896" ht="12.75" hidden="1" customHeight="1" x14ac:dyDescent="0.25"/>
    <row r="2897" ht="12.75" hidden="1" customHeight="1" x14ac:dyDescent="0.25"/>
    <row r="2898" ht="12.75" hidden="1" customHeight="1" x14ac:dyDescent="0.25"/>
    <row r="2899" ht="12.75" hidden="1" customHeight="1" x14ac:dyDescent="0.25"/>
    <row r="2900" ht="12.75" hidden="1" customHeight="1" x14ac:dyDescent="0.25"/>
    <row r="2901" ht="12.75" hidden="1" customHeight="1" x14ac:dyDescent="0.25"/>
    <row r="2902" ht="12.75" hidden="1" customHeight="1" x14ac:dyDescent="0.25"/>
    <row r="2903" ht="12.75" hidden="1" customHeight="1" x14ac:dyDescent="0.25"/>
    <row r="2904" ht="12.75" hidden="1" customHeight="1" x14ac:dyDescent="0.25"/>
    <row r="2905" ht="12.75" hidden="1" customHeight="1" x14ac:dyDescent="0.25"/>
    <row r="2906" ht="12.75" hidden="1" customHeight="1" x14ac:dyDescent="0.25"/>
    <row r="2907" ht="12.75" hidden="1" customHeight="1" x14ac:dyDescent="0.25"/>
    <row r="2908" ht="12.75" hidden="1" customHeight="1" x14ac:dyDescent="0.25"/>
    <row r="2909" ht="12.75" hidden="1" customHeight="1" x14ac:dyDescent="0.25"/>
    <row r="2910" ht="12.75" hidden="1" customHeight="1" x14ac:dyDescent="0.25"/>
    <row r="2911" ht="12.75" hidden="1" customHeight="1" x14ac:dyDescent="0.25"/>
    <row r="2912" ht="12.75" hidden="1" customHeight="1" x14ac:dyDescent="0.25"/>
    <row r="2913" ht="12.75" hidden="1" customHeight="1" x14ac:dyDescent="0.25"/>
    <row r="2914" ht="12.75" hidden="1" customHeight="1" x14ac:dyDescent="0.25"/>
    <row r="2915" ht="12.75" hidden="1" customHeight="1" x14ac:dyDescent="0.25"/>
    <row r="2916" ht="12.75" hidden="1" customHeight="1" x14ac:dyDescent="0.25"/>
    <row r="2917" ht="12.75" hidden="1" customHeight="1" x14ac:dyDescent="0.25"/>
    <row r="2918" ht="12.75" hidden="1" customHeight="1" x14ac:dyDescent="0.25"/>
    <row r="2919" ht="12.75" hidden="1" customHeight="1" x14ac:dyDescent="0.25"/>
    <row r="2920" ht="12.75" hidden="1" customHeight="1" x14ac:dyDescent="0.25"/>
    <row r="2921" ht="12.75" hidden="1" customHeight="1" x14ac:dyDescent="0.25"/>
    <row r="2922" ht="12.75" hidden="1" customHeight="1" x14ac:dyDescent="0.25"/>
    <row r="2923" ht="12.75" hidden="1" customHeight="1" x14ac:dyDescent="0.25"/>
    <row r="2924" ht="12.75" hidden="1" customHeight="1" x14ac:dyDescent="0.25"/>
    <row r="2925" ht="12.75" hidden="1" customHeight="1" x14ac:dyDescent="0.25"/>
    <row r="2926" ht="12.75" hidden="1" customHeight="1" x14ac:dyDescent="0.25"/>
    <row r="2927" ht="12.75" hidden="1" customHeight="1" x14ac:dyDescent="0.25"/>
    <row r="2928" ht="12.75" hidden="1" customHeight="1" x14ac:dyDescent="0.25"/>
    <row r="2929" ht="12.75" hidden="1" customHeight="1" x14ac:dyDescent="0.25"/>
    <row r="2930" ht="12.75" hidden="1" customHeight="1" x14ac:dyDescent="0.25"/>
    <row r="2931" ht="12.75" hidden="1" customHeight="1" x14ac:dyDescent="0.25"/>
    <row r="2932" ht="12.75" hidden="1" customHeight="1" x14ac:dyDescent="0.25"/>
    <row r="2933" ht="12.75" hidden="1" customHeight="1" x14ac:dyDescent="0.25"/>
    <row r="2934" ht="12.75" hidden="1" customHeight="1" x14ac:dyDescent="0.25"/>
    <row r="2935" ht="12.75" hidden="1" customHeight="1" x14ac:dyDescent="0.25"/>
    <row r="2936" ht="12.75" hidden="1" customHeight="1" x14ac:dyDescent="0.25"/>
    <row r="2937" ht="12.75" hidden="1" customHeight="1" x14ac:dyDescent="0.25"/>
    <row r="2938" ht="12.75" hidden="1" customHeight="1" x14ac:dyDescent="0.25"/>
    <row r="2939" ht="12.75" hidden="1" customHeight="1" x14ac:dyDescent="0.25"/>
    <row r="2940" ht="12.75" hidden="1" customHeight="1" x14ac:dyDescent="0.25"/>
    <row r="2941" ht="12.75" hidden="1" customHeight="1" x14ac:dyDescent="0.25"/>
    <row r="2942" ht="12.75" hidden="1" customHeight="1" x14ac:dyDescent="0.25"/>
    <row r="2943" ht="12.75" hidden="1" customHeight="1" x14ac:dyDescent="0.25"/>
    <row r="2944" ht="12.75" hidden="1" customHeight="1" x14ac:dyDescent="0.25"/>
    <row r="2945" ht="12.75" hidden="1" customHeight="1" x14ac:dyDescent="0.25"/>
    <row r="2946" ht="12.75" hidden="1" customHeight="1" x14ac:dyDescent="0.25"/>
    <row r="2947" ht="12.75" hidden="1" customHeight="1" x14ac:dyDescent="0.25"/>
    <row r="2948" ht="12.75" hidden="1" customHeight="1" x14ac:dyDescent="0.25"/>
    <row r="2949" ht="12.75" hidden="1" customHeight="1" x14ac:dyDescent="0.25"/>
    <row r="2950" ht="12.75" hidden="1" customHeight="1" x14ac:dyDescent="0.25"/>
    <row r="2951" ht="12.75" hidden="1" customHeight="1" x14ac:dyDescent="0.25"/>
    <row r="2952" ht="12.75" hidden="1" customHeight="1" x14ac:dyDescent="0.25"/>
    <row r="2953" ht="12.75" hidden="1" customHeight="1" x14ac:dyDescent="0.25"/>
    <row r="2954" ht="12.75" hidden="1" customHeight="1" x14ac:dyDescent="0.25"/>
    <row r="2955" ht="12.75" hidden="1" customHeight="1" x14ac:dyDescent="0.25"/>
    <row r="2956" ht="12.75" hidden="1" customHeight="1" x14ac:dyDescent="0.25"/>
    <row r="2957" ht="12.75" hidden="1" customHeight="1" x14ac:dyDescent="0.25"/>
    <row r="2958" ht="12.75" hidden="1" customHeight="1" x14ac:dyDescent="0.25"/>
    <row r="2959" ht="12.75" hidden="1" customHeight="1" x14ac:dyDescent="0.25"/>
    <row r="2960" ht="12.75" hidden="1" customHeight="1" x14ac:dyDescent="0.25"/>
    <row r="2961" ht="12.75" hidden="1" customHeight="1" x14ac:dyDescent="0.25"/>
    <row r="2962" ht="12.75" hidden="1" customHeight="1" x14ac:dyDescent="0.25"/>
    <row r="2963" ht="12.75" hidden="1" customHeight="1" x14ac:dyDescent="0.25"/>
    <row r="2964" ht="12.75" hidden="1" customHeight="1" x14ac:dyDescent="0.25"/>
    <row r="2965" ht="12.75" hidden="1" customHeight="1" x14ac:dyDescent="0.25"/>
    <row r="2966" ht="12.75" hidden="1" customHeight="1" x14ac:dyDescent="0.25"/>
    <row r="2967" ht="12.75" hidden="1" customHeight="1" x14ac:dyDescent="0.25"/>
    <row r="2968" ht="12.75" hidden="1" customHeight="1" x14ac:dyDescent="0.25"/>
    <row r="2969" ht="12.75" hidden="1" customHeight="1" x14ac:dyDescent="0.25"/>
    <row r="2970" ht="12.75" hidden="1" customHeight="1" x14ac:dyDescent="0.25"/>
    <row r="2971" ht="12.75" hidden="1" customHeight="1" x14ac:dyDescent="0.25"/>
    <row r="2972" ht="12.75" hidden="1" customHeight="1" x14ac:dyDescent="0.25"/>
    <row r="2973" ht="12.75" hidden="1" customHeight="1" x14ac:dyDescent="0.25"/>
    <row r="2974" ht="12.75" hidden="1" customHeight="1" x14ac:dyDescent="0.25"/>
    <row r="2975" ht="12.75" hidden="1" customHeight="1" x14ac:dyDescent="0.25"/>
    <row r="2976" ht="12.75" hidden="1" customHeight="1" x14ac:dyDescent="0.25"/>
    <row r="2977" ht="12.75" hidden="1" customHeight="1" x14ac:dyDescent="0.25"/>
    <row r="2978" ht="12.75" hidden="1" customHeight="1" x14ac:dyDescent="0.25"/>
    <row r="2979" ht="12.75" hidden="1" customHeight="1" x14ac:dyDescent="0.25"/>
    <row r="2980" ht="12.75" hidden="1" customHeight="1" x14ac:dyDescent="0.25"/>
    <row r="2981" ht="12.75" hidden="1" customHeight="1" x14ac:dyDescent="0.25"/>
    <row r="2982" ht="12.75" hidden="1" customHeight="1" x14ac:dyDescent="0.25"/>
    <row r="2983" ht="12.75" hidden="1" customHeight="1" x14ac:dyDescent="0.25"/>
    <row r="2984" ht="12.75" hidden="1" customHeight="1" x14ac:dyDescent="0.25"/>
    <row r="2985" ht="12.75" hidden="1" customHeight="1" x14ac:dyDescent="0.25"/>
    <row r="2986" ht="12.75" hidden="1" customHeight="1" x14ac:dyDescent="0.25"/>
    <row r="2987" ht="12.75" hidden="1" customHeight="1" x14ac:dyDescent="0.25"/>
    <row r="2988" ht="12.75" hidden="1" customHeight="1" x14ac:dyDescent="0.25"/>
    <row r="2989" ht="12.75" hidden="1" customHeight="1" x14ac:dyDescent="0.25"/>
    <row r="2990" ht="12.75" hidden="1" customHeight="1" x14ac:dyDescent="0.25"/>
    <row r="2991" ht="12.75" hidden="1" customHeight="1" x14ac:dyDescent="0.25"/>
    <row r="2992" ht="12.75" hidden="1" customHeight="1" x14ac:dyDescent="0.25"/>
    <row r="2993" ht="12.75" hidden="1" customHeight="1" x14ac:dyDescent="0.25"/>
    <row r="2994" ht="12.75" hidden="1" customHeight="1" x14ac:dyDescent="0.25"/>
    <row r="2995" ht="12.75" hidden="1" customHeight="1" x14ac:dyDescent="0.25"/>
    <row r="2996" ht="12.75" hidden="1" customHeight="1" x14ac:dyDescent="0.25"/>
    <row r="2997" ht="12.75" hidden="1" customHeight="1" x14ac:dyDescent="0.25"/>
    <row r="2998" ht="12.75" hidden="1" customHeight="1" x14ac:dyDescent="0.25"/>
    <row r="2999" ht="12.75" hidden="1" customHeight="1" x14ac:dyDescent="0.25"/>
    <row r="3000" ht="12.75" hidden="1" customHeight="1" x14ac:dyDescent="0.25"/>
    <row r="3001" ht="12.75" hidden="1" customHeight="1" x14ac:dyDescent="0.25"/>
    <row r="3002" ht="12.75" hidden="1" customHeight="1" x14ac:dyDescent="0.25"/>
    <row r="3003" ht="12.75" hidden="1" customHeight="1" x14ac:dyDescent="0.25"/>
    <row r="3004" ht="12.75" hidden="1" customHeight="1" x14ac:dyDescent="0.25"/>
    <row r="3005" ht="12.75" hidden="1" customHeight="1" x14ac:dyDescent="0.25"/>
    <row r="3006" ht="12.75" hidden="1" customHeight="1" x14ac:dyDescent="0.25"/>
    <row r="3007" ht="12.75" hidden="1" customHeight="1" x14ac:dyDescent="0.25"/>
    <row r="3008" ht="12.75" hidden="1" customHeight="1" x14ac:dyDescent="0.25"/>
    <row r="3009" ht="12.75" hidden="1" customHeight="1" x14ac:dyDescent="0.25"/>
    <row r="3010" ht="12.75" hidden="1" customHeight="1" x14ac:dyDescent="0.25"/>
    <row r="3011" ht="12.75" hidden="1" customHeight="1" x14ac:dyDescent="0.25"/>
    <row r="3012" ht="12.75" hidden="1" customHeight="1" x14ac:dyDescent="0.25"/>
    <row r="3013" ht="12.75" hidden="1" customHeight="1" x14ac:dyDescent="0.25"/>
    <row r="3014" ht="12.75" hidden="1" customHeight="1" x14ac:dyDescent="0.25"/>
    <row r="3015" ht="12.75" hidden="1" customHeight="1" x14ac:dyDescent="0.25"/>
    <row r="3016" ht="12.75" hidden="1" customHeight="1" x14ac:dyDescent="0.25"/>
    <row r="3017" ht="12.75" hidden="1" customHeight="1" x14ac:dyDescent="0.25"/>
    <row r="3018" ht="12.75" hidden="1" customHeight="1" x14ac:dyDescent="0.25"/>
    <row r="3019" ht="12.75" hidden="1" customHeight="1" x14ac:dyDescent="0.25"/>
    <row r="3020" ht="12.75" hidden="1" customHeight="1" x14ac:dyDescent="0.25"/>
    <row r="3021" ht="12.75" hidden="1" customHeight="1" x14ac:dyDescent="0.25"/>
    <row r="3022" ht="12.75" hidden="1" customHeight="1" x14ac:dyDescent="0.25"/>
    <row r="3023" ht="12.75" hidden="1" customHeight="1" x14ac:dyDescent="0.25"/>
    <row r="3024" ht="12.75" hidden="1" customHeight="1" x14ac:dyDescent="0.25"/>
    <row r="3025" ht="12.75" hidden="1" customHeight="1" x14ac:dyDescent="0.25"/>
    <row r="3026" ht="12.75" hidden="1" customHeight="1" x14ac:dyDescent="0.25"/>
    <row r="3027" ht="12.75" hidden="1" customHeight="1" x14ac:dyDescent="0.25"/>
    <row r="3028" ht="12.75" hidden="1" customHeight="1" x14ac:dyDescent="0.25"/>
    <row r="3029" ht="12.75" hidden="1" customHeight="1" x14ac:dyDescent="0.25"/>
    <row r="3030" ht="12.75" hidden="1" customHeight="1" x14ac:dyDescent="0.25"/>
    <row r="3031" ht="12.75" hidden="1" customHeight="1" x14ac:dyDescent="0.25"/>
    <row r="3032" ht="12.75" hidden="1" customHeight="1" x14ac:dyDescent="0.25"/>
    <row r="3033" ht="12.75" hidden="1" customHeight="1" x14ac:dyDescent="0.25"/>
    <row r="3034" ht="12.75" hidden="1" customHeight="1" x14ac:dyDescent="0.25"/>
    <row r="3035" ht="12.75" hidden="1" customHeight="1" x14ac:dyDescent="0.25"/>
    <row r="3036" ht="12.75" hidden="1" customHeight="1" x14ac:dyDescent="0.25"/>
    <row r="3037" ht="12.75" hidden="1" customHeight="1" x14ac:dyDescent="0.25"/>
    <row r="3038" ht="12.75" hidden="1" customHeight="1" x14ac:dyDescent="0.25"/>
    <row r="3039" ht="12.75" hidden="1" customHeight="1" x14ac:dyDescent="0.25"/>
    <row r="3040" ht="12.75" hidden="1" customHeight="1" x14ac:dyDescent="0.25"/>
    <row r="3041" ht="12.75" hidden="1" customHeight="1" x14ac:dyDescent="0.25"/>
    <row r="3042" ht="12.75" hidden="1" customHeight="1" x14ac:dyDescent="0.25"/>
    <row r="3043" ht="12.75" hidden="1" customHeight="1" x14ac:dyDescent="0.25"/>
    <row r="3044" ht="12.75" hidden="1" customHeight="1" x14ac:dyDescent="0.25"/>
    <row r="3045" ht="12.75" hidden="1" customHeight="1" x14ac:dyDescent="0.25"/>
    <row r="3046" ht="12.75" hidden="1" customHeight="1" x14ac:dyDescent="0.25"/>
    <row r="3047" ht="12.75" hidden="1" customHeight="1" x14ac:dyDescent="0.25"/>
    <row r="3048" ht="12.75" hidden="1" customHeight="1" x14ac:dyDescent="0.25"/>
    <row r="3049" ht="12.75" hidden="1" customHeight="1" x14ac:dyDescent="0.25"/>
    <row r="3050" ht="12.75" hidden="1" customHeight="1" x14ac:dyDescent="0.25"/>
    <row r="3051" ht="12.75" hidden="1" customHeight="1" x14ac:dyDescent="0.25"/>
    <row r="3052" ht="12.75" hidden="1" customHeight="1" x14ac:dyDescent="0.25"/>
    <row r="3053" ht="12.75" hidden="1" customHeight="1" x14ac:dyDescent="0.25"/>
    <row r="3054" ht="12.75" hidden="1" customHeight="1" x14ac:dyDescent="0.25"/>
    <row r="3055" ht="12.75" hidden="1" customHeight="1" x14ac:dyDescent="0.25"/>
    <row r="3056" ht="12.75" hidden="1" customHeight="1" x14ac:dyDescent="0.25"/>
    <row r="3057" ht="12.75" hidden="1" customHeight="1" x14ac:dyDescent="0.25"/>
    <row r="3058" ht="12.75" hidden="1" customHeight="1" x14ac:dyDescent="0.25"/>
    <row r="3059" ht="12.75" hidden="1" customHeight="1" x14ac:dyDescent="0.25"/>
    <row r="3060" ht="12.75" hidden="1" customHeight="1" x14ac:dyDescent="0.25"/>
    <row r="3061" ht="12.75" hidden="1" customHeight="1" x14ac:dyDescent="0.25"/>
    <row r="3062" ht="12.75" hidden="1" customHeight="1" x14ac:dyDescent="0.25"/>
    <row r="3063" ht="12.75" hidden="1" customHeight="1" x14ac:dyDescent="0.25"/>
    <row r="3064" ht="12.75" hidden="1" customHeight="1" x14ac:dyDescent="0.25"/>
    <row r="3065" ht="12.75" hidden="1" customHeight="1" x14ac:dyDescent="0.25"/>
    <row r="3066" ht="12.75" hidden="1" customHeight="1" x14ac:dyDescent="0.25"/>
    <row r="3067" ht="12.75" hidden="1" customHeight="1" x14ac:dyDescent="0.25"/>
    <row r="3068" ht="12.75" hidden="1" customHeight="1" x14ac:dyDescent="0.25"/>
    <row r="3069" ht="12.75" hidden="1" customHeight="1" x14ac:dyDescent="0.25"/>
    <row r="3070" ht="12.75" hidden="1" customHeight="1" x14ac:dyDescent="0.25"/>
    <row r="3071" ht="12.75" hidden="1" customHeight="1" x14ac:dyDescent="0.25"/>
    <row r="3072" ht="12.75" hidden="1" customHeight="1" x14ac:dyDescent="0.25"/>
    <row r="3073" ht="12.75" hidden="1" customHeight="1" x14ac:dyDescent="0.25"/>
    <row r="3074" ht="12.75" hidden="1" customHeight="1" x14ac:dyDescent="0.25"/>
    <row r="3075" ht="12.75" hidden="1" customHeight="1" x14ac:dyDescent="0.25"/>
    <row r="3076" ht="12.75" hidden="1" customHeight="1" x14ac:dyDescent="0.25"/>
    <row r="3077" ht="12.75" hidden="1" customHeight="1" x14ac:dyDescent="0.25"/>
    <row r="3078" ht="12.75" hidden="1" customHeight="1" x14ac:dyDescent="0.25"/>
    <row r="3079" ht="12.75" hidden="1" customHeight="1" x14ac:dyDescent="0.25"/>
    <row r="3080" ht="12.75" hidden="1" customHeight="1" x14ac:dyDescent="0.25"/>
    <row r="3081" ht="12.75" hidden="1" customHeight="1" x14ac:dyDescent="0.25"/>
    <row r="3082" ht="12.75" hidden="1" customHeight="1" x14ac:dyDescent="0.25"/>
    <row r="3083" ht="12.75" hidden="1" customHeight="1" x14ac:dyDescent="0.25"/>
    <row r="3084" ht="12.75" hidden="1" customHeight="1" x14ac:dyDescent="0.25"/>
    <row r="3085" ht="12.75" hidden="1" customHeight="1" x14ac:dyDescent="0.25"/>
    <row r="3086" ht="12.75" hidden="1" customHeight="1" x14ac:dyDescent="0.25"/>
    <row r="3087" ht="12.75" hidden="1" customHeight="1" x14ac:dyDescent="0.25"/>
    <row r="3088" ht="12.75" hidden="1" customHeight="1" x14ac:dyDescent="0.25"/>
    <row r="3089" ht="12.75" hidden="1" customHeight="1" x14ac:dyDescent="0.25"/>
    <row r="3090" ht="12.75" hidden="1" customHeight="1" x14ac:dyDescent="0.25"/>
    <row r="3091" ht="12.75" hidden="1" customHeight="1" x14ac:dyDescent="0.25"/>
    <row r="3092" ht="12.75" hidden="1" customHeight="1" x14ac:dyDescent="0.25"/>
    <row r="3093" ht="12.75" hidden="1" customHeight="1" x14ac:dyDescent="0.25"/>
    <row r="3094" ht="12.75" hidden="1" customHeight="1" x14ac:dyDescent="0.25"/>
    <row r="3095" ht="12.75" hidden="1" customHeight="1" x14ac:dyDescent="0.25"/>
    <row r="3096" ht="12.75" hidden="1" customHeight="1" x14ac:dyDescent="0.25"/>
    <row r="3097" ht="12.75" hidden="1" customHeight="1" x14ac:dyDescent="0.25"/>
    <row r="3098" ht="12.75" hidden="1" customHeight="1" x14ac:dyDescent="0.25"/>
    <row r="3099" ht="12.75" hidden="1" customHeight="1" x14ac:dyDescent="0.25"/>
    <row r="3100" ht="12.75" hidden="1" customHeight="1" x14ac:dyDescent="0.25"/>
    <row r="3101" ht="12.75" hidden="1" customHeight="1" x14ac:dyDescent="0.25"/>
    <row r="3102" ht="12.75" hidden="1" customHeight="1" x14ac:dyDescent="0.25"/>
    <row r="3103" ht="12.75" hidden="1" customHeight="1" x14ac:dyDescent="0.25"/>
    <row r="3104" ht="12.75" hidden="1" customHeight="1" x14ac:dyDescent="0.25"/>
    <row r="3105" ht="12.75" hidden="1" customHeight="1" x14ac:dyDescent="0.25"/>
    <row r="3106" ht="12.75" hidden="1" customHeight="1" x14ac:dyDescent="0.25"/>
    <row r="3107" ht="12.75" hidden="1" customHeight="1" x14ac:dyDescent="0.25"/>
    <row r="3108" ht="12.75" hidden="1" customHeight="1" x14ac:dyDescent="0.25"/>
    <row r="3109" ht="12.75" hidden="1" customHeight="1" x14ac:dyDescent="0.25"/>
    <row r="3110" ht="12.75" hidden="1" customHeight="1" x14ac:dyDescent="0.25"/>
    <row r="3111" ht="12.75" hidden="1" customHeight="1" x14ac:dyDescent="0.25"/>
    <row r="3112" ht="12.75" hidden="1" customHeight="1" x14ac:dyDescent="0.25"/>
    <row r="3113" ht="12.75" hidden="1" customHeight="1" x14ac:dyDescent="0.25"/>
    <row r="3114" ht="12.75" hidden="1" customHeight="1" x14ac:dyDescent="0.25"/>
    <row r="3115" ht="12.75" hidden="1" customHeight="1" x14ac:dyDescent="0.25"/>
    <row r="3116" ht="12.75" hidden="1" customHeight="1" x14ac:dyDescent="0.25"/>
    <row r="3117" ht="12.75" hidden="1" customHeight="1" x14ac:dyDescent="0.25"/>
    <row r="3118" ht="12.75" hidden="1" customHeight="1" x14ac:dyDescent="0.25"/>
    <row r="3119" ht="12.75" hidden="1" customHeight="1" x14ac:dyDescent="0.25"/>
    <row r="3120" ht="12.75" hidden="1" customHeight="1" x14ac:dyDescent="0.25"/>
    <row r="3121" ht="12.75" hidden="1" customHeight="1" x14ac:dyDescent="0.25"/>
    <row r="3122" ht="12.75" hidden="1" customHeight="1" x14ac:dyDescent="0.25"/>
    <row r="3123" ht="12.75" hidden="1" customHeight="1" x14ac:dyDescent="0.25"/>
    <row r="3124" ht="12.75" hidden="1" customHeight="1" x14ac:dyDescent="0.25"/>
    <row r="3125" ht="12.75" hidden="1" customHeight="1" x14ac:dyDescent="0.25"/>
    <row r="3126" ht="12.75" hidden="1" customHeight="1" x14ac:dyDescent="0.25"/>
    <row r="3127" ht="12.75" hidden="1" customHeight="1" x14ac:dyDescent="0.25"/>
    <row r="3128" ht="12.75" hidden="1" customHeight="1" x14ac:dyDescent="0.25"/>
    <row r="3129" ht="12.75" hidden="1" customHeight="1" x14ac:dyDescent="0.25"/>
    <row r="3130" ht="12.75" hidden="1" customHeight="1" x14ac:dyDescent="0.25"/>
    <row r="3131" ht="12.75" hidden="1" customHeight="1" x14ac:dyDescent="0.25"/>
    <row r="3132" ht="12.75" hidden="1" customHeight="1" x14ac:dyDescent="0.25"/>
    <row r="3133" ht="12.75" hidden="1" customHeight="1" x14ac:dyDescent="0.25"/>
    <row r="3134" ht="12.75" hidden="1" customHeight="1" x14ac:dyDescent="0.25"/>
    <row r="3135" ht="12.75" hidden="1" customHeight="1" x14ac:dyDescent="0.25"/>
    <row r="3136" ht="12.75" hidden="1" customHeight="1" x14ac:dyDescent="0.25"/>
    <row r="3137" ht="12.75" hidden="1" customHeight="1" x14ac:dyDescent="0.25"/>
    <row r="3138" ht="12.75" hidden="1" customHeight="1" x14ac:dyDescent="0.25"/>
    <row r="3139" ht="12.75" hidden="1" customHeight="1" x14ac:dyDescent="0.25"/>
    <row r="3140" ht="12.75" hidden="1" customHeight="1" x14ac:dyDescent="0.25"/>
    <row r="3141" ht="12.75" hidden="1" customHeight="1" x14ac:dyDescent="0.25"/>
    <row r="3142" ht="12.75" hidden="1" customHeight="1" x14ac:dyDescent="0.25"/>
    <row r="3143" ht="12.75" hidden="1" customHeight="1" x14ac:dyDescent="0.25"/>
    <row r="3144" ht="12.75" hidden="1" customHeight="1" x14ac:dyDescent="0.25"/>
    <row r="3145" ht="12.75" hidden="1" customHeight="1" x14ac:dyDescent="0.25"/>
    <row r="3146" ht="12.75" hidden="1" customHeight="1" x14ac:dyDescent="0.25"/>
    <row r="3147" ht="12.75" hidden="1" customHeight="1" x14ac:dyDescent="0.25"/>
    <row r="3148" ht="12.75" hidden="1" customHeight="1" x14ac:dyDescent="0.25"/>
    <row r="3149" ht="12.75" hidden="1" customHeight="1" x14ac:dyDescent="0.25"/>
    <row r="3150" ht="12.75" hidden="1" customHeight="1" x14ac:dyDescent="0.25"/>
    <row r="3151" ht="12.75" hidden="1" customHeight="1" x14ac:dyDescent="0.25"/>
    <row r="3152" ht="12.75" hidden="1" customHeight="1" x14ac:dyDescent="0.25"/>
    <row r="3153" ht="12.75" hidden="1" customHeight="1" x14ac:dyDescent="0.25"/>
    <row r="3154" ht="12.75" hidden="1" customHeight="1" x14ac:dyDescent="0.25"/>
    <row r="3155" ht="12.75" hidden="1" customHeight="1" x14ac:dyDescent="0.25"/>
    <row r="3156" ht="12.75" hidden="1" customHeight="1" x14ac:dyDescent="0.25"/>
    <row r="3157" ht="12.75" hidden="1" customHeight="1" x14ac:dyDescent="0.25"/>
    <row r="3158" ht="12.75" hidden="1" customHeight="1" x14ac:dyDescent="0.25"/>
    <row r="3159" ht="12.75" hidden="1" customHeight="1" x14ac:dyDescent="0.25"/>
    <row r="3160" ht="12.75" hidden="1" customHeight="1" x14ac:dyDescent="0.25"/>
    <row r="3161" ht="12.75" hidden="1" customHeight="1" x14ac:dyDescent="0.25"/>
    <row r="3162" ht="12.75" hidden="1" customHeight="1" x14ac:dyDescent="0.25"/>
    <row r="3163" ht="12.75" hidden="1" customHeight="1" x14ac:dyDescent="0.25"/>
    <row r="3164" ht="12.75" hidden="1" customHeight="1" x14ac:dyDescent="0.25"/>
    <row r="3165" ht="12.75" hidden="1" customHeight="1" x14ac:dyDescent="0.25"/>
    <row r="3166" ht="12.75" hidden="1" customHeight="1" x14ac:dyDescent="0.25"/>
    <row r="3167" ht="12.75" hidden="1" customHeight="1" x14ac:dyDescent="0.25"/>
    <row r="3168" ht="12.75" hidden="1" customHeight="1" x14ac:dyDescent="0.25"/>
    <row r="3169" ht="12.75" hidden="1" customHeight="1" x14ac:dyDescent="0.25"/>
    <row r="3170" ht="12.75" hidden="1" customHeight="1" x14ac:dyDescent="0.25"/>
    <row r="3171" ht="12.75" hidden="1" customHeight="1" x14ac:dyDescent="0.25"/>
    <row r="3172" ht="12.75" hidden="1" customHeight="1" x14ac:dyDescent="0.25"/>
    <row r="3173" ht="12.75" hidden="1" customHeight="1" x14ac:dyDescent="0.25"/>
    <row r="3174" ht="12.75" hidden="1" customHeight="1" x14ac:dyDescent="0.25"/>
    <row r="3175" ht="12.75" hidden="1" customHeight="1" x14ac:dyDescent="0.25"/>
    <row r="3176" ht="12.75" hidden="1" customHeight="1" x14ac:dyDescent="0.25"/>
    <row r="3177" ht="12.75" hidden="1" customHeight="1" x14ac:dyDescent="0.25"/>
    <row r="3178" ht="12.75" hidden="1" customHeight="1" x14ac:dyDescent="0.25"/>
    <row r="3179" ht="12.75" hidden="1" customHeight="1" x14ac:dyDescent="0.25"/>
    <row r="3180" ht="12.75" hidden="1" customHeight="1" x14ac:dyDescent="0.25"/>
    <row r="3181" ht="12.75" hidden="1" customHeight="1" x14ac:dyDescent="0.25"/>
    <row r="3182" ht="12.75" hidden="1" customHeight="1" x14ac:dyDescent="0.25"/>
    <row r="3183" ht="12.75" hidden="1" customHeight="1" x14ac:dyDescent="0.25"/>
    <row r="3184" ht="12.75" hidden="1" customHeight="1" x14ac:dyDescent="0.25"/>
    <row r="3185" ht="12.75" hidden="1" customHeight="1" x14ac:dyDescent="0.25"/>
    <row r="3186" ht="12.75" hidden="1" customHeight="1" x14ac:dyDescent="0.25"/>
    <row r="3187" ht="12.75" hidden="1" customHeight="1" x14ac:dyDescent="0.25"/>
    <row r="3188" ht="12.75" hidden="1" customHeight="1" x14ac:dyDescent="0.25"/>
    <row r="3189" ht="12.75" hidden="1" customHeight="1" x14ac:dyDescent="0.25"/>
    <row r="3190" ht="12.75" hidden="1" customHeight="1" x14ac:dyDescent="0.25"/>
    <row r="3191" ht="12.75" hidden="1" customHeight="1" x14ac:dyDescent="0.25"/>
    <row r="3192" ht="12.75" hidden="1" customHeight="1" x14ac:dyDescent="0.25"/>
    <row r="3193" ht="12.75" hidden="1" customHeight="1" x14ac:dyDescent="0.25"/>
    <row r="3194" ht="12.75" hidden="1" customHeight="1" x14ac:dyDescent="0.25"/>
    <row r="3195" ht="12.75" hidden="1" customHeight="1" x14ac:dyDescent="0.25"/>
    <row r="3196" ht="12.75" hidden="1" customHeight="1" x14ac:dyDescent="0.25"/>
    <row r="3197" ht="12.75" hidden="1" customHeight="1" x14ac:dyDescent="0.25"/>
    <row r="3198" ht="12.75" hidden="1" customHeight="1" x14ac:dyDescent="0.25"/>
    <row r="3199" ht="12.75" hidden="1" customHeight="1" x14ac:dyDescent="0.25"/>
    <row r="3200" ht="12.75" hidden="1" customHeight="1" x14ac:dyDescent="0.25"/>
    <row r="3201" ht="12.75" hidden="1" customHeight="1" x14ac:dyDescent="0.25"/>
    <row r="3202" ht="12.75" hidden="1" customHeight="1" x14ac:dyDescent="0.25"/>
    <row r="3203" ht="12.75" hidden="1" customHeight="1" x14ac:dyDescent="0.25"/>
    <row r="3204" ht="12.75" hidden="1" customHeight="1" x14ac:dyDescent="0.25"/>
    <row r="3205" ht="12.75" hidden="1" customHeight="1" x14ac:dyDescent="0.25"/>
    <row r="3206" ht="12.75" hidden="1" customHeight="1" x14ac:dyDescent="0.25"/>
    <row r="3207" ht="12.75" hidden="1" customHeight="1" x14ac:dyDescent="0.25"/>
    <row r="3208" ht="12.75" hidden="1" customHeight="1" x14ac:dyDescent="0.25"/>
    <row r="3209" ht="12.75" hidden="1" customHeight="1" x14ac:dyDescent="0.25"/>
    <row r="3210" ht="12.75" hidden="1" customHeight="1" x14ac:dyDescent="0.25"/>
    <row r="3211" ht="12.75" hidden="1" customHeight="1" x14ac:dyDescent="0.25"/>
    <row r="3212" ht="12.75" hidden="1" customHeight="1" x14ac:dyDescent="0.25"/>
    <row r="3213" ht="12.75" hidden="1" customHeight="1" x14ac:dyDescent="0.25"/>
    <row r="3214" ht="12.75" hidden="1" customHeight="1" x14ac:dyDescent="0.25"/>
    <row r="3215" ht="12.75" hidden="1" customHeight="1" x14ac:dyDescent="0.25"/>
    <row r="3216" ht="12.75" hidden="1" customHeight="1" x14ac:dyDescent="0.25"/>
    <row r="3217" ht="12.75" hidden="1" customHeight="1" x14ac:dyDescent="0.25"/>
    <row r="3218" ht="12.75" hidden="1" customHeight="1" x14ac:dyDescent="0.25"/>
    <row r="3219" ht="12.75" hidden="1" customHeight="1" x14ac:dyDescent="0.25"/>
    <row r="3220" ht="12.75" hidden="1" customHeight="1" x14ac:dyDescent="0.25"/>
    <row r="3221" ht="12.75" hidden="1" customHeight="1" x14ac:dyDescent="0.25"/>
    <row r="3222" ht="12.75" hidden="1" customHeight="1" x14ac:dyDescent="0.25"/>
    <row r="3223" ht="12.75" hidden="1" customHeight="1" x14ac:dyDescent="0.25"/>
    <row r="3224" ht="12.75" hidden="1" customHeight="1" x14ac:dyDescent="0.25"/>
    <row r="3225" ht="12.75" hidden="1" customHeight="1" x14ac:dyDescent="0.25"/>
    <row r="3226" ht="12.75" hidden="1" customHeight="1" x14ac:dyDescent="0.25"/>
    <row r="3227" ht="12.75" hidden="1" customHeight="1" x14ac:dyDescent="0.25"/>
    <row r="3228" ht="12.75" hidden="1" customHeight="1" x14ac:dyDescent="0.25"/>
    <row r="3229" ht="12.75" hidden="1" customHeight="1" x14ac:dyDescent="0.25"/>
    <row r="3230" ht="12.75" hidden="1" customHeight="1" x14ac:dyDescent="0.25"/>
    <row r="3231" ht="12.75" hidden="1" customHeight="1" x14ac:dyDescent="0.25"/>
    <row r="3232" ht="12.75" hidden="1" customHeight="1" x14ac:dyDescent="0.25"/>
    <row r="3233" ht="12.75" hidden="1" customHeight="1" x14ac:dyDescent="0.25"/>
    <row r="3234" ht="12.75" hidden="1" customHeight="1" x14ac:dyDescent="0.25"/>
    <row r="3235" ht="12.75" hidden="1" customHeight="1" x14ac:dyDescent="0.25"/>
    <row r="3236" ht="12.75" hidden="1" customHeight="1" x14ac:dyDescent="0.25"/>
    <row r="3237" ht="12.75" hidden="1" customHeight="1" x14ac:dyDescent="0.25"/>
    <row r="3238" ht="12.75" hidden="1" customHeight="1" x14ac:dyDescent="0.25"/>
    <row r="3239" ht="12.75" hidden="1" customHeight="1" x14ac:dyDescent="0.25"/>
    <row r="3240" ht="12.75" hidden="1" customHeight="1" x14ac:dyDescent="0.25"/>
    <row r="3241" ht="12.75" hidden="1" customHeight="1" x14ac:dyDescent="0.25"/>
    <row r="3242" ht="12.75" hidden="1" customHeight="1" x14ac:dyDescent="0.25"/>
    <row r="3243" ht="12.75" hidden="1" customHeight="1" x14ac:dyDescent="0.25"/>
    <row r="3244" ht="12.75" hidden="1" customHeight="1" x14ac:dyDescent="0.25"/>
    <row r="3245" ht="12.75" hidden="1" customHeight="1" x14ac:dyDescent="0.25"/>
    <row r="3246" ht="12.75" hidden="1" customHeight="1" x14ac:dyDescent="0.25"/>
    <row r="3247" ht="12.75" hidden="1" customHeight="1" x14ac:dyDescent="0.25"/>
    <row r="3248" ht="12.75" hidden="1" customHeight="1" x14ac:dyDescent="0.25"/>
    <row r="3249" ht="12.75" hidden="1" customHeight="1" x14ac:dyDescent="0.25"/>
    <row r="3250" ht="12.75" hidden="1" customHeight="1" x14ac:dyDescent="0.25"/>
    <row r="3251" ht="12.75" hidden="1" customHeight="1" x14ac:dyDescent="0.25"/>
    <row r="3252" ht="12.75" hidden="1" customHeight="1" x14ac:dyDescent="0.25"/>
    <row r="3253" ht="12.75" hidden="1" customHeight="1" x14ac:dyDescent="0.25"/>
    <row r="3254" ht="12.75" hidden="1" customHeight="1" x14ac:dyDescent="0.25"/>
    <row r="3255" ht="12.75" hidden="1" customHeight="1" x14ac:dyDescent="0.25"/>
    <row r="3256" ht="12.75" hidden="1" customHeight="1" x14ac:dyDescent="0.25"/>
    <row r="3257" ht="12.75" hidden="1" customHeight="1" x14ac:dyDescent="0.25"/>
    <row r="3258" ht="12.75" hidden="1" customHeight="1" x14ac:dyDescent="0.25"/>
    <row r="3259" ht="12.75" hidden="1" customHeight="1" x14ac:dyDescent="0.25"/>
    <row r="3260" ht="12.75" hidden="1" customHeight="1" x14ac:dyDescent="0.25"/>
    <row r="3261" ht="12.75" hidden="1" customHeight="1" x14ac:dyDescent="0.25"/>
    <row r="3262" ht="12.75" hidden="1" customHeight="1" x14ac:dyDescent="0.25"/>
    <row r="3263" ht="12.75" hidden="1" customHeight="1" x14ac:dyDescent="0.25"/>
    <row r="3264" ht="12.75" hidden="1" customHeight="1" x14ac:dyDescent="0.25"/>
    <row r="3265" ht="12.75" hidden="1" customHeight="1" x14ac:dyDescent="0.25"/>
    <row r="3266" ht="12.75" hidden="1" customHeight="1" x14ac:dyDescent="0.25"/>
    <row r="3267" ht="12.75" hidden="1" customHeight="1" x14ac:dyDescent="0.25"/>
    <row r="3268" ht="12.75" hidden="1" customHeight="1" x14ac:dyDescent="0.25"/>
    <row r="3269" ht="12.75" hidden="1" customHeight="1" x14ac:dyDescent="0.25"/>
    <row r="3270" ht="12.75" hidden="1" customHeight="1" x14ac:dyDescent="0.25"/>
    <row r="3271" ht="12.75" hidden="1" customHeight="1" x14ac:dyDescent="0.25"/>
    <row r="3272" ht="12.75" hidden="1" customHeight="1" x14ac:dyDescent="0.25"/>
    <row r="3273" ht="12.75" hidden="1" customHeight="1" x14ac:dyDescent="0.25"/>
    <row r="3274" ht="12.75" hidden="1" customHeight="1" x14ac:dyDescent="0.25"/>
    <row r="3275" ht="12.75" hidden="1" customHeight="1" x14ac:dyDescent="0.25"/>
    <row r="3276" ht="12.75" hidden="1" customHeight="1" x14ac:dyDescent="0.25"/>
    <row r="3277" ht="12.75" hidden="1" customHeight="1" x14ac:dyDescent="0.25"/>
    <row r="3278" ht="12.75" hidden="1" customHeight="1" x14ac:dyDescent="0.25"/>
    <row r="3279" ht="12.75" hidden="1" customHeight="1" x14ac:dyDescent="0.25"/>
    <row r="3280" ht="12.75" hidden="1" customHeight="1" x14ac:dyDescent="0.25"/>
    <row r="3281" ht="12.75" hidden="1" customHeight="1" x14ac:dyDescent="0.25"/>
    <row r="3282" ht="12.75" hidden="1" customHeight="1" x14ac:dyDescent="0.25"/>
    <row r="3283" ht="12.75" hidden="1" customHeight="1" x14ac:dyDescent="0.25"/>
    <row r="3284" ht="12.75" hidden="1" customHeight="1" x14ac:dyDescent="0.25"/>
    <row r="3285" ht="12.75" hidden="1" customHeight="1" x14ac:dyDescent="0.25"/>
    <row r="3286" ht="12.75" hidden="1" customHeight="1" x14ac:dyDescent="0.25"/>
    <row r="3287" ht="12.75" hidden="1" customHeight="1" x14ac:dyDescent="0.25"/>
    <row r="3288" ht="12.75" hidden="1" customHeight="1" x14ac:dyDescent="0.25"/>
    <row r="3289" ht="12.75" hidden="1" customHeight="1" x14ac:dyDescent="0.25"/>
    <row r="3290" ht="12.75" hidden="1" customHeight="1" x14ac:dyDescent="0.25"/>
    <row r="3291" ht="12.75" hidden="1" customHeight="1" x14ac:dyDescent="0.25"/>
    <row r="3292" ht="12.75" hidden="1" customHeight="1" x14ac:dyDescent="0.25"/>
    <row r="3293" ht="12.75" hidden="1" customHeight="1" x14ac:dyDescent="0.25"/>
    <row r="3294" ht="12.75" hidden="1" customHeight="1" x14ac:dyDescent="0.25"/>
    <row r="3295" ht="12.75" hidden="1" customHeight="1" x14ac:dyDescent="0.25"/>
    <row r="3296" ht="12.75" hidden="1" customHeight="1" x14ac:dyDescent="0.25"/>
    <row r="3297" ht="12.75" hidden="1" customHeight="1" x14ac:dyDescent="0.25"/>
    <row r="3298" ht="12.75" hidden="1" customHeight="1" x14ac:dyDescent="0.25"/>
    <row r="3299" ht="12.75" hidden="1" customHeight="1" x14ac:dyDescent="0.25"/>
    <row r="3300" ht="12.75" hidden="1" customHeight="1" x14ac:dyDescent="0.25"/>
    <row r="3301" ht="12.75" hidden="1" customHeight="1" x14ac:dyDescent="0.25"/>
    <row r="3302" ht="12.75" hidden="1" customHeight="1" x14ac:dyDescent="0.25"/>
    <row r="3303" ht="12.75" hidden="1" customHeight="1" x14ac:dyDescent="0.25"/>
    <row r="3304" ht="12.75" hidden="1" customHeight="1" x14ac:dyDescent="0.25"/>
    <row r="3305" ht="12.75" hidden="1" customHeight="1" x14ac:dyDescent="0.25"/>
    <row r="3306" ht="12.75" hidden="1" customHeight="1" x14ac:dyDescent="0.25"/>
    <row r="3307" ht="12.75" hidden="1" customHeight="1" x14ac:dyDescent="0.25"/>
    <row r="3308" ht="12.75" hidden="1" customHeight="1" x14ac:dyDescent="0.25"/>
    <row r="3309" ht="12.75" hidden="1" customHeight="1" x14ac:dyDescent="0.25"/>
    <row r="3310" ht="12.75" hidden="1" customHeight="1" x14ac:dyDescent="0.25"/>
    <row r="3311" ht="12.75" hidden="1" customHeight="1" x14ac:dyDescent="0.25"/>
    <row r="3312" ht="12.75" hidden="1" customHeight="1" x14ac:dyDescent="0.25"/>
    <row r="3313" ht="12.75" hidden="1" customHeight="1" x14ac:dyDescent="0.25"/>
    <row r="3314" ht="12.75" hidden="1" customHeight="1" x14ac:dyDescent="0.25"/>
    <row r="3315" ht="12.75" hidden="1" customHeight="1" x14ac:dyDescent="0.25"/>
    <row r="3316" ht="12.75" hidden="1" customHeight="1" x14ac:dyDescent="0.25"/>
    <row r="3317" ht="12.75" hidden="1" customHeight="1" x14ac:dyDescent="0.25"/>
    <row r="3318" ht="12.75" hidden="1" customHeight="1" x14ac:dyDescent="0.25"/>
    <row r="3319" ht="12.75" hidden="1" customHeight="1" x14ac:dyDescent="0.25"/>
    <row r="3320" ht="12.75" hidden="1" customHeight="1" x14ac:dyDescent="0.25"/>
    <row r="3321" ht="12.75" hidden="1" customHeight="1" x14ac:dyDescent="0.25"/>
    <row r="3322" ht="12.75" hidden="1" customHeight="1" x14ac:dyDescent="0.25"/>
    <row r="3323" ht="12.75" hidden="1" customHeight="1" x14ac:dyDescent="0.25"/>
    <row r="3324" ht="12.75" hidden="1" customHeight="1" x14ac:dyDescent="0.25"/>
    <row r="3325" ht="12.75" hidden="1" customHeight="1" x14ac:dyDescent="0.25"/>
    <row r="3326" ht="12.75" hidden="1" customHeight="1" x14ac:dyDescent="0.25"/>
    <row r="3327" ht="12.75" hidden="1" customHeight="1" x14ac:dyDescent="0.25"/>
    <row r="3328" ht="12.75" hidden="1" customHeight="1" x14ac:dyDescent="0.25"/>
    <row r="3329" ht="12.75" hidden="1" customHeight="1" x14ac:dyDescent="0.25"/>
    <row r="3330" ht="12.75" hidden="1" customHeight="1" x14ac:dyDescent="0.25"/>
    <row r="3331" ht="12.75" hidden="1" customHeight="1" x14ac:dyDescent="0.25"/>
    <row r="3332" ht="12.75" hidden="1" customHeight="1" x14ac:dyDescent="0.25"/>
    <row r="3333" ht="12.75" hidden="1" customHeight="1" x14ac:dyDescent="0.25"/>
    <row r="3334" ht="12.75" hidden="1" customHeight="1" x14ac:dyDescent="0.25"/>
    <row r="3335" ht="12.75" hidden="1" customHeight="1" x14ac:dyDescent="0.25"/>
    <row r="3336" ht="12.75" hidden="1" customHeight="1" x14ac:dyDescent="0.25"/>
    <row r="3337" ht="12.75" hidden="1" customHeight="1" x14ac:dyDescent="0.25"/>
    <row r="3338" ht="12.75" hidden="1" customHeight="1" x14ac:dyDescent="0.25"/>
    <row r="3339" ht="12.75" hidden="1" customHeight="1" x14ac:dyDescent="0.25"/>
    <row r="3340" ht="12.75" hidden="1" customHeight="1" x14ac:dyDescent="0.25"/>
    <row r="3341" ht="12.75" hidden="1" customHeight="1" x14ac:dyDescent="0.25"/>
    <row r="3342" ht="12.75" hidden="1" customHeight="1" x14ac:dyDescent="0.25"/>
    <row r="3343" ht="12.75" hidden="1" customHeight="1" x14ac:dyDescent="0.25"/>
    <row r="3344" ht="12.75" hidden="1" customHeight="1" x14ac:dyDescent="0.25"/>
    <row r="3345" ht="12.75" hidden="1" customHeight="1" x14ac:dyDescent="0.25"/>
    <row r="3346" ht="12.75" hidden="1" customHeight="1" x14ac:dyDescent="0.25"/>
    <row r="3347" ht="12.75" hidden="1" customHeight="1" x14ac:dyDescent="0.25"/>
    <row r="3348" ht="12.75" hidden="1" customHeight="1" x14ac:dyDescent="0.25"/>
    <row r="3349" ht="12.75" hidden="1" customHeight="1" x14ac:dyDescent="0.25"/>
    <row r="3350" ht="12.75" hidden="1" customHeight="1" x14ac:dyDescent="0.25"/>
    <row r="3351" ht="12.75" hidden="1" customHeight="1" x14ac:dyDescent="0.25"/>
    <row r="3352" ht="12.75" hidden="1" customHeight="1" x14ac:dyDescent="0.25"/>
    <row r="3353" ht="12.75" hidden="1" customHeight="1" x14ac:dyDescent="0.25"/>
    <row r="3354" ht="12.75" hidden="1" customHeight="1" x14ac:dyDescent="0.25"/>
    <row r="3355" ht="12.75" hidden="1" customHeight="1" x14ac:dyDescent="0.25"/>
    <row r="3356" ht="12.75" hidden="1" customHeight="1" x14ac:dyDescent="0.25"/>
    <row r="3357" ht="12.75" hidden="1" customHeight="1" x14ac:dyDescent="0.25"/>
    <row r="3358" ht="12.75" hidden="1" customHeight="1" x14ac:dyDescent="0.25"/>
    <row r="3359" ht="12.75" hidden="1" customHeight="1" x14ac:dyDescent="0.25"/>
    <row r="3360" ht="12.75" hidden="1" customHeight="1" x14ac:dyDescent="0.25"/>
    <row r="3361" ht="12.75" hidden="1" customHeight="1" x14ac:dyDescent="0.25"/>
    <row r="3362" ht="12.75" hidden="1" customHeight="1" x14ac:dyDescent="0.25"/>
    <row r="3363" ht="12.75" hidden="1" customHeight="1" x14ac:dyDescent="0.25"/>
    <row r="3364" ht="12.75" hidden="1" customHeight="1" x14ac:dyDescent="0.25"/>
    <row r="3365" ht="12.75" hidden="1" customHeight="1" x14ac:dyDescent="0.25"/>
    <row r="3366" ht="12.75" hidden="1" customHeight="1" x14ac:dyDescent="0.25"/>
    <row r="3367" ht="12.75" hidden="1" customHeight="1" x14ac:dyDescent="0.25"/>
    <row r="3368" ht="12.75" hidden="1" customHeight="1" x14ac:dyDescent="0.25"/>
    <row r="3369" ht="12.75" hidden="1" customHeight="1" x14ac:dyDescent="0.25"/>
    <row r="3370" ht="12.75" hidden="1" customHeight="1" x14ac:dyDescent="0.25"/>
    <row r="3371" ht="12.75" hidden="1" customHeight="1" x14ac:dyDescent="0.25"/>
    <row r="3372" ht="12.75" hidden="1" customHeight="1" x14ac:dyDescent="0.25"/>
    <row r="3373" ht="12.75" hidden="1" customHeight="1" x14ac:dyDescent="0.25"/>
    <row r="3374" ht="12.75" hidden="1" customHeight="1" x14ac:dyDescent="0.25"/>
    <row r="3375" ht="12.75" hidden="1" customHeight="1" x14ac:dyDescent="0.25"/>
    <row r="3376" ht="12.75" hidden="1" customHeight="1" x14ac:dyDescent="0.25"/>
    <row r="3377" ht="12.75" hidden="1" customHeight="1" x14ac:dyDescent="0.25"/>
    <row r="3378" ht="12.75" hidden="1" customHeight="1" x14ac:dyDescent="0.25"/>
    <row r="3379" ht="12.75" hidden="1" customHeight="1" x14ac:dyDescent="0.25"/>
    <row r="3380" ht="12.75" hidden="1" customHeight="1" x14ac:dyDescent="0.25"/>
    <row r="3381" ht="12.75" hidden="1" customHeight="1" x14ac:dyDescent="0.25"/>
    <row r="3382" ht="12.75" hidden="1" customHeight="1" x14ac:dyDescent="0.25"/>
    <row r="3383" ht="12.75" hidden="1" customHeight="1" x14ac:dyDescent="0.25"/>
    <row r="3384" ht="12.75" hidden="1" customHeight="1" x14ac:dyDescent="0.25"/>
    <row r="3385" ht="12.75" hidden="1" customHeight="1" x14ac:dyDescent="0.25"/>
    <row r="3386" ht="12.75" hidden="1" customHeight="1" x14ac:dyDescent="0.25"/>
    <row r="3387" ht="12.75" hidden="1" customHeight="1" x14ac:dyDescent="0.25"/>
    <row r="3388" ht="12.75" hidden="1" customHeight="1" x14ac:dyDescent="0.25"/>
    <row r="3389" ht="12.75" hidden="1" customHeight="1" x14ac:dyDescent="0.25"/>
    <row r="3390" ht="12.75" hidden="1" customHeight="1" x14ac:dyDescent="0.25"/>
    <row r="3391" ht="12.75" hidden="1" customHeight="1" x14ac:dyDescent="0.25"/>
    <row r="3392" ht="12.75" hidden="1" customHeight="1" x14ac:dyDescent="0.25"/>
    <row r="3393" ht="12.75" hidden="1" customHeight="1" x14ac:dyDescent="0.25"/>
    <row r="3394" ht="12.75" hidden="1" customHeight="1" x14ac:dyDescent="0.25"/>
    <row r="3395" ht="12.75" hidden="1" customHeight="1" x14ac:dyDescent="0.25"/>
    <row r="3396" ht="12.75" hidden="1" customHeight="1" x14ac:dyDescent="0.25"/>
    <row r="3397" ht="12.75" hidden="1" customHeight="1" x14ac:dyDescent="0.25"/>
    <row r="3398" ht="12.75" hidden="1" customHeight="1" x14ac:dyDescent="0.25"/>
    <row r="3399" ht="12.75" hidden="1" customHeight="1" x14ac:dyDescent="0.25"/>
    <row r="3400" ht="12.75" hidden="1" customHeight="1" x14ac:dyDescent="0.25"/>
    <row r="3401" ht="12.75" hidden="1" customHeight="1" x14ac:dyDescent="0.25"/>
    <row r="3402" ht="12.75" hidden="1" customHeight="1" x14ac:dyDescent="0.25"/>
    <row r="3403" ht="12.75" hidden="1" customHeight="1" x14ac:dyDescent="0.25"/>
    <row r="3404" ht="12.75" hidden="1" customHeight="1" x14ac:dyDescent="0.25"/>
    <row r="3405" ht="12.75" hidden="1" customHeight="1" x14ac:dyDescent="0.25"/>
    <row r="3406" ht="12.75" hidden="1" customHeight="1" x14ac:dyDescent="0.25"/>
    <row r="3407" ht="12.75" hidden="1" customHeight="1" x14ac:dyDescent="0.25"/>
    <row r="3408" ht="12.75" hidden="1" customHeight="1" x14ac:dyDescent="0.25"/>
    <row r="3409" ht="12.75" hidden="1" customHeight="1" x14ac:dyDescent="0.25"/>
    <row r="3410" ht="12.75" hidden="1" customHeight="1" x14ac:dyDescent="0.25"/>
    <row r="3411" ht="12.75" hidden="1" customHeight="1" x14ac:dyDescent="0.25"/>
    <row r="3412" ht="12.75" hidden="1" customHeight="1" x14ac:dyDescent="0.25"/>
    <row r="3413" ht="12.75" hidden="1" customHeight="1" x14ac:dyDescent="0.25"/>
    <row r="3414" ht="12.75" hidden="1" customHeight="1" x14ac:dyDescent="0.25"/>
    <row r="3415" ht="12.75" hidden="1" customHeight="1" x14ac:dyDescent="0.25"/>
    <row r="3416" ht="12.75" hidden="1" customHeight="1" x14ac:dyDescent="0.25"/>
    <row r="3417" ht="12.75" hidden="1" customHeight="1" x14ac:dyDescent="0.25"/>
    <row r="3418" ht="12.75" hidden="1" customHeight="1" x14ac:dyDescent="0.25"/>
    <row r="3419" ht="12.75" hidden="1" customHeight="1" x14ac:dyDescent="0.25"/>
    <row r="3420" ht="12.75" hidden="1" customHeight="1" x14ac:dyDescent="0.25"/>
    <row r="3421" ht="12.75" hidden="1" customHeight="1" x14ac:dyDescent="0.25"/>
    <row r="3422" ht="12.75" hidden="1" customHeight="1" x14ac:dyDescent="0.25"/>
    <row r="3423" ht="12.75" hidden="1" customHeight="1" x14ac:dyDescent="0.25"/>
    <row r="3424" ht="12.75" hidden="1" customHeight="1" x14ac:dyDescent="0.25"/>
    <row r="3425" ht="12.75" hidden="1" customHeight="1" x14ac:dyDescent="0.25"/>
    <row r="3426" ht="12.75" hidden="1" customHeight="1" x14ac:dyDescent="0.25"/>
    <row r="3427" ht="12.75" hidden="1" customHeight="1" x14ac:dyDescent="0.25"/>
    <row r="3428" ht="12.75" hidden="1" customHeight="1" x14ac:dyDescent="0.25"/>
    <row r="3429" ht="12.75" hidden="1" customHeight="1" x14ac:dyDescent="0.25"/>
    <row r="3430" ht="12.75" hidden="1" customHeight="1" x14ac:dyDescent="0.25"/>
    <row r="3431" ht="12.75" hidden="1" customHeight="1" x14ac:dyDescent="0.25"/>
    <row r="3432" ht="12.75" hidden="1" customHeight="1" x14ac:dyDescent="0.25"/>
    <row r="3433" ht="12.75" hidden="1" customHeight="1" x14ac:dyDescent="0.25"/>
    <row r="3434" ht="12.75" hidden="1" customHeight="1" x14ac:dyDescent="0.25"/>
    <row r="3435" ht="12.75" hidden="1" customHeight="1" x14ac:dyDescent="0.25"/>
    <row r="3436" ht="12.75" hidden="1" customHeight="1" x14ac:dyDescent="0.25"/>
    <row r="3437" ht="12.75" hidden="1" customHeight="1" x14ac:dyDescent="0.25"/>
    <row r="3438" ht="12.75" hidden="1" customHeight="1" x14ac:dyDescent="0.25"/>
    <row r="3439" ht="12.75" hidden="1" customHeight="1" x14ac:dyDescent="0.25"/>
    <row r="3440" ht="12.75" hidden="1" customHeight="1" x14ac:dyDescent="0.25"/>
    <row r="3441" ht="12.75" hidden="1" customHeight="1" x14ac:dyDescent="0.25"/>
    <row r="3442" ht="12.75" hidden="1" customHeight="1" x14ac:dyDescent="0.25"/>
    <row r="3443" ht="12.75" hidden="1" customHeight="1" x14ac:dyDescent="0.25"/>
    <row r="3444" ht="12.75" hidden="1" customHeight="1" x14ac:dyDescent="0.25"/>
    <row r="3445" ht="12.75" hidden="1" customHeight="1" x14ac:dyDescent="0.25"/>
    <row r="3446" ht="12.75" hidden="1" customHeight="1" x14ac:dyDescent="0.25"/>
    <row r="3447" ht="12.75" hidden="1" customHeight="1" x14ac:dyDescent="0.25"/>
    <row r="3448" ht="12.75" hidden="1" customHeight="1" x14ac:dyDescent="0.25"/>
    <row r="3449" ht="12.75" hidden="1" customHeight="1" x14ac:dyDescent="0.25"/>
    <row r="3450" ht="12.75" hidden="1" customHeight="1" x14ac:dyDescent="0.25"/>
    <row r="3451" ht="12.75" hidden="1" customHeight="1" x14ac:dyDescent="0.25"/>
    <row r="3452" ht="12.75" hidden="1" customHeight="1" x14ac:dyDescent="0.25"/>
    <row r="3453" ht="12.75" hidden="1" customHeight="1" x14ac:dyDescent="0.25"/>
    <row r="3454" ht="12.75" hidden="1" customHeight="1" x14ac:dyDescent="0.25"/>
    <row r="3455" ht="12.75" hidden="1" customHeight="1" x14ac:dyDescent="0.25"/>
    <row r="3456" ht="12.75" hidden="1" customHeight="1" x14ac:dyDescent="0.25"/>
    <row r="3457" ht="12.75" hidden="1" customHeight="1" x14ac:dyDescent="0.25"/>
    <row r="3458" ht="12.75" hidden="1" customHeight="1" x14ac:dyDescent="0.25"/>
    <row r="3459" ht="12.75" hidden="1" customHeight="1" x14ac:dyDescent="0.25"/>
    <row r="3460" ht="12.75" hidden="1" customHeight="1" x14ac:dyDescent="0.25"/>
    <row r="3461" ht="12.75" hidden="1" customHeight="1" x14ac:dyDescent="0.25"/>
    <row r="3462" ht="12.75" hidden="1" customHeight="1" x14ac:dyDescent="0.25"/>
    <row r="3463" ht="12.75" hidden="1" customHeight="1" x14ac:dyDescent="0.25"/>
    <row r="3464" ht="12.75" hidden="1" customHeight="1" x14ac:dyDescent="0.25"/>
    <row r="3465" ht="12.75" hidden="1" customHeight="1" x14ac:dyDescent="0.25"/>
    <row r="3466" ht="12.75" hidden="1" customHeight="1" x14ac:dyDescent="0.25"/>
    <row r="3467" ht="12.75" hidden="1" customHeight="1" x14ac:dyDescent="0.25"/>
    <row r="3468" ht="12.75" hidden="1" customHeight="1" x14ac:dyDescent="0.25"/>
    <row r="3469" ht="12.75" hidden="1" customHeight="1" x14ac:dyDescent="0.25"/>
    <row r="3470" ht="12.75" hidden="1" customHeight="1" x14ac:dyDescent="0.25"/>
    <row r="3471" ht="12.75" hidden="1" customHeight="1" x14ac:dyDescent="0.25"/>
    <row r="3472" ht="12.75" hidden="1" customHeight="1" x14ac:dyDescent="0.25"/>
    <row r="3473" ht="12.75" hidden="1" customHeight="1" x14ac:dyDescent="0.25"/>
    <row r="3474" ht="12.75" hidden="1" customHeight="1" x14ac:dyDescent="0.25"/>
    <row r="3475" ht="12.75" hidden="1" customHeight="1" x14ac:dyDescent="0.25"/>
    <row r="3476" ht="12.75" hidden="1" customHeight="1" x14ac:dyDescent="0.25"/>
    <row r="3477" ht="12.75" hidden="1" customHeight="1" x14ac:dyDescent="0.25"/>
    <row r="3478" ht="12.75" hidden="1" customHeight="1" x14ac:dyDescent="0.25"/>
    <row r="3479" ht="12.75" hidden="1" customHeight="1" x14ac:dyDescent="0.25"/>
    <row r="3480" ht="12.75" hidden="1" customHeight="1" x14ac:dyDescent="0.25"/>
    <row r="3481" ht="12.75" hidden="1" customHeight="1" x14ac:dyDescent="0.25"/>
    <row r="3482" ht="12.75" hidden="1" customHeight="1" x14ac:dyDescent="0.25"/>
    <row r="3483" ht="12.75" hidden="1" customHeight="1" x14ac:dyDescent="0.25"/>
    <row r="3484" ht="12.75" hidden="1" customHeight="1" x14ac:dyDescent="0.25"/>
    <row r="3485" ht="12.75" hidden="1" customHeight="1" x14ac:dyDescent="0.25"/>
    <row r="3486" ht="12.75" hidden="1" customHeight="1" x14ac:dyDescent="0.25"/>
    <row r="3487" ht="12.75" hidden="1" customHeight="1" x14ac:dyDescent="0.25"/>
    <row r="3488" ht="12.75" hidden="1" customHeight="1" x14ac:dyDescent="0.25"/>
    <row r="3489" ht="12.75" hidden="1" customHeight="1" x14ac:dyDescent="0.25"/>
    <row r="3490" ht="12.75" hidden="1" customHeight="1" x14ac:dyDescent="0.25"/>
    <row r="3491" ht="12.75" hidden="1" customHeight="1" x14ac:dyDescent="0.25"/>
    <row r="3492" ht="12.75" hidden="1" customHeight="1" x14ac:dyDescent="0.25"/>
    <row r="3493" ht="12.75" hidden="1" customHeight="1" x14ac:dyDescent="0.25"/>
    <row r="3494" ht="12.75" hidden="1" customHeight="1" x14ac:dyDescent="0.25"/>
    <row r="3495" ht="12.75" hidden="1" customHeight="1" x14ac:dyDescent="0.25"/>
    <row r="3496" ht="12.75" hidden="1" customHeight="1" x14ac:dyDescent="0.25"/>
    <row r="3497" ht="12.75" hidden="1" customHeight="1" x14ac:dyDescent="0.25"/>
    <row r="3498" ht="12.75" hidden="1" customHeight="1" x14ac:dyDescent="0.25"/>
    <row r="3499" ht="12.75" hidden="1" customHeight="1" x14ac:dyDescent="0.25"/>
    <row r="3500" ht="12.75" hidden="1" customHeight="1" x14ac:dyDescent="0.25"/>
    <row r="3501" ht="12.75" hidden="1" customHeight="1" x14ac:dyDescent="0.25"/>
    <row r="3502" ht="12.75" hidden="1" customHeight="1" x14ac:dyDescent="0.25"/>
    <row r="3503" ht="12.75" hidden="1" customHeight="1" x14ac:dyDescent="0.25"/>
    <row r="3504" ht="12.75" hidden="1" customHeight="1" x14ac:dyDescent="0.25"/>
    <row r="3505" ht="12.75" hidden="1" customHeight="1" x14ac:dyDescent="0.25"/>
    <row r="3506" ht="12.75" hidden="1" customHeight="1" x14ac:dyDescent="0.25"/>
    <row r="3507" ht="12.75" hidden="1" customHeight="1" x14ac:dyDescent="0.25"/>
    <row r="3508" ht="12.75" hidden="1" customHeight="1" x14ac:dyDescent="0.25"/>
    <row r="3509" ht="12.75" hidden="1" customHeight="1" x14ac:dyDescent="0.25"/>
    <row r="3510" ht="12.75" hidden="1" customHeight="1" x14ac:dyDescent="0.25"/>
    <row r="3511" ht="12.75" hidden="1" customHeight="1" x14ac:dyDescent="0.25"/>
    <row r="3512" ht="12.75" hidden="1" customHeight="1" x14ac:dyDescent="0.25"/>
    <row r="3513" ht="12.75" hidden="1" customHeight="1" x14ac:dyDescent="0.25"/>
    <row r="3514" ht="12.75" hidden="1" customHeight="1" x14ac:dyDescent="0.25"/>
    <row r="3515" ht="12.75" hidden="1" customHeight="1" x14ac:dyDescent="0.25"/>
    <row r="3516" ht="12.75" hidden="1" customHeight="1" x14ac:dyDescent="0.25"/>
    <row r="3517" ht="12.75" hidden="1" customHeight="1" x14ac:dyDescent="0.25"/>
    <row r="3518" ht="12.75" hidden="1" customHeight="1" x14ac:dyDescent="0.25"/>
    <row r="3519" ht="12.75" hidden="1" customHeight="1" x14ac:dyDescent="0.25"/>
    <row r="3520" ht="12.75" hidden="1" customHeight="1" x14ac:dyDescent="0.25"/>
    <row r="3521" ht="12.75" hidden="1" customHeight="1" x14ac:dyDescent="0.25"/>
    <row r="3522" ht="12.75" hidden="1" customHeight="1" x14ac:dyDescent="0.25"/>
    <row r="3523" ht="12.75" hidden="1" customHeight="1" x14ac:dyDescent="0.25"/>
    <row r="3524" ht="12.75" hidden="1" customHeight="1" x14ac:dyDescent="0.25"/>
    <row r="3525" ht="12.75" hidden="1" customHeight="1" x14ac:dyDescent="0.25"/>
    <row r="3526" ht="12.75" hidden="1" customHeight="1" x14ac:dyDescent="0.25"/>
    <row r="3527" ht="12.75" hidden="1" customHeight="1" x14ac:dyDescent="0.25"/>
    <row r="3528" ht="12.75" hidden="1" customHeight="1" x14ac:dyDescent="0.25"/>
    <row r="3529" ht="12.75" hidden="1" customHeight="1" x14ac:dyDescent="0.25"/>
    <row r="3530" ht="12.75" hidden="1" customHeight="1" x14ac:dyDescent="0.25"/>
    <row r="3531" ht="12.75" hidden="1" customHeight="1" x14ac:dyDescent="0.25"/>
    <row r="3532" ht="12.75" hidden="1" customHeight="1" x14ac:dyDescent="0.25"/>
    <row r="3533" ht="12.75" hidden="1" customHeight="1" x14ac:dyDescent="0.25"/>
    <row r="3534" ht="12.75" hidden="1" customHeight="1" x14ac:dyDescent="0.25"/>
    <row r="3535" ht="12.75" hidden="1" customHeight="1" x14ac:dyDescent="0.25"/>
    <row r="3536" ht="12.75" hidden="1" customHeight="1" x14ac:dyDescent="0.25"/>
    <row r="3537" ht="12.75" hidden="1" customHeight="1" x14ac:dyDescent="0.25"/>
    <row r="3538" ht="12.75" hidden="1" customHeight="1" x14ac:dyDescent="0.25"/>
    <row r="3539" ht="12.75" hidden="1" customHeight="1" x14ac:dyDescent="0.25"/>
    <row r="3540" ht="12.75" hidden="1" customHeight="1" x14ac:dyDescent="0.25"/>
    <row r="3541" ht="12.75" hidden="1" customHeight="1" x14ac:dyDescent="0.25"/>
    <row r="3542" ht="12.75" hidden="1" customHeight="1" x14ac:dyDescent="0.25"/>
    <row r="3543" ht="12.75" hidden="1" customHeight="1" x14ac:dyDescent="0.25"/>
    <row r="3544" ht="12.75" hidden="1" customHeight="1" x14ac:dyDescent="0.25"/>
    <row r="3545" ht="12.75" hidden="1" customHeight="1" x14ac:dyDescent="0.25"/>
    <row r="3546" ht="12.75" hidden="1" customHeight="1" x14ac:dyDescent="0.25"/>
    <row r="3547" ht="12.75" hidden="1" customHeight="1" x14ac:dyDescent="0.25"/>
    <row r="3548" ht="12.75" hidden="1" customHeight="1" x14ac:dyDescent="0.25"/>
    <row r="3549" ht="12.75" hidden="1" customHeight="1" x14ac:dyDescent="0.25"/>
    <row r="3550" ht="12.75" hidden="1" customHeight="1" x14ac:dyDescent="0.25"/>
    <row r="3551" ht="12.75" hidden="1" customHeight="1" x14ac:dyDescent="0.25"/>
    <row r="3552" ht="12.75" hidden="1" customHeight="1" x14ac:dyDescent="0.25"/>
    <row r="3553" ht="12.75" hidden="1" customHeight="1" x14ac:dyDescent="0.25"/>
    <row r="3554" ht="12.75" hidden="1" customHeight="1" x14ac:dyDescent="0.25"/>
    <row r="3555" ht="12.75" hidden="1" customHeight="1" x14ac:dyDescent="0.25"/>
    <row r="3556" ht="12.75" hidden="1" customHeight="1" x14ac:dyDescent="0.25"/>
    <row r="3557" ht="12.75" hidden="1" customHeight="1" x14ac:dyDescent="0.25"/>
    <row r="3558" ht="12.75" hidden="1" customHeight="1" x14ac:dyDescent="0.25"/>
    <row r="3559" ht="12.75" hidden="1" customHeight="1" x14ac:dyDescent="0.25"/>
    <row r="3560" ht="12.75" hidden="1" customHeight="1" x14ac:dyDescent="0.25"/>
    <row r="3561" ht="12.75" hidden="1" customHeight="1" x14ac:dyDescent="0.25"/>
    <row r="3562" ht="12.75" hidden="1" customHeight="1" x14ac:dyDescent="0.25"/>
    <row r="3563" ht="12.75" hidden="1" customHeight="1" x14ac:dyDescent="0.25"/>
    <row r="3564" ht="12.75" hidden="1" customHeight="1" x14ac:dyDescent="0.25"/>
    <row r="3565" ht="12.75" hidden="1" customHeight="1" x14ac:dyDescent="0.25"/>
    <row r="3566" ht="12.75" hidden="1" customHeight="1" x14ac:dyDescent="0.25"/>
    <row r="3567" ht="12.75" hidden="1" customHeight="1" x14ac:dyDescent="0.25"/>
    <row r="3568" ht="12.75" hidden="1" customHeight="1" x14ac:dyDescent="0.25"/>
    <row r="3569" ht="12.75" hidden="1" customHeight="1" x14ac:dyDescent="0.25"/>
    <row r="3570" ht="12.75" hidden="1" customHeight="1" x14ac:dyDescent="0.25"/>
    <row r="3571" ht="12.75" hidden="1" customHeight="1" x14ac:dyDescent="0.25"/>
    <row r="3572" ht="12.75" hidden="1" customHeight="1" x14ac:dyDescent="0.25"/>
    <row r="3573" ht="12.75" hidden="1" customHeight="1" x14ac:dyDescent="0.25"/>
    <row r="3574" ht="12.75" hidden="1" customHeight="1" x14ac:dyDescent="0.25"/>
    <row r="3575" ht="12.75" hidden="1" customHeight="1" x14ac:dyDescent="0.25"/>
    <row r="3576" ht="12.75" hidden="1" customHeight="1" x14ac:dyDescent="0.25"/>
    <row r="3577" ht="12.75" hidden="1" customHeight="1" x14ac:dyDescent="0.25"/>
    <row r="3578" ht="12.75" hidden="1" customHeight="1" x14ac:dyDescent="0.25"/>
    <row r="3579" ht="12.75" hidden="1" customHeight="1" x14ac:dyDescent="0.25"/>
    <row r="3580" ht="12.75" hidden="1" customHeight="1" x14ac:dyDescent="0.25"/>
    <row r="3581" ht="12.75" hidden="1" customHeight="1" x14ac:dyDescent="0.25"/>
    <row r="3582" ht="12.75" hidden="1" customHeight="1" x14ac:dyDescent="0.25"/>
    <row r="3583" ht="12.75" hidden="1" customHeight="1" x14ac:dyDescent="0.25"/>
    <row r="3584" ht="12.75" hidden="1" customHeight="1" x14ac:dyDescent="0.25"/>
    <row r="3585" ht="12.75" hidden="1" customHeight="1" x14ac:dyDescent="0.25"/>
    <row r="3586" ht="12.75" hidden="1" customHeight="1" x14ac:dyDescent="0.25"/>
    <row r="3587" ht="12.75" hidden="1" customHeight="1" x14ac:dyDescent="0.25"/>
    <row r="3588" ht="12.75" hidden="1" customHeight="1" x14ac:dyDescent="0.25"/>
    <row r="3589" ht="12.75" hidden="1" customHeight="1" x14ac:dyDescent="0.25"/>
    <row r="3590" ht="12.75" hidden="1" customHeight="1" x14ac:dyDescent="0.25"/>
    <row r="3591" ht="12.75" hidden="1" customHeight="1" x14ac:dyDescent="0.25"/>
    <row r="3592" ht="12.75" hidden="1" customHeight="1" x14ac:dyDescent="0.25"/>
    <row r="3593" ht="12.75" hidden="1" customHeight="1" x14ac:dyDescent="0.25"/>
    <row r="3594" ht="12.75" hidden="1" customHeight="1" x14ac:dyDescent="0.25"/>
    <row r="3595" ht="12.75" hidden="1" customHeight="1" x14ac:dyDescent="0.25"/>
    <row r="3596" ht="12.75" hidden="1" customHeight="1" x14ac:dyDescent="0.25"/>
    <row r="3597" ht="12.75" hidden="1" customHeight="1" x14ac:dyDescent="0.25"/>
    <row r="3598" ht="12.75" hidden="1" customHeight="1" x14ac:dyDescent="0.25"/>
    <row r="3599" ht="12.75" hidden="1" customHeight="1" x14ac:dyDescent="0.25"/>
    <row r="3600" ht="12.75" hidden="1" customHeight="1" x14ac:dyDescent="0.25"/>
    <row r="3601" ht="12.75" hidden="1" customHeight="1" x14ac:dyDescent="0.25"/>
    <row r="3602" ht="12.75" hidden="1" customHeight="1" x14ac:dyDescent="0.25"/>
    <row r="3603" ht="12.75" hidden="1" customHeight="1" x14ac:dyDescent="0.25"/>
    <row r="3604" ht="12.75" hidden="1" customHeight="1" x14ac:dyDescent="0.25"/>
    <row r="3605" ht="12.75" hidden="1" customHeight="1" x14ac:dyDescent="0.25"/>
    <row r="3606" ht="12.75" hidden="1" customHeight="1" x14ac:dyDescent="0.25"/>
    <row r="3607" ht="12.75" hidden="1" customHeight="1" x14ac:dyDescent="0.25"/>
    <row r="3608" ht="12.75" hidden="1" customHeight="1" x14ac:dyDescent="0.25"/>
    <row r="3609" ht="12.75" hidden="1" customHeight="1" x14ac:dyDescent="0.25"/>
    <row r="3610" ht="12.75" hidden="1" customHeight="1" x14ac:dyDescent="0.25"/>
    <row r="3611" ht="12.75" hidden="1" customHeight="1" x14ac:dyDescent="0.25"/>
    <row r="3612" ht="12.75" hidden="1" customHeight="1" x14ac:dyDescent="0.25"/>
    <row r="3613" ht="12.75" hidden="1" customHeight="1" x14ac:dyDescent="0.25"/>
    <row r="3614" ht="12.75" hidden="1" customHeight="1" x14ac:dyDescent="0.25"/>
    <row r="3615" ht="12.75" hidden="1" customHeight="1" x14ac:dyDescent="0.25"/>
    <row r="3616" ht="12.75" hidden="1" customHeight="1" x14ac:dyDescent="0.25"/>
    <row r="3617" ht="12.75" hidden="1" customHeight="1" x14ac:dyDescent="0.25"/>
    <row r="3618" ht="12.75" hidden="1" customHeight="1" x14ac:dyDescent="0.25"/>
    <row r="3619" ht="12.75" hidden="1" customHeight="1" x14ac:dyDescent="0.25"/>
    <row r="3620" ht="12.75" hidden="1" customHeight="1" x14ac:dyDescent="0.25"/>
    <row r="3621" ht="12.75" hidden="1" customHeight="1" x14ac:dyDescent="0.25"/>
    <row r="3622" ht="12.75" hidden="1" customHeight="1" x14ac:dyDescent="0.25"/>
    <row r="3623" ht="12.75" hidden="1" customHeight="1" x14ac:dyDescent="0.25"/>
    <row r="3624" ht="12.75" hidden="1" customHeight="1" x14ac:dyDescent="0.25"/>
    <row r="3625" ht="12.75" hidden="1" customHeight="1" x14ac:dyDescent="0.25"/>
    <row r="3626" ht="12.75" hidden="1" customHeight="1" x14ac:dyDescent="0.25"/>
    <row r="3627" ht="12.75" hidden="1" customHeight="1" x14ac:dyDescent="0.25"/>
    <row r="3628" ht="12.75" hidden="1" customHeight="1" x14ac:dyDescent="0.25"/>
    <row r="3629" ht="12.75" hidden="1" customHeight="1" x14ac:dyDescent="0.25"/>
    <row r="3630" ht="12.75" hidden="1" customHeight="1" x14ac:dyDescent="0.25"/>
    <row r="3631" ht="12.75" hidden="1" customHeight="1" x14ac:dyDescent="0.25"/>
    <row r="3632" ht="12.75" hidden="1" customHeight="1" x14ac:dyDescent="0.25"/>
    <row r="3633" ht="12.75" hidden="1" customHeight="1" x14ac:dyDescent="0.25"/>
    <row r="3634" ht="12.75" hidden="1" customHeight="1" x14ac:dyDescent="0.25"/>
    <row r="3635" ht="12.75" hidden="1" customHeight="1" x14ac:dyDescent="0.25"/>
    <row r="3636" ht="12.75" hidden="1" customHeight="1" x14ac:dyDescent="0.25"/>
    <row r="3637" ht="12.75" hidden="1" customHeight="1" x14ac:dyDescent="0.25"/>
    <row r="3638" ht="12.75" hidden="1" customHeight="1" x14ac:dyDescent="0.25"/>
    <row r="3639" ht="12.75" hidden="1" customHeight="1" x14ac:dyDescent="0.25"/>
    <row r="3640" ht="12.75" hidden="1" customHeight="1" x14ac:dyDescent="0.25"/>
    <row r="3641" ht="12.75" hidden="1" customHeight="1" x14ac:dyDescent="0.25"/>
    <row r="3642" ht="12.75" hidden="1" customHeight="1" x14ac:dyDescent="0.25"/>
    <row r="3643" ht="12.75" hidden="1" customHeight="1" x14ac:dyDescent="0.25"/>
    <row r="3644" ht="12.75" hidden="1" customHeight="1" x14ac:dyDescent="0.25"/>
    <row r="3645" ht="12.75" hidden="1" customHeight="1" x14ac:dyDescent="0.25"/>
    <row r="3646" ht="12.75" hidden="1" customHeight="1" x14ac:dyDescent="0.25"/>
    <row r="3647" ht="12.75" hidden="1" customHeight="1" x14ac:dyDescent="0.25"/>
    <row r="3648" ht="12.75" hidden="1" customHeight="1" x14ac:dyDescent="0.25"/>
    <row r="3649" ht="12.75" hidden="1" customHeight="1" x14ac:dyDescent="0.25"/>
    <row r="3650" ht="12.75" hidden="1" customHeight="1" x14ac:dyDescent="0.25"/>
    <row r="3651" ht="12.75" hidden="1" customHeight="1" x14ac:dyDescent="0.25"/>
    <row r="3652" ht="12.75" hidden="1" customHeight="1" x14ac:dyDescent="0.25"/>
    <row r="3653" ht="12.75" hidden="1" customHeight="1" x14ac:dyDescent="0.25"/>
    <row r="3654" ht="12.75" hidden="1" customHeight="1" x14ac:dyDescent="0.25"/>
    <row r="3655" ht="12.75" hidden="1" customHeight="1" x14ac:dyDescent="0.25"/>
    <row r="3656" ht="12.75" hidden="1" customHeight="1" x14ac:dyDescent="0.25"/>
    <row r="3657" ht="12.75" hidden="1" customHeight="1" x14ac:dyDescent="0.25"/>
    <row r="3658" ht="12.75" hidden="1" customHeight="1" x14ac:dyDescent="0.25"/>
    <row r="3659" ht="12.75" hidden="1" customHeight="1" x14ac:dyDescent="0.25"/>
    <row r="3660" ht="12.75" hidden="1" customHeight="1" x14ac:dyDescent="0.25"/>
    <row r="3661" ht="12.75" hidden="1" customHeight="1" x14ac:dyDescent="0.25"/>
    <row r="3662" ht="12.75" hidden="1" customHeight="1" x14ac:dyDescent="0.25"/>
    <row r="3663" ht="12.75" hidden="1" customHeight="1" x14ac:dyDescent="0.25"/>
    <row r="3664" ht="12.75" hidden="1" customHeight="1" x14ac:dyDescent="0.25"/>
    <row r="3665" ht="12.75" hidden="1" customHeight="1" x14ac:dyDescent="0.25"/>
    <row r="3666" ht="12.75" hidden="1" customHeight="1" x14ac:dyDescent="0.25"/>
    <row r="3667" ht="12.75" hidden="1" customHeight="1" x14ac:dyDescent="0.25"/>
    <row r="3668" ht="12.75" hidden="1" customHeight="1" x14ac:dyDescent="0.25"/>
    <row r="3669" ht="12.75" hidden="1" customHeight="1" x14ac:dyDescent="0.25"/>
    <row r="3670" ht="12.75" hidden="1" customHeight="1" x14ac:dyDescent="0.25"/>
    <row r="3671" ht="12.75" hidden="1" customHeight="1" x14ac:dyDescent="0.25"/>
    <row r="3672" ht="12.75" hidden="1" customHeight="1" x14ac:dyDescent="0.25"/>
    <row r="3673" ht="12.75" hidden="1" customHeight="1" x14ac:dyDescent="0.25"/>
    <row r="3674" ht="12.75" hidden="1" customHeight="1" x14ac:dyDescent="0.25"/>
    <row r="3675" ht="12.75" hidden="1" customHeight="1" x14ac:dyDescent="0.25"/>
    <row r="3676" ht="12.75" hidden="1" customHeight="1" x14ac:dyDescent="0.25"/>
    <row r="3677" ht="12.75" hidden="1" customHeight="1" x14ac:dyDescent="0.25"/>
    <row r="3678" ht="12.75" hidden="1" customHeight="1" x14ac:dyDescent="0.25"/>
    <row r="3679" ht="12.75" hidden="1" customHeight="1" x14ac:dyDescent="0.25"/>
    <row r="3680" ht="12.75" hidden="1" customHeight="1" x14ac:dyDescent="0.25"/>
    <row r="3681" ht="12.75" hidden="1" customHeight="1" x14ac:dyDescent="0.25"/>
    <row r="3682" ht="12.75" hidden="1" customHeight="1" x14ac:dyDescent="0.25"/>
    <row r="3683" ht="12.75" hidden="1" customHeight="1" x14ac:dyDescent="0.25"/>
    <row r="3684" ht="12.75" hidden="1" customHeight="1" x14ac:dyDescent="0.25"/>
    <row r="3685" ht="12.75" hidden="1" customHeight="1" x14ac:dyDescent="0.25"/>
    <row r="3686" ht="12.75" hidden="1" customHeight="1" x14ac:dyDescent="0.25"/>
    <row r="3687" ht="12.75" hidden="1" customHeight="1" x14ac:dyDescent="0.25"/>
    <row r="3688" ht="12.75" hidden="1" customHeight="1" x14ac:dyDescent="0.25"/>
    <row r="3689" ht="12.75" hidden="1" customHeight="1" x14ac:dyDescent="0.25"/>
    <row r="3690" ht="12.75" hidden="1" customHeight="1" x14ac:dyDescent="0.25"/>
    <row r="3691" ht="12.75" hidden="1" customHeight="1" x14ac:dyDescent="0.25"/>
    <row r="3692" ht="12.75" hidden="1" customHeight="1" x14ac:dyDescent="0.25"/>
    <row r="3693" ht="12.75" hidden="1" customHeight="1" x14ac:dyDescent="0.25"/>
    <row r="3694" ht="12.75" hidden="1" customHeight="1" x14ac:dyDescent="0.25"/>
    <row r="3695" ht="12.75" hidden="1" customHeight="1" x14ac:dyDescent="0.25"/>
    <row r="3696" ht="12.75" hidden="1" customHeight="1" x14ac:dyDescent="0.25"/>
    <row r="3697" ht="12.75" hidden="1" customHeight="1" x14ac:dyDescent="0.25"/>
    <row r="3698" ht="12.75" hidden="1" customHeight="1" x14ac:dyDescent="0.25"/>
    <row r="3699" ht="12.75" hidden="1" customHeight="1" x14ac:dyDescent="0.25"/>
    <row r="3700" ht="12.75" hidden="1" customHeight="1" x14ac:dyDescent="0.25"/>
    <row r="3701" ht="12.75" hidden="1" customHeight="1" x14ac:dyDescent="0.25"/>
    <row r="3702" ht="12.75" hidden="1" customHeight="1" x14ac:dyDescent="0.25"/>
    <row r="3703" ht="12.75" hidden="1" customHeight="1" x14ac:dyDescent="0.25"/>
    <row r="3704" ht="12.75" hidden="1" customHeight="1" x14ac:dyDescent="0.25"/>
    <row r="3705" ht="12.75" hidden="1" customHeight="1" x14ac:dyDescent="0.25"/>
    <row r="3706" ht="12.75" hidden="1" customHeight="1" x14ac:dyDescent="0.25"/>
    <row r="3707" ht="12.75" hidden="1" customHeight="1" x14ac:dyDescent="0.25"/>
    <row r="3708" ht="12.75" hidden="1" customHeight="1" x14ac:dyDescent="0.25"/>
    <row r="3709" ht="12.75" hidden="1" customHeight="1" x14ac:dyDescent="0.25"/>
    <row r="3710" ht="12.75" hidden="1" customHeight="1" x14ac:dyDescent="0.25"/>
    <row r="3711" ht="12.75" hidden="1" customHeight="1" x14ac:dyDescent="0.25"/>
    <row r="3712" ht="12.75" hidden="1" customHeight="1" x14ac:dyDescent="0.25"/>
    <row r="3713" ht="12.75" hidden="1" customHeight="1" x14ac:dyDescent="0.25"/>
    <row r="3714" ht="12.75" hidden="1" customHeight="1" x14ac:dyDescent="0.25"/>
    <row r="3715" ht="12.75" hidden="1" customHeight="1" x14ac:dyDescent="0.25"/>
    <row r="3716" ht="12.75" hidden="1" customHeight="1" x14ac:dyDescent="0.25"/>
    <row r="3717" ht="12.75" hidden="1" customHeight="1" x14ac:dyDescent="0.25"/>
    <row r="3718" ht="12.75" hidden="1" customHeight="1" x14ac:dyDescent="0.25"/>
    <row r="3719" ht="12.75" hidden="1" customHeight="1" x14ac:dyDescent="0.25"/>
    <row r="3720" ht="12.75" hidden="1" customHeight="1" x14ac:dyDescent="0.25"/>
    <row r="3721" ht="12.75" hidden="1" customHeight="1" x14ac:dyDescent="0.25"/>
    <row r="3722" ht="12.75" hidden="1" customHeight="1" x14ac:dyDescent="0.25"/>
    <row r="3723" ht="12.75" hidden="1" customHeight="1" x14ac:dyDescent="0.25"/>
    <row r="3724" ht="12.75" hidden="1" customHeight="1" x14ac:dyDescent="0.25"/>
    <row r="3725" ht="12.75" hidden="1" customHeight="1" x14ac:dyDescent="0.25"/>
    <row r="3726" ht="12.75" hidden="1" customHeight="1" x14ac:dyDescent="0.25"/>
    <row r="3727" ht="12.75" hidden="1" customHeight="1" x14ac:dyDescent="0.25"/>
    <row r="3728" ht="12.75" hidden="1" customHeight="1" x14ac:dyDescent="0.25"/>
    <row r="3729" ht="12.75" hidden="1" customHeight="1" x14ac:dyDescent="0.25"/>
    <row r="3730" ht="12.75" hidden="1" customHeight="1" x14ac:dyDescent="0.25"/>
    <row r="3731" ht="12.75" hidden="1" customHeight="1" x14ac:dyDescent="0.25"/>
    <row r="3732" ht="12.75" hidden="1" customHeight="1" x14ac:dyDescent="0.25"/>
    <row r="3733" ht="12.75" hidden="1" customHeight="1" x14ac:dyDescent="0.25"/>
    <row r="3734" ht="12.75" hidden="1" customHeight="1" x14ac:dyDescent="0.25"/>
    <row r="3735" ht="12.75" hidden="1" customHeight="1" x14ac:dyDescent="0.25"/>
    <row r="3736" ht="12.75" hidden="1" customHeight="1" x14ac:dyDescent="0.25"/>
    <row r="3737" ht="12.75" hidden="1" customHeight="1" x14ac:dyDescent="0.25"/>
    <row r="3738" ht="12.75" hidden="1" customHeight="1" x14ac:dyDescent="0.25"/>
    <row r="3739" ht="12.75" hidden="1" customHeight="1" x14ac:dyDescent="0.25"/>
    <row r="3740" ht="12.75" hidden="1" customHeight="1" x14ac:dyDescent="0.25"/>
    <row r="3741" ht="12.75" hidden="1" customHeight="1" x14ac:dyDescent="0.25"/>
    <row r="3742" ht="12.75" hidden="1" customHeight="1" x14ac:dyDescent="0.25"/>
    <row r="3743" ht="12.75" hidden="1" customHeight="1" x14ac:dyDescent="0.25"/>
    <row r="3744" ht="12.75" hidden="1" customHeight="1" x14ac:dyDescent="0.25"/>
    <row r="3745" ht="12.75" hidden="1" customHeight="1" x14ac:dyDescent="0.25"/>
    <row r="3746" ht="12.75" hidden="1" customHeight="1" x14ac:dyDescent="0.25"/>
    <row r="3747" ht="12.75" hidden="1" customHeight="1" x14ac:dyDescent="0.25"/>
    <row r="3748" ht="12.75" hidden="1" customHeight="1" x14ac:dyDescent="0.25"/>
    <row r="3749" ht="12.75" hidden="1" customHeight="1" x14ac:dyDescent="0.25"/>
    <row r="3750" ht="12.75" hidden="1" customHeight="1" x14ac:dyDescent="0.25"/>
    <row r="3751" ht="12.75" hidden="1" customHeight="1" x14ac:dyDescent="0.25"/>
    <row r="3752" ht="12.75" hidden="1" customHeight="1" x14ac:dyDescent="0.25"/>
    <row r="3753" ht="12.75" hidden="1" customHeight="1" x14ac:dyDescent="0.25"/>
    <row r="3754" ht="12.75" hidden="1" customHeight="1" x14ac:dyDescent="0.25"/>
    <row r="3755" ht="12.75" hidden="1" customHeight="1" x14ac:dyDescent="0.25"/>
    <row r="3756" ht="12.75" hidden="1" customHeight="1" x14ac:dyDescent="0.25"/>
    <row r="3757" ht="12.75" hidden="1" customHeight="1" x14ac:dyDescent="0.25"/>
    <row r="3758" ht="12.75" hidden="1" customHeight="1" x14ac:dyDescent="0.25"/>
    <row r="3759" ht="12.75" hidden="1" customHeight="1" x14ac:dyDescent="0.25"/>
    <row r="3760" ht="12.75" hidden="1" customHeight="1" x14ac:dyDescent="0.25"/>
    <row r="3761" ht="12.75" hidden="1" customHeight="1" x14ac:dyDescent="0.25"/>
    <row r="3762" ht="12.75" hidden="1" customHeight="1" x14ac:dyDescent="0.25"/>
    <row r="3763" ht="12.75" hidden="1" customHeight="1" x14ac:dyDescent="0.25"/>
    <row r="3764" ht="12.75" hidden="1" customHeight="1" x14ac:dyDescent="0.25"/>
    <row r="3765" ht="12.75" hidden="1" customHeight="1" x14ac:dyDescent="0.25"/>
    <row r="3766" ht="12.75" hidden="1" customHeight="1" x14ac:dyDescent="0.25"/>
    <row r="3767" ht="12.75" hidden="1" customHeight="1" x14ac:dyDescent="0.25"/>
    <row r="3768" ht="12.75" hidden="1" customHeight="1" x14ac:dyDescent="0.25"/>
    <row r="3769" ht="12.75" hidden="1" customHeight="1" x14ac:dyDescent="0.25"/>
    <row r="3770" ht="12.75" hidden="1" customHeight="1" x14ac:dyDescent="0.25"/>
    <row r="3771" ht="12.75" hidden="1" customHeight="1" x14ac:dyDescent="0.25"/>
    <row r="3772" ht="12.75" hidden="1" customHeight="1" x14ac:dyDescent="0.25"/>
    <row r="3773" ht="12.75" hidden="1" customHeight="1" x14ac:dyDescent="0.25"/>
    <row r="3774" ht="12.75" hidden="1" customHeight="1" x14ac:dyDescent="0.25"/>
    <row r="3775" ht="12.75" hidden="1" customHeight="1" x14ac:dyDescent="0.25"/>
    <row r="3776" ht="12.75" hidden="1" customHeight="1" x14ac:dyDescent="0.25"/>
    <row r="3777" ht="12.75" hidden="1" customHeight="1" x14ac:dyDescent="0.25"/>
    <row r="3778" ht="12.75" hidden="1" customHeight="1" x14ac:dyDescent="0.25"/>
    <row r="3779" ht="12.75" hidden="1" customHeight="1" x14ac:dyDescent="0.25"/>
    <row r="3780" ht="12.75" hidden="1" customHeight="1" x14ac:dyDescent="0.25"/>
    <row r="3781" ht="12.75" hidden="1" customHeight="1" x14ac:dyDescent="0.25"/>
    <row r="3782" ht="12.75" hidden="1" customHeight="1" x14ac:dyDescent="0.25"/>
    <row r="3783" ht="12.75" hidden="1" customHeight="1" x14ac:dyDescent="0.25"/>
    <row r="3784" ht="12.75" hidden="1" customHeight="1" x14ac:dyDescent="0.25"/>
    <row r="3785" ht="12.75" hidden="1" customHeight="1" x14ac:dyDescent="0.25"/>
    <row r="3786" ht="12.75" hidden="1" customHeight="1" x14ac:dyDescent="0.25"/>
    <row r="3787" ht="12.75" hidden="1" customHeight="1" x14ac:dyDescent="0.25"/>
    <row r="3788" ht="12.75" hidden="1" customHeight="1" x14ac:dyDescent="0.25"/>
    <row r="3789" ht="12.75" hidden="1" customHeight="1" x14ac:dyDescent="0.25"/>
    <row r="3790" ht="12.75" hidden="1" customHeight="1" x14ac:dyDescent="0.25"/>
    <row r="3791" ht="12.75" hidden="1" customHeight="1" x14ac:dyDescent="0.25"/>
    <row r="3792" ht="12.75" hidden="1" customHeight="1" x14ac:dyDescent="0.25"/>
    <row r="3793" ht="12.75" hidden="1" customHeight="1" x14ac:dyDescent="0.25"/>
    <row r="3794" ht="12.75" hidden="1" customHeight="1" x14ac:dyDescent="0.25"/>
    <row r="3795" ht="12.75" hidden="1" customHeight="1" x14ac:dyDescent="0.25"/>
    <row r="3796" ht="12.75" hidden="1" customHeight="1" x14ac:dyDescent="0.25"/>
    <row r="3797" ht="12.75" hidden="1" customHeight="1" x14ac:dyDescent="0.25"/>
    <row r="3798" ht="12.75" hidden="1" customHeight="1" x14ac:dyDescent="0.25"/>
    <row r="3799" ht="12.75" hidden="1" customHeight="1" x14ac:dyDescent="0.25"/>
    <row r="3800" ht="12.75" hidden="1" customHeight="1" x14ac:dyDescent="0.25"/>
    <row r="3801" ht="12.75" hidden="1" customHeight="1" x14ac:dyDescent="0.25"/>
    <row r="3802" ht="12.75" hidden="1" customHeight="1" x14ac:dyDescent="0.25"/>
    <row r="3803" ht="12.75" hidden="1" customHeight="1" x14ac:dyDescent="0.25"/>
    <row r="3804" ht="12.75" hidden="1" customHeight="1" x14ac:dyDescent="0.25"/>
    <row r="3805" ht="12.75" hidden="1" customHeight="1" x14ac:dyDescent="0.25"/>
    <row r="3806" ht="12.75" hidden="1" customHeight="1" x14ac:dyDescent="0.25"/>
    <row r="3807" ht="12.75" hidden="1" customHeight="1" x14ac:dyDescent="0.25"/>
    <row r="3808" ht="12.75" hidden="1" customHeight="1" x14ac:dyDescent="0.25"/>
    <row r="3809" ht="12.75" hidden="1" customHeight="1" x14ac:dyDescent="0.25"/>
    <row r="3810" ht="12.75" hidden="1" customHeight="1" x14ac:dyDescent="0.25"/>
    <row r="3811" ht="12.75" hidden="1" customHeight="1" x14ac:dyDescent="0.25"/>
    <row r="3812" ht="12.75" hidden="1" customHeight="1" x14ac:dyDescent="0.25"/>
    <row r="3813" ht="12.75" hidden="1" customHeight="1" x14ac:dyDescent="0.25"/>
    <row r="3814" ht="12.75" hidden="1" customHeight="1" x14ac:dyDescent="0.25"/>
    <row r="3815" ht="12.75" hidden="1" customHeight="1" x14ac:dyDescent="0.25"/>
    <row r="3816" ht="12.75" hidden="1" customHeight="1" x14ac:dyDescent="0.25"/>
    <row r="3817" ht="12.75" hidden="1" customHeight="1" x14ac:dyDescent="0.25"/>
    <row r="3818" ht="12.75" hidden="1" customHeight="1" x14ac:dyDescent="0.25"/>
    <row r="3819" ht="12.75" hidden="1" customHeight="1" x14ac:dyDescent="0.25"/>
    <row r="3820" ht="12.75" hidden="1" customHeight="1" x14ac:dyDescent="0.25"/>
    <row r="3821" ht="12.75" hidden="1" customHeight="1" x14ac:dyDescent="0.25"/>
    <row r="3822" ht="12.75" hidden="1" customHeight="1" x14ac:dyDescent="0.25"/>
    <row r="3823" ht="12.75" hidden="1" customHeight="1" x14ac:dyDescent="0.25"/>
    <row r="3824" ht="12.75" hidden="1" customHeight="1" x14ac:dyDescent="0.25"/>
    <row r="3825" ht="12.75" hidden="1" customHeight="1" x14ac:dyDescent="0.25"/>
    <row r="3826" ht="12.75" hidden="1" customHeight="1" x14ac:dyDescent="0.25"/>
    <row r="3827" ht="12.75" hidden="1" customHeight="1" x14ac:dyDescent="0.25"/>
    <row r="3828" ht="12.75" hidden="1" customHeight="1" x14ac:dyDescent="0.25"/>
    <row r="3829" ht="12.75" hidden="1" customHeight="1" x14ac:dyDescent="0.25"/>
    <row r="3830" ht="12.75" hidden="1" customHeight="1" x14ac:dyDescent="0.25"/>
    <row r="3831" ht="12.75" hidden="1" customHeight="1" x14ac:dyDescent="0.25"/>
    <row r="3832" ht="12.75" hidden="1" customHeight="1" x14ac:dyDescent="0.25"/>
    <row r="3833" ht="12.75" hidden="1" customHeight="1" x14ac:dyDescent="0.25"/>
    <row r="3834" ht="12.75" hidden="1" customHeight="1" x14ac:dyDescent="0.25"/>
    <row r="3835" ht="12.75" hidden="1" customHeight="1" x14ac:dyDescent="0.25"/>
    <row r="3836" ht="12.75" hidden="1" customHeight="1" x14ac:dyDescent="0.25"/>
    <row r="3837" ht="12.75" hidden="1" customHeight="1" x14ac:dyDescent="0.25"/>
    <row r="3838" ht="12.75" hidden="1" customHeight="1" x14ac:dyDescent="0.25"/>
    <row r="3839" ht="12.75" hidden="1" customHeight="1" x14ac:dyDescent="0.25"/>
    <row r="3840" ht="12.75" hidden="1" customHeight="1" x14ac:dyDescent="0.25"/>
    <row r="3841" ht="12.75" hidden="1" customHeight="1" x14ac:dyDescent="0.25"/>
    <row r="3842" ht="12.75" hidden="1" customHeight="1" x14ac:dyDescent="0.25"/>
    <row r="3843" ht="12.75" hidden="1" customHeight="1" x14ac:dyDescent="0.25"/>
    <row r="3844" ht="12.75" hidden="1" customHeight="1" x14ac:dyDescent="0.25"/>
    <row r="3845" ht="12.75" hidden="1" customHeight="1" x14ac:dyDescent="0.25"/>
    <row r="3846" ht="12.75" hidden="1" customHeight="1" x14ac:dyDescent="0.25"/>
    <row r="3847" ht="12.75" hidden="1" customHeight="1" x14ac:dyDescent="0.25"/>
    <row r="3848" ht="12.75" hidden="1" customHeight="1" x14ac:dyDescent="0.25"/>
    <row r="3849" ht="12.75" hidden="1" customHeight="1" x14ac:dyDescent="0.25"/>
    <row r="3850" ht="12.75" hidden="1" customHeight="1" x14ac:dyDescent="0.25"/>
    <row r="3851" ht="12.75" hidden="1" customHeight="1" x14ac:dyDescent="0.25"/>
    <row r="3852" ht="12.75" hidden="1" customHeight="1" x14ac:dyDescent="0.25"/>
    <row r="3853" ht="12.75" hidden="1" customHeight="1" x14ac:dyDescent="0.25"/>
    <row r="3854" ht="12.75" hidden="1" customHeight="1" x14ac:dyDescent="0.25"/>
    <row r="3855" ht="12.75" hidden="1" customHeight="1" x14ac:dyDescent="0.25"/>
    <row r="3856" ht="12.75" hidden="1" customHeight="1" x14ac:dyDescent="0.25"/>
    <row r="3857" ht="12.75" hidden="1" customHeight="1" x14ac:dyDescent="0.25"/>
    <row r="3858" ht="12.75" hidden="1" customHeight="1" x14ac:dyDescent="0.25"/>
    <row r="3859" ht="12.75" hidden="1" customHeight="1" x14ac:dyDescent="0.25"/>
    <row r="3860" ht="12.75" hidden="1" customHeight="1" x14ac:dyDescent="0.25"/>
    <row r="3861" ht="12.75" hidden="1" customHeight="1" x14ac:dyDescent="0.25"/>
    <row r="3862" ht="12.75" hidden="1" customHeight="1" x14ac:dyDescent="0.25"/>
    <row r="3863" ht="12.75" hidden="1" customHeight="1" x14ac:dyDescent="0.25"/>
    <row r="3864" ht="12.75" hidden="1" customHeight="1" x14ac:dyDescent="0.25"/>
    <row r="3865" ht="12.75" hidden="1" customHeight="1" x14ac:dyDescent="0.25"/>
    <row r="3866" ht="12.75" hidden="1" customHeight="1" x14ac:dyDescent="0.25"/>
    <row r="3867" ht="12.75" hidden="1" customHeight="1" x14ac:dyDescent="0.25"/>
    <row r="3868" ht="12.75" hidden="1" customHeight="1" x14ac:dyDescent="0.25"/>
    <row r="3869" ht="12.75" hidden="1" customHeight="1" x14ac:dyDescent="0.25"/>
    <row r="3870" ht="12.75" hidden="1" customHeight="1" x14ac:dyDescent="0.25"/>
    <row r="3871" ht="12.75" hidden="1" customHeight="1" x14ac:dyDescent="0.25"/>
    <row r="3872" ht="12.75" hidden="1" customHeight="1" x14ac:dyDescent="0.25"/>
    <row r="3873" ht="12.75" hidden="1" customHeight="1" x14ac:dyDescent="0.25"/>
    <row r="3874" ht="12.75" hidden="1" customHeight="1" x14ac:dyDescent="0.25"/>
    <row r="3875" ht="12.75" hidden="1" customHeight="1" x14ac:dyDescent="0.25"/>
    <row r="3876" ht="12.75" hidden="1" customHeight="1" x14ac:dyDescent="0.25"/>
    <row r="3877" ht="12.75" hidden="1" customHeight="1" x14ac:dyDescent="0.25"/>
    <row r="3878" ht="12.75" hidden="1" customHeight="1" x14ac:dyDescent="0.25"/>
    <row r="3879" ht="12.75" hidden="1" customHeight="1" x14ac:dyDescent="0.25"/>
    <row r="3880" ht="12.75" hidden="1" customHeight="1" x14ac:dyDescent="0.25"/>
    <row r="3881" ht="12.75" hidden="1" customHeight="1" x14ac:dyDescent="0.25"/>
    <row r="3882" ht="12.75" hidden="1" customHeight="1" x14ac:dyDescent="0.25"/>
    <row r="3883" ht="12.75" hidden="1" customHeight="1" x14ac:dyDescent="0.25"/>
    <row r="3884" ht="12.75" hidden="1" customHeight="1" x14ac:dyDescent="0.25"/>
    <row r="3885" ht="12.75" hidden="1" customHeight="1" x14ac:dyDescent="0.25"/>
    <row r="3886" ht="12.75" hidden="1" customHeight="1" x14ac:dyDescent="0.25"/>
    <row r="3887" ht="12.75" hidden="1" customHeight="1" x14ac:dyDescent="0.25"/>
    <row r="3888" ht="12.75" hidden="1" customHeight="1" x14ac:dyDescent="0.25"/>
    <row r="3889" ht="12.75" hidden="1" customHeight="1" x14ac:dyDescent="0.25"/>
    <row r="3890" ht="12.75" hidden="1" customHeight="1" x14ac:dyDescent="0.25"/>
    <row r="3891" ht="12.75" hidden="1" customHeight="1" x14ac:dyDescent="0.25"/>
    <row r="3892" ht="12.75" hidden="1" customHeight="1" x14ac:dyDescent="0.25"/>
    <row r="3893" ht="12.75" hidden="1" customHeight="1" x14ac:dyDescent="0.25"/>
    <row r="3894" ht="12.75" hidden="1" customHeight="1" x14ac:dyDescent="0.25"/>
    <row r="3895" ht="12.75" hidden="1" customHeight="1" x14ac:dyDescent="0.25"/>
    <row r="3896" ht="12.75" hidden="1" customHeight="1" x14ac:dyDescent="0.25"/>
    <row r="3897" ht="12.75" hidden="1" customHeight="1" x14ac:dyDescent="0.25"/>
    <row r="3898" ht="12.75" hidden="1" customHeight="1" x14ac:dyDescent="0.25"/>
    <row r="3899" ht="12.75" hidden="1" customHeight="1" x14ac:dyDescent="0.25"/>
    <row r="3900" ht="12.75" hidden="1" customHeight="1" x14ac:dyDescent="0.25"/>
    <row r="3901" ht="12.75" hidden="1" customHeight="1" x14ac:dyDescent="0.25"/>
    <row r="3902" ht="12.75" hidden="1" customHeight="1" x14ac:dyDescent="0.25"/>
    <row r="3903" ht="12.75" hidden="1" customHeight="1" x14ac:dyDescent="0.25"/>
    <row r="3904" ht="12.75" hidden="1" customHeight="1" x14ac:dyDescent="0.25"/>
    <row r="3905" ht="12.75" hidden="1" customHeight="1" x14ac:dyDescent="0.25"/>
    <row r="3906" ht="12.75" hidden="1" customHeight="1" x14ac:dyDescent="0.25"/>
    <row r="3907" ht="12.75" hidden="1" customHeight="1" x14ac:dyDescent="0.25"/>
    <row r="3908" ht="12.75" hidden="1" customHeight="1" x14ac:dyDescent="0.25"/>
    <row r="3909" ht="12.75" hidden="1" customHeight="1" x14ac:dyDescent="0.25"/>
    <row r="3910" ht="12.75" hidden="1" customHeight="1" x14ac:dyDescent="0.25"/>
    <row r="3911" ht="12.75" hidden="1" customHeight="1" x14ac:dyDescent="0.25"/>
    <row r="3912" ht="12.75" hidden="1" customHeight="1" x14ac:dyDescent="0.25"/>
    <row r="3913" ht="12.75" hidden="1" customHeight="1" x14ac:dyDescent="0.25"/>
    <row r="3914" ht="12.75" hidden="1" customHeight="1" x14ac:dyDescent="0.25"/>
    <row r="3915" ht="12.75" hidden="1" customHeight="1" x14ac:dyDescent="0.25"/>
    <row r="3916" ht="12.75" hidden="1" customHeight="1" x14ac:dyDescent="0.25"/>
    <row r="3917" ht="12.75" hidden="1" customHeight="1" x14ac:dyDescent="0.25"/>
    <row r="3918" ht="12.75" hidden="1" customHeight="1" x14ac:dyDescent="0.25"/>
    <row r="3919" ht="12.75" hidden="1" customHeight="1" x14ac:dyDescent="0.25"/>
    <row r="3920" ht="12.75" hidden="1" customHeight="1" x14ac:dyDescent="0.25"/>
    <row r="3921" ht="12.75" hidden="1" customHeight="1" x14ac:dyDescent="0.25"/>
    <row r="3922" ht="12.75" hidden="1" customHeight="1" x14ac:dyDescent="0.25"/>
    <row r="3923" ht="12.75" hidden="1" customHeight="1" x14ac:dyDescent="0.25"/>
    <row r="3924" ht="12.75" hidden="1" customHeight="1" x14ac:dyDescent="0.25"/>
    <row r="3925" ht="12.75" hidden="1" customHeight="1" x14ac:dyDescent="0.25"/>
    <row r="3926" ht="12.75" hidden="1" customHeight="1" x14ac:dyDescent="0.25"/>
    <row r="3927" ht="12.75" hidden="1" customHeight="1" x14ac:dyDescent="0.25"/>
    <row r="3928" ht="12.75" hidden="1" customHeight="1" x14ac:dyDescent="0.25"/>
    <row r="3929" ht="12.75" hidden="1" customHeight="1" x14ac:dyDescent="0.25"/>
    <row r="3930" ht="12.75" hidden="1" customHeight="1" x14ac:dyDescent="0.25"/>
    <row r="3931" ht="12.75" hidden="1" customHeight="1" x14ac:dyDescent="0.25"/>
    <row r="3932" ht="12.75" hidden="1" customHeight="1" x14ac:dyDescent="0.25"/>
    <row r="3933" ht="12.75" hidden="1" customHeight="1" x14ac:dyDescent="0.25"/>
    <row r="3934" ht="12.75" hidden="1" customHeight="1" x14ac:dyDescent="0.25"/>
    <row r="3935" ht="12.75" hidden="1" customHeight="1" x14ac:dyDescent="0.25"/>
    <row r="3936" ht="12.75" hidden="1" customHeight="1" x14ac:dyDescent="0.25"/>
    <row r="3937" ht="12.75" hidden="1" customHeight="1" x14ac:dyDescent="0.25"/>
    <row r="3938" ht="12.75" hidden="1" customHeight="1" x14ac:dyDescent="0.25"/>
    <row r="3939" ht="12.75" hidden="1" customHeight="1" x14ac:dyDescent="0.25"/>
    <row r="3940" ht="12.75" hidden="1" customHeight="1" x14ac:dyDescent="0.25"/>
    <row r="3941" ht="12.75" hidden="1" customHeight="1" x14ac:dyDescent="0.25"/>
    <row r="3942" ht="12.75" hidden="1" customHeight="1" x14ac:dyDescent="0.25"/>
    <row r="3943" ht="12.75" hidden="1" customHeight="1" x14ac:dyDescent="0.25"/>
    <row r="3944" ht="12.75" hidden="1" customHeight="1" x14ac:dyDescent="0.25"/>
    <row r="3945" ht="12.75" hidden="1" customHeight="1" x14ac:dyDescent="0.25"/>
    <row r="3946" ht="12.75" hidden="1" customHeight="1" x14ac:dyDescent="0.25"/>
    <row r="3947" ht="12.75" hidden="1" customHeight="1" x14ac:dyDescent="0.25"/>
    <row r="3948" ht="12.75" hidden="1" customHeight="1" x14ac:dyDescent="0.25"/>
    <row r="3949" ht="12.75" hidden="1" customHeight="1" x14ac:dyDescent="0.25"/>
    <row r="3950" ht="12.75" hidden="1" customHeight="1" x14ac:dyDescent="0.25"/>
    <row r="3951" ht="12.75" hidden="1" customHeight="1" x14ac:dyDescent="0.25"/>
    <row r="3952" ht="12.75" hidden="1" customHeight="1" x14ac:dyDescent="0.25"/>
    <row r="3953" ht="12.75" hidden="1" customHeight="1" x14ac:dyDescent="0.25"/>
    <row r="3954" ht="12.75" hidden="1" customHeight="1" x14ac:dyDescent="0.25"/>
    <row r="3955" ht="12.75" hidden="1" customHeight="1" x14ac:dyDescent="0.25"/>
    <row r="3956" ht="12.75" hidden="1" customHeight="1" x14ac:dyDescent="0.25"/>
    <row r="3957" ht="12.75" hidden="1" customHeight="1" x14ac:dyDescent="0.25"/>
    <row r="3958" ht="12.75" hidden="1" customHeight="1" x14ac:dyDescent="0.25"/>
    <row r="3959" ht="12.75" hidden="1" customHeight="1" x14ac:dyDescent="0.25"/>
    <row r="3960" ht="12.75" hidden="1" customHeight="1" x14ac:dyDescent="0.25"/>
    <row r="3961" ht="12.75" hidden="1" customHeight="1" x14ac:dyDescent="0.25"/>
    <row r="3962" ht="12.75" hidden="1" customHeight="1" x14ac:dyDescent="0.25"/>
    <row r="3963" ht="12.75" hidden="1" customHeight="1" x14ac:dyDescent="0.25"/>
    <row r="3964" ht="12.75" hidden="1" customHeight="1" x14ac:dyDescent="0.25"/>
    <row r="3965" ht="12.75" hidden="1" customHeight="1" x14ac:dyDescent="0.25"/>
    <row r="3966" ht="12.75" hidden="1" customHeight="1" x14ac:dyDescent="0.25"/>
    <row r="3967" ht="12.75" hidden="1" customHeight="1" x14ac:dyDescent="0.25"/>
    <row r="3968" ht="12.75" hidden="1" customHeight="1" x14ac:dyDescent="0.25"/>
    <row r="3969" ht="12.75" hidden="1" customHeight="1" x14ac:dyDescent="0.25"/>
    <row r="3970" ht="12.75" hidden="1" customHeight="1" x14ac:dyDescent="0.25"/>
    <row r="3971" ht="12.75" hidden="1" customHeight="1" x14ac:dyDescent="0.25"/>
    <row r="3972" ht="12.75" hidden="1" customHeight="1" x14ac:dyDescent="0.25"/>
    <row r="3973" ht="12.75" hidden="1" customHeight="1" x14ac:dyDescent="0.25"/>
    <row r="3974" ht="12.75" hidden="1" customHeight="1" x14ac:dyDescent="0.25"/>
    <row r="3975" ht="12.75" hidden="1" customHeight="1" x14ac:dyDescent="0.25"/>
    <row r="3976" ht="12.75" hidden="1" customHeight="1" x14ac:dyDescent="0.25"/>
    <row r="3977" ht="12.75" hidden="1" customHeight="1" x14ac:dyDescent="0.25"/>
    <row r="3978" ht="12.75" hidden="1" customHeight="1" x14ac:dyDescent="0.25"/>
    <row r="3979" ht="12.75" hidden="1" customHeight="1" x14ac:dyDescent="0.25"/>
    <row r="3980" ht="12.75" hidden="1" customHeight="1" x14ac:dyDescent="0.25"/>
    <row r="3981" ht="12.75" hidden="1" customHeight="1" x14ac:dyDescent="0.25"/>
    <row r="3982" ht="12.75" hidden="1" customHeight="1" x14ac:dyDescent="0.25"/>
    <row r="3983" ht="12.75" hidden="1" customHeight="1" x14ac:dyDescent="0.25"/>
    <row r="3984" ht="12.75" hidden="1" customHeight="1" x14ac:dyDescent="0.25"/>
    <row r="3985" ht="12.75" hidden="1" customHeight="1" x14ac:dyDescent="0.25"/>
    <row r="3986" ht="12.75" hidden="1" customHeight="1" x14ac:dyDescent="0.25"/>
    <row r="3987" ht="12.75" hidden="1" customHeight="1" x14ac:dyDescent="0.25"/>
    <row r="3988" ht="12.75" hidden="1" customHeight="1" x14ac:dyDescent="0.25"/>
    <row r="3989" ht="12.75" hidden="1" customHeight="1" x14ac:dyDescent="0.25"/>
    <row r="3990" ht="12.75" hidden="1" customHeight="1" x14ac:dyDescent="0.25"/>
    <row r="3991" ht="12.75" hidden="1" customHeight="1" x14ac:dyDescent="0.25"/>
    <row r="3992" ht="12.75" hidden="1" customHeight="1" x14ac:dyDescent="0.25"/>
    <row r="3993" ht="12.75" hidden="1" customHeight="1" x14ac:dyDescent="0.25"/>
    <row r="3994" ht="12.75" hidden="1" customHeight="1" x14ac:dyDescent="0.25"/>
    <row r="3995" ht="12.75" hidden="1" customHeight="1" x14ac:dyDescent="0.25"/>
    <row r="3996" ht="12.75" hidden="1" customHeight="1" x14ac:dyDescent="0.25"/>
    <row r="3997" ht="12.75" hidden="1" customHeight="1" x14ac:dyDescent="0.25"/>
    <row r="3998" ht="12.75" hidden="1" customHeight="1" x14ac:dyDescent="0.25"/>
    <row r="3999" ht="12.75" hidden="1" customHeight="1" x14ac:dyDescent="0.25"/>
    <row r="4000" ht="12.75" hidden="1" customHeight="1" x14ac:dyDescent="0.25"/>
    <row r="4001" ht="12.75" hidden="1" customHeight="1" x14ac:dyDescent="0.25"/>
    <row r="4002" ht="12.75" hidden="1" customHeight="1" x14ac:dyDescent="0.25"/>
    <row r="4003" ht="12.75" hidden="1" customHeight="1" x14ac:dyDescent="0.25"/>
    <row r="4004" ht="12.75" hidden="1" customHeight="1" x14ac:dyDescent="0.25"/>
    <row r="4005" ht="12.75" hidden="1" customHeight="1" x14ac:dyDescent="0.25"/>
    <row r="4006" ht="12.75" hidden="1" customHeight="1" x14ac:dyDescent="0.25"/>
    <row r="4007" ht="12.75" hidden="1" customHeight="1" x14ac:dyDescent="0.25"/>
    <row r="4008" ht="12.75" hidden="1" customHeight="1" x14ac:dyDescent="0.25"/>
    <row r="4009" ht="12.75" hidden="1" customHeight="1" x14ac:dyDescent="0.25"/>
    <row r="4010" ht="12.75" hidden="1" customHeight="1" x14ac:dyDescent="0.25"/>
    <row r="4011" ht="12.75" hidden="1" customHeight="1" x14ac:dyDescent="0.25"/>
    <row r="4012" ht="12.75" hidden="1" customHeight="1" x14ac:dyDescent="0.25"/>
    <row r="4013" ht="12.75" hidden="1" customHeight="1" x14ac:dyDescent="0.25"/>
    <row r="4014" ht="12.75" hidden="1" customHeight="1" x14ac:dyDescent="0.25"/>
    <row r="4015" ht="12.75" hidden="1" customHeight="1" x14ac:dyDescent="0.25"/>
    <row r="4016" ht="12.75" hidden="1" customHeight="1" x14ac:dyDescent="0.25"/>
    <row r="4017" ht="12.75" hidden="1" customHeight="1" x14ac:dyDescent="0.25"/>
    <row r="4018" ht="12.75" hidden="1" customHeight="1" x14ac:dyDescent="0.25"/>
    <row r="4019" ht="12.75" hidden="1" customHeight="1" x14ac:dyDescent="0.25"/>
    <row r="4020" ht="12.75" hidden="1" customHeight="1" x14ac:dyDescent="0.25"/>
    <row r="4021" ht="12.75" hidden="1" customHeight="1" x14ac:dyDescent="0.25"/>
    <row r="4022" ht="12.75" hidden="1" customHeight="1" x14ac:dyDescent="0.25"/>
    <row r="4023" ht="12.75" hidden="1" customHeight="1" x14ac:dyDescent="0.25"/>
    <row r="4024" ht="12.75" hidden="1" customHeight="1" x14ac:dyDescent="0.25"/>
    <row r="4025" ht="12.75" hidden="1" customHeight="1" x14ac:dyDescent="0.25"/>
    <row r="4026" ht="12.75" hidden="1" customHeight="1" x14ac:dyDescent="0.25"/>
    <row r="4027" ht="12.75" hidden="1" customHeight="1" x14ac:dyDescent="0.25"/>
    <row r="4028" ht="12.75" hidden="1" customHeight="1" x14ac:dyDescent="0.25"/>
    <row r="4029" ht="12.75" hidden="1" customHeight="1" x14ac:dyDescent="0.25"/>
    <row r="4030" ht="12.75" hidden="1" customHeight="1" x14ac:dyDescent="0.25"/>
    <row r="4031" ht="12.75" hidden="1" customHeight="1" x14ac:dyDescent="0.25"/>
    <row r="4032" ht="12.75" hidden="1" customHeight="1" x14ac:dyDescent="0.25"/>
    <row r="4033" ht="12.75" hidden="1" customHeight="1" x14ac:dyDescent="0.25"/>
    <row r="4034" ht="12.75" hidden="1" customHeight="1" x14ac:dyDescent="0.25"/>
    <row r="4035" ht="12.75" hidden="1" customHeight="1" x14ac:dyDescent="0.25"/>
    <row r="4036" ht="12.75" hidden="1" customHeight="1" x14ac:dyDescent="0.25"/>
    <row r="4037" ht="12.75" hidden="1" customHeight="1" x14ac:dyDescent="0.25"/>
    <row r="4038" ht="12.75" hidden="1" customHeight="1" x14ac:dyDescent="0.25"/>
    <row r="4039" ht="12.75" hidden="1" customHeight="1" x14ac:dyDescent="0.25"/>
    <row r="4040" ht="12.75" hidden="1" customHeight="1" x14ac:dyDescent="0.25"/>
    <row r="4041" ht="12.75" hidden="1" customHeight="1" x14ac:dyDescent="0.25"/>
    <row r="4042" ht="12.75" hidden="1" customHeight="1" x14ac:dyDescent="0.25"/>
    <row r="4043" ht="12.75" hidden="1" customHeight="1" x14ac:dyDescent="0.25"/>
    <row r="4044" ht="12.75" hidden="1" customHeight="1" x14ac:dyDescent="0.25"/>
    <row r="4045" ht="12.75" hidden="1" customHeight="1" x14ac:dyDescent="0.25"/>
    <row r="4046" ht="12.75" hidden="1" customHeight="1" x14ac:dyDescent="0.25"/>
    <row r="4047" ht="12.75" hidden="1" customHeight="1" x14ac:dyDescent="0.25"/>
    <row r="4048" ht="12.75" hidden="1" customHeight="1" x14ac:dyDescent="0.25"/>
    <row r="4049" ht="12.75" hidden="1" customHeight="1" x14ac:dyDescent="0.25"/>
    <row r="4050" ht="12.75" hidden="1" customHeight="1" x14ac:dyDescent="0.25"/>
    <row r="4051" ht="12.75" hidden="1" customHeight="1" x14ac:dyDescent="0.25"/>
    <row r="4052" ht="12.75" hidden="1" customHeight="1" x14ac:dyDescent="0.25"/>
    <row r="4053" ht="12.75" hidden="1" customHeight="1" x14ac:dyDescent="0.25"/>
    <row r="4054" ht="12.75" hidden="1" customHeight="1" x14ac:dyDescent="0.25"/>
    <row r="4055" ht="12.75" hidden="1" customHeight="1" x14ac:dyDescent="0.25"/>
    <row r="4056" ht="12.75" hidden="1" customHeight="1" x14ac:dyDescent="0.25"/>
    <row r="4057" ht="12.75" hidden="1" customHeight="1" x14ac:dyDescent="0.25"/>
    <row r="4058" ht="12.75" hidden="1" customHeight="1" x14ac:dyDescent="0.25"/>
    <row r="4059" ht="12.75" hidden="1" customHeight="1" x14ac:dyDescent="0.25"/>
    <row r="4060" ht="12.75" hidden="1" customHeight="1" x14ac:dyDescent="0.25"/>
    <row r="4061" ht="12.75" hidden="1" customHeight="1" x14ac:dyDescent="0.25"/>
    <row r="4062" ht="12.75" hidden="1" customHeight="1" x14ac:dyDescent="0.25"/>
    <row r="4063" ht="12.75" hidden="1" customHeight="1" x14ac:dyDescent="0.25"/>
    <row r="4064" ht="12.75" hidden="1" customHeight="1" x14ac:dyDescent="0.25"/>
    <row r="4065" ht="12.75" hidden="1" customHeight="1" x14ac:dyDescent="0.25"/>
    <row r="4066" ht="12.75" hidden="1" customHeight="1" x14ac:dyDescent="0.25"/>
    <row r="4067" ht="12.75" hidden="1" customHeight="1" x14ac:dyDescent="0.25"/>
    <row r="4068" ht="12.75" hidden="1" customHeight="1" x14ac:dyDescent="0.25"/>
    <row r="4069" ht="12.75" hidden="1" customHeight="1" x14ac:dyDescent="0.25"/>
    <row r="4070" ht="12.75" hidden="1" customHeight="1" x14ac:dyDescent="0.25"/>
    <row r="4071" ht="12.75" hidden="1" customHeight="1" x14ac:dyDescent="0.25"/>
    <row r="4072" ht="12.75" hidden="1" customHeight="1" x14ac:dyDescent="0.25"/>
    <row r="4073" ht="12.75" hidden="1" customHeight="1" x14ac:dyDescent="0.25"/>
    <row r="4074" ht="12.75" hidden="1" customHeight="1" x14ac:dyDescent="0.25"/>
    <row r="4075" ht="12.75" hidden="1" customHeight="1" x14ac:dyDescent="0.25"/>
    <row r="4076" ht="12.75" hidden="1" customHeight="1" x14ac:dyDescent="0.25"/>
    <row r="4077" ht="12.75" hidden="1" customHeight="1" x14ac:dyDescent="0.25"/>
    <row r="4078" ht="12.75" hidden="1" customHeight="1" x14ac:dyDescent="0.25"/>
    <row r="4079" ht="12.75" hidden="1" customHeight="1" x14ac:dyDescent="0.25"/>
    <row r="4080" ht="12.75" hidden="1" customHeight="1" x14ac:dyDescent="0.25"/>
    <row r="4081" ht="12.75" hidden="1" customHeight="1" x14ac:dyDescent="0.25"/>
    <row r="4082" ht="12.75" hidden="1" customHeight="1" x14ac:dyDescent="0.25"/>
    <row r="4083" ht="12.75" hidden="1" customHeight="1" x14ac:dyDescent="0.25"/>
    <row r="4084" ht="12.75" hidden="1" customHeight="1" x14ac:dyDescent="0.25"/>
    <row r="4085" ht="12.75" hidden="1" customHeight="1" x14ac:dyDescent="0.25"/>
    <row r="4086" ht="12.75" hidden="1" customHeight="1" x14ac:dyDescent="0.25"/>
    <row r="4087" ht="12.75" hidden="1" customHeight="1" x14ac:dyDescent="0.25"/>
    <row r="4088" ht="12.75" hidden="1" customHeight="1" x14ac:dyDescent="0.25"/>
    <row r="4089" ht="12.75" hidden="1" customHeight="1" x14ac:dyDescent="0.25"/>
    <row r="4090" ht="12.75" hidden="1" customHeight="1" x14ac:dyDescent="0.25"/>
    <row r="4091" ht="12.75" hidden="1" customHeight="1" x14ac:dyDescent="0.25"/>
    <row r="4092" ht="12.75" hidden="1" customHeight="1" x14ac:dyDescent="0.25"/>
    <row r="4093" ht="12.75" hidden="1" customHeight="1" x14ac:dyDescent="0.25"/>
    <row r="4094" ht="12.75" hidden="1" customHeight="1" x14ac:dyDescent="0.25"/>
    <row r="4095" ht="12.75" hidden="1" customHeight="1" x14ac:dyDescent="0.25"/>
    <row r="4096" ht="12.75" hidden="1" customHeight="1" x14ac:dyDescent="0.25"/>
    <row r="4097" ht="12.75" hidden="1" customHeight="1" x14ac:dyDescent="0.25"/>
    <row r="4098" ht="12.75" hidden="1" customHeight="1" x14ac:dyDescent="0.25"/>
    <row r="4099" ht="12.75" hidden="1" customHeight="1" x14ac:dyDescent="0.25"/>
    <row r="4100" ht="12.75" hidden="1" customHeight="1" x14ac:dyDescent="0.25"/>
    <row r="4101" ht="12.75" hidden="1" customHeight="1" x14ac:dyDescent="0.25"/>
    <row r="4102" ht="12.75" hidden="1" customHeight="1" x14ac:dyDescent="0.25"/>
    <row r="4103" ht="12.75" hidden="1" customHeight="1" x14ac:dyDescent="0.25"/>
    <row r="4104" ht="12.75" hidden="1" customHeight="1" x14ac:dyDescent="0.25"/>
    <row r="4105" ht="12.75" hidden="1" customHeight="1" x14ac:dyDescent="0.25"/>
    <row r="4106" ht="12.75" hidden="1" customHeight="1" x14ac:dyDescent="0.25"/>
    <row r="4107" ht="12.75" hidden="1" customHeight="1" x14ac:dyDescent="0.25"/>
    <row r="4108" ht="12.75" hidden="1" customHeight="1" x14ac:dyDescent="0.25"/>
    <row r="4109" ht="12.75" hidden="1" customHeight="1" x14ac:dyDescent="0.25"/>
    <row r="4110" ht="12.75" hidden="1" customHeight="1" x14ac:dyDescent="0.25"/>
    <row r="4111" ht="12.75" hidden="1" customHeight="1" x14ac:dyDescent="0.25"/>
    <row r="4112" ht="12.75" hidden="1" customHeight="1" x14ac:dyDescent="0.25"/>
    <row r="4113" ht="12.75" hidden="1" customHeight="1" x14ac:dyDescent="0.25"/>
    <row r="4114" ht="12.75" hidden="1" customHeight="1" x14ac:dyDescent="0.25"/>
    <row r="4115" ht="12.75" hidden="1" customHeight="1" x14ac:dyDescent="0.25"/>
    <row r="4116" ht="12.75" hidden="1" customHeight="1" x14ac:dyDescent="0.25"/>
    <row r="4117" ht="12.75" hidden="1" customHeight="1" x14ac:dyDescent="0.25"/>
    <row r="4118" ht="12.75" hidden="1" customHeight="1" x14ac:dyDescent="0.25"/>
    <row r="4119" ht="12.75" hidden="1" customHeight="1" x14ac:dyDescent="0.25"/>
    <row r="4120" ht="12.75" hidden="1" customHeight="1" x14ac:dyDescent="0.25"/>
    <row r="4121" ht="12.75" hidden="1" customHeight="1" x14ac:dyDescent="0.25"/>
    <row r="4122" ht="12.75" hidden="1" customHeight="1" x14ac:dyDescent="0.25"/>
    <row r="4123" ht="12.75" hidden="1" customHeight="1" x14ac:dyDescent="0.25"/>
    <row r="4124" ht="12.75" hidden="1" customHeight="1" x14ac:dyDescent="0.25"/>
    <row r="4125" ht="12.75" hidden="1" customHeight="1" x14ac:dyDescent="0.25"/>
    <row r="4126" ht="12.75" hidden="1" customHeight="1" x14ac:dyDescent="0.25"/>
    <row r="4127" ht="12.75" hidden="1" customHeight="1" x14ac:dyDescent="0.25"/>
    <row r="4128" ht="12.75" hidden="1" customHeight="1" x14ac:dyDescent="0.25"/>
    <row r="4129" ht="12.75" hidden="1" customHeight="1" x14ac:dyDescent="0.25"/>
    <row r="4130" ht="12.75" hidden="1" customHeight="1" x14ac:dyDescent="0.25"/>
    <row r="4131" ht="12.75" hidden="1" customHeight="1" x14ac:dyDescent="0.25"/>
    <row r="4132" ht="12.75" hidden="1" customHeight="1" x14ac:dyDescent="0.25"/>
    <row r="4133" ht="12.75" hidden="1" customHeight="1" x14ac:dyDescent="0.25"/>
    <row r="4134" ht="12.75" hidden="1" customHeight="1" x14ac:dyDescent="0.25"/>
    <row r="4135" ht="12.75" hidden="1" customHeight="1" x14ac:dyDescent="0.25"/>
    <row r="4136" ht="12.75" hidden="1" customHeight="1" x14ac:dyDescent="0.25"/>
    <row r="4137" ht="12.75" hidden="1" customHeight="1" x14ac:dyDescent="0.25"/>
    <row r="4138" ht="12.75" hidden="1" customHeight="1" x14ac:dyDescent="0.25"/>
    <row r="4139" ht="12.75" hidden="1" customHeight="1" x14ac:dyDescent="0.25"/>
    <row r="4140" ht="12.75" hidden="1" customHeight="1" x14ac:dyDescent="0.25"/>
    <row r="4141" ht="12.75" hidden="1" customHeight="1" x14ac:dyDescent="0.25"/>
    <row r="4142" ht="12.75" hidden="1" customHeight="1" x14ac:dyDescent="0.25"/>
    <row r="4143" ht="12.75" hidden="1" customHeight="1" x14ac:dyDescent="0.25"/>
    <row r="4144" ht="12.75" hidden="1" customHeight="1" x14ac:dyDescent="0.25"/>
    <row r="4145" ht="12.75" hidden="1" customHeight="1" x14ac:dyDescent="0.25"/>
    <row r="4146" ht="12.75" hidden="1" customHeight="1" x14ac:dyDescent="0.25"/>
    <row r="4147" ht="12.75" hidden="1" customHeight="1" x14ac:dyDescent="0.25"/>
    <row r="4148" ht="12.75" hidden="1" customHeight="1" x14ac:dyDescent="0.25"/>
    <row r="4149" ht="12.75" hidden="1" customHeight="1" x14ac:dyDescent="0.25"/>
    <row r="4150" ht="12.75" hidden="1" customHeight="1" x14ac:dyDescent="0.25"/>
    <row r="4151" ht="12.75" hidden="1" customHeight="1" x14ac:dyDescent="0.25"/>
    <row r="4152" ht="12.75" hidden="1" customHeight="1" x14ac:dyDescent="0.25"/>
    <row r="4153" ht="12.75" hidden="1" customHeight="1" x14ac:dyDescent="0.25"/>
    <row r="4154" ht="12.75" hidden="1" customHeight="1" x14ac:dyDescent="0.25"/>
    <row r="4155" ht="12.75" hidden="1" customHeight="1" x14ac:dyDescent="0.25"/>
    <row r="4156" ht="12.75" hidden="1" customHeight="1" x14ac:dyDescent="0.25"/>
    <row r="4157" ht="12.75" hidden="1" customHeight="1" x14ac:dyDescent="0.25"/>
    <row r="4158" ht="12.75" hidden="1" customHeight="1" x14ac:dyDescent="0.25"/>
    <row r="4159" ht="12.75" hidden="1" customHeight="1" x14ac:dyDescent="0.25"/>
    <row r="4160" ht="12.75" hidden="1" customHeight="1" x14ac:dyDescent="0.25"/>
    <row r="4161" ht="12.75" hidden="1" customHeight="1" x14ac:dyDescent="0.25"/>
    <row r="4162" ht="12.75" hidden="1" customHeight="1" x14ac:dyDescent="0.25"/>
    <row r="4163" ht="12.75" hidden="1" customHeight="1" x14ac:dyDescent="0.25"/>
    <row r="4164" ht="12.75" hidden="1" customHeight="1" x14ac:dyDescent="0.25"/>
    <row r="4165" ht="12.75" hidden="1" customHeight="1" x14ac:dyDescent="0.25"/>
    <row r="4166" ht="12.75" hidden="1" customHeight="1" x14ac:dyDescent="0.25"/>
    <row r="4167" ht="12.75" hidden="1" customHeight="1" x14ac:dyDescent="0.25"/>
    <row r="4168" ht="12.75" hidden="1" customHeight="1" x14ac:dyDescent="0.25"/>
    <row r="4169" ht="12.75" hidden="1" customHeight="1" x14ac:dyDescent="0.25"/>
    <row r="4170" ht="12.75" hidden="1" customHeight="1" x14ac:dyDescent="0.25"/>
    <row r="4171" ht="12.75" hidden="1" customHeight="1" x14ac:dyDescent="0.25"/>
    <row r="4172" ht="12.75" hidden="1" customHeight="1" x14ac:dyDescent="0.25"/>
    <row r="4173" ht="12.75" hidden="1" customHeight="1" x14ac:dyDescent="0.25"/>
    <row r="4174" ht="12.75" hidden="1" customHeight="1" x14ac:dyDescent="0.25"/>
    <row r="4175" ht="12.75" hidden="1" customHeight="1" x14ac:dyDescent="0.25"/>
    <row r="4176" ht="12.75" hidden="1" customHeight="1" x14ac:dyDescent="0.25"/>
    <row r="4177" ht="12.75" hidden="1" customHeight="1" x14ac:dyDescent="0.25"/>
    <row r="4178" ht="12.75" hidden="1" customHeight="1" x14ac:dyDescent="0.25"/>
    <row r="4179" ht="12.75" hidden="1" customHeight="1" x14ac:dyDescent="0.25"/>
    <row r="4180" ht="12.75" hidden="1" customHeight="1" x14ac:dyDescent="0.25"/>
    <row r="4181" ht="12.75" hidden="1" customHeight="1" x14ac:dyDescent="0.25"/>
    <row r="4182" ht="12.75" hidden="1" customHeight="1" x14ac:dyDescent="0.25"/>
    <row r="4183" ht="12.75" hidden="1" customHeight="1" x14ac:dyDescent="0.25"/>
    <row r="4184" ht="12.75" hidden="1" customHeight="1" x14ac:dyDescent="0.25"/>
    <row r="4185" ht="12.75" hidden="1" customHeight="1" x14ac:dyDescent="0.25"/>
    <row r="4186" ht="12.75" hidden="1" customHeight="1" x14ac:dyDescent="0.25"/>
    <row r="4187" ht="12.75" hidden="1" customHeight="1" x14ac:dyDescent="0.25"/>
    <row r="4188" ht="12.75" hidden="1" customHeight="1" x14ac:dyDescent="0.25"/>
    <row r="4189" ht="12.75" hidden="1" customHeight="1" x14ac:dyDescent="0.25"/>
    <row r="4190" ht="12.75" hidden="1" customHeight="1" x14ac:dyDescent="0.25"/>
    <row r="4191" ht="12.75" hidden="1" customHeight="1" x14ac:dyDescent="0.25"/>
    <row r="4192" ht="12.75" hidden="1" customHeight="1" x14ac:dyDescent="0.25"/>
    <row r="4193" ht="12.75" hidden="1" customHeight="1" x14ac:dyDescent="0.25"/>
    <row r="4194" ht="12.75" hidden="1" customHeight="1" x14ac:dyDescent="0.25"/>
    <row r="4195" ht="12.75" hidden="1" customHeight="1" x14ac:dyDescent="0.25"/>
    <row r="4196" ht="12.75" hidden="1" customHeight="1" x14ac:dyDescent="0.25"/>
    <row r="4197" ht="12.75" hidden="1" customHeight="1" x14ac:dyDescent="0.25"/>
    <row r="4198" ht="12.75" hidden="1" customHeight="1" x14ac:dyDescent="0.25"/>
    <row r="4199" ht="12.75" hidden="1" customHeight="1" x14ac:dyDescent="0.25"/>
    <row r="4200" ht="12.75" hidden="1" customHeight="1" x14ac:dyDescent="0.25"/>
    <row r="4201" ht="12.75" hidden="1" customHeight="1" x14ac:dyDescent="0.25"/>
    <row r="4202" ht="12.75" hidden="1" customHeight="1" x14ac:dyDescent="0.25"/>
    <row r="4203" ht="12.75" hidden="1" customHeight="1" x14ac:dyDescent="0.25"/>
    <row r="4204" ht="12.75" hidden="1" customHeight="1" x14ac:dyDescent="0.25"/>
    <row r="4205" ht="12.75" hidden="1" customHeight="1" x14ac:dyDescent="0.25"/>
    <row r="4206" ht="12.75" hidden="1" customHeight="1" x14ac:dyDescent="0.25"/>
    <row r="4207" ht="12.75" hidden="1" customHeight="1" x14ac:dyDescent="0.25"/>
    <row r="4208" ht="12.75" hidden="1" customHeight="1" x14ac:dyDescent="0.25"/>
    <row r="4209" ht="12.75" hidden="1" customHeight="1" x14ac:dyDescent="0.25"/>
    <row r="4210" ht="12.75" hidden="1" customHeight="1" x14ac:dyDescent="0.25"/>
    <row r="4211" ht="12.75" hidden="1" customHeight="1" x14ac:dyDescent="0.25"/>
    <row r="4212" ht="12.75" hidden="1" customHeight="1" x14ac:dyDescent="0.25"/>
    <row r="4213" ht="12.75" hidden="1" customHeight="1" x14ac:dyDescent="0.25"/>
    <row r="4214" ht="12.75" hidden="1" customHeight="1" x14ac:dyDescent="0.25"/>
    <row r="4215" ht="12.75" hidden="1" customHeight="1" x14ac:dyDescent="0.25"/>
    <row r="4216" ht="12.75" hidden="1" customHeight="1" x14ac:dyDescent="0.25"/>
    <row r="4217" ht="12.75" hidden="1" customHeight="1" x14ac:dyDescent="0.25"/>
    <row r="4218" ht="12.75" hidden="1" customHeight="1" x14ac:dyDescent="0.25"/>
    <row r="4219" ht="12.75" hidden="1" customHeight="1" x14ac:dyDescent="0.25"/>
    <row r="4220" ht="12.75" hidden="1" customHeight="1" x14ac:dyDescent="0.25"/>
    <row r="4221" ht="12.75" hidden="1" customHeight="1" x14ac:dyDescent="0.25"/>
    <row r="4222" ht="12.75" hidden="1" customHeight="1" x14ac:dyDescent="0.25"/>
    <row r="4223" ht="12.75" hidden="1" customHeight="1" x14ac:dyDescent="0.25"/>
    <row r="4224" ht="12.75" hidden="1" customHeight="1" x14ac:dyDescent="0.25"/>
    <row r="4225" ht="12.75" hidden="1" customHeight="1" x14ac:dyDescent="0.25"/>
    <row r="4226" ht="12.75" hidden="1" customHeight="1" x14ac:dyDescent="0.25"/>
    <row r="4227" ht="12.75" hidden="1" customHeight="1" x14ac:dyDescent="0.25"/>
    <row r="4228" ht="12.75" hidden="1" customHeight="1" x14ac:dyDescent="0.25"/>
    <row r="4229" ht="12.75" hidden="1" customHeight="1" x14ac:dyDescent="0.25"/>
    <row r="4230" ht="12.75" hidden="1" customHeight="1" x14ac:dyDescent="0.25"/>
    <row r="4231" ht="12.75" hidden="1" customHeight="1" x14ac:dyDescent="0.25"/>
    <row r="4232" ht="12.75" hidden="1" customHeight="1" x14ac:dyDescent="0.25"/>
    <row r="4233" ht="12.75" hidden="1" customHeight="1" x14ac:dyDescent="0.25"/>
    <row r="4234" ht="12.75" hidden="1" customHeight="1" x14ac:dyDescent="0.25"/>
    <row r="4235" ht="12.75" hidden="1" customHeight="1" x14ac:dyDescent="0.25"/>
    <row r="4236" ht="12.75" hidden="1" customHeight="1" x14ac:dyDescent="0.25"/>
    <row r="4237" ht="12.75" hidden="1" customHeight="1" x14ac:dyDescent="0.25"/>
    <row r="4238" ht="12.75" hidden="1" customHeight="1" x14ac:dyDescent="0.25"/>
    <row r="4239" ht="12.75" hidden="1" customHeight="1" x14ac:dyDescent="0.25"/>
    <row r="4240" ht="12.75" hidden="1" customHeight="1" x14ac:dyDescent="0.25"/>
    <row r="4241" ht="12.75" hidden="1" customHeight="1" x14ac:dyDescent="0.25"/>
    <row r="4242" ht="12.75" hidden="1" customHeight="1" x14ac:dyDescent="0.25"/>
    <row r="4243" ht="12.75" hidden="1" customHeight="1" x14ac:dyDescent="0.25"/>
    <row r="4244" ht="12.75" hidden="1" customHeight="1" x14ac:dyDescent="0.25"/>
    <row r="4245" ht="12.75" hidden="1" customHeight="1" x14ac:dyDescent="0.25"/>
    <row r="4246" ht="12.75" hidden="1" customHeight="1" x14ac:dyDescent="0.25"/>
    <row r="4247" ht="12.75" hidden="1" customHeight="1" x14ac:dyDescent="0.25"/>
    <row r="4248" ht="12.75" hidden="1" customHeight="1" x14ac:dyDescent="0.25"/>
    <row r="4249" ht="12.75" hidden="1" customHeight="1" x14ac:dyDescent="0.25"/>
    <row r="4250" ht="12.75" hidden="1" customHeight="1" x14ac:dyDescent="0.25"/>
    <row r="4251" ht="12.75" hidden="1" customHeight="1" x14ac:dyDescent="0.25"/>
    <row r="4252" ht="12.75" hidden="1" customHeight="1" x14ac:dyDescent="0.25"/>
    <row r="4253" ht="12.75" hidden="1" customHeight="1" x14ac:dyDescent="0.25"/>
    <row r="4254" ht="12.75" hidden="1" customHeight="1" x14ac:dyDescent="0.25"/>
    <row r="4255" ht="12.75" hidden="1" customHeight="1" x14ac:dyDescent="0.25"/>
    <row r="4256" ht="12.75" hidden="1" customHeight="1" x14ac:dyDescent="0.25"/>
    <row r="4257" ht="12.75" hidden="1" customHeight="1" x14ac:dyDescent="0.25"/>
    <row r="4258" ht="12.75" hidden="1" customHeight="1" x14ac:dyDescent="0.25"/>
    <row r="4259" ht="12.75" hidden="1" customHeight="1" x14ac:dyDescent="0.25"/>
    <row r="4260" ht="12.75" hidden="1" customHeight="1" x14ac:dyDescent="0.25"/>
    <row r="4261" ht="12.75" hidden="1" customHeight="1" x14ac:dyDescent="0.25"/>
    <row r="4262" ht="12.75" hidden="1" customHeight="1" x14ac:dyDescent="0.25"/>
    <row r="4263" ht="12.75" hidden="1" customHeight="1" x14ac:dyDescent="0.25"/>
    <row r="4264" ht="12.75" hidden="1" customHeight="1" x14ac:dyDescent="0.25"/>
    <row r="4265" ht="12.75" hidden="1" customHeight="1" x14ac:dyDescent="0.25"/>
    <row r="4266" ht="12.75" hidden="1" customHeight="1" x14ac:dyDescent="0.25"/>
    <row r="4267" ht="12.75" hidden="1" customHeight="1" x14ac:dyDescent="0.25"/>
    <row r="4268" ht="12.75" hidden="1" customHeight="1" x14ac:dyDescent="0.25"/>
    <row r="4269" ht="12.75" hidden="1" customHeight="1" x14ac:dyDescent="0.25"/>
    <row r="4270" ht="12.75" hidden="1" customHeight="1" x14ac:dyDescent="0.25"/>
    <row r="4271" ht="12.75" hidden="1" customHeight="1" x14ac:dyDescent="0.25"/>
    <row r="4272" ht="12.75" hidden="1" customHeight="1" x14ac:dyDescent="0.25"/>
    <row r="4273" ht="12.75" hidden="1" customHeight="1" x14ac:dyDescent="0.25"/>
    <row r="4274" ht="12.75" hidden="1" customHeight="1" x14ac:dyDescent="0.25"/>
    <row r="4275" ht="12.75" hidden="1" customHeight="1" x14ac:dyDescent="0.25"/>
    <row r="4276" ht="12.75" hidden="1" customHeight="1" x14ac:dyDescent="0.25"/>
    <row r="4277" ht="12.75" hidden="1" customHeight="1" x14ac:dyDescent="0.25"/>
    <row r="4278" ht="12.75" hidden="1" customHeight="1" x14ac:dyDescent="0.25"/>
    <row r="4279" ht="12.75" hidden="1" customHeight="1" x14ac:dyDescent="0.25"/>
    <row r="4280" ht="12.75" hidden="1" customHeight="1" x14ac:dyDescent="0.25"/>
    <row r="4281" ht="12.75" hidden="1" customHeight="1" x14ac:dyDescent="0.25"/>
    <row r="4282" ht="12.75" hidden="1" customHeight="1" x14ac:dyDescent="0.25"/>
    <row r="4283" ht="12.75" hidden="1" customHeight="1" x14ac:dyDescent="0.25"/>
    <row r="4284" ht="12.75" hidden="1" customHeight="1" x14ac:dyDescent="0.25"/>
    <row r="4285" ht="12.75" hidden="1" customHeight="1" x14ac:dyDescent="0.25"/>
    <row r="4286" ht="12.75" hidden="1" customHeight="1" x14ac:dyDescent="0.25"/>
    <row r="4287" ht="12.75" hidden="1" customHeight="1" x14ac:dyDescent="0.25"/>
    <row r="4288" ht="12.75" hidden="1" customHeight="1" x14ac:dyDescent="0.25"/>
    <row r="4289" ht="12.75" hidden="1" customHeight="1" x14ac:dyDescent="0.25"/>
    <row r="4290" ht="12.75" hidden="1" customHeight="1" x14ac:dyDescent="0.25"/>
    <row r="4291" ht="12.75" hidden="1" customHeight="1" x14ac:dyDescent="0.25"/>
    <row r="4292" ht="12.75" hidden="1" customHeight="1" x14ac:dyDescent="0.25"/>
    <row r="4293" ht="12.75" hidden="1" customHeight="1" x14ac:dyDescent="0.25"/>
    <row r="4294" ht="12.75" hidden="1" customHeight="1" x14ac:dyDescent="0.25"/>
    <row r="4295" ht="12.75" hidden="1" customHeight="1" x14ac:dyDescent="0.25"/>
    <row r="4296" ht="12.75" hidden="1" customHeight="1" x14ac:dyDescent="0.25"/>
    <row r="4297" ht="12.75" hidden="1" customHeight="1" x14ac:dyDescent="0.25"/>
    <row r="4298" ht="12.75" hidden="1" customHeight="1" x14ac:dyDescent="0.25"/>
    <row r="4299" ht="12.75" hidden="1" customHeight="1" x14ac:dyDescent="0.25"/>
    <row r="4300" ht="12.75" hidden="1" customHeight="1" x14ac:dyDescent="0.25"/>
    <row r="4301" ht="12.75" hidden="1" customHeight="1" x14ac:dyDescent="0.25"/>
    <row r="4302" ht="12.75" hidden="1" customHeight="1" x14ac:dyDescent="0.25"/>
    <row r="4303" ht="12.75" hidden="1" customHeight="1" x14ac:dyDescent="0.25"/>
    <row r="4304" ht="12.75" hidden="1" customHeight="1" x14ac:dyDescent="0.25"/>
    <row r="4305" ht="12.75" hidden="1" customHeight="1" x14ac:dyDescent="0.25"/>
    <row r="4306" ht="12.75" hidden="1" customHeight="1" x14ac:dyDescent="0.25"/>
    <row r="4307" ht="12.75" hidden="1" customHeight="1" x14ac:dyDescent="0.25"/>
    <row r="4308" ht="12.75" hidden="1" customHeight="1" x14ac:dyDescent="0.25"/>
    <row r="4309" ht="12.75" hidden="1" customHeight="1" x14ac:dyDescent="0.25"/>
    <row r="4310" ht="12.75" hidden="1" customHeight="1" x14ac:dyDescent="0.25"/>
    <row r="4311" ht="12.75" hidden="1" customHeight="1" x14ac:dyDescent="0.25"/>
    <row r="4312" ht="12.75" hidden="1" customHeight="1" x14ac:dyDescent="0.25"/>
    <row r="4313" ht="12.75" hidden="1" customHeight="1" x14ac:dyDescent="0.25"/>
    <row r="4314" ht="12.75" hidden="1" customHeight="1" x14ac:dyDescent="0.25"/>
    <row r="4315" ht="12.75" hidden="1" customHeight="1" x14ac:dyDescent="0.25"/>
    <row r="4316" ht="12.75" hidden="1" customHeight="1" x14ac:dyDescent="0.25"/>
    <row r="4317" ht="12.75" hidden="1" customHeight="1" x14ac:dyDescent="0.25"/>
    <row r="4318" ht="12.75" hidden="1" customHeight="1" x14ac:dyDescent="0.25"/>
    <row r="4319" ht="12.75" hidden="1" customHeight="1" x14ac:dyDescent="0.25"/>
    <row r="4320" ht="12.75" hidden="1" customHeight="1" x14ac:dyDescent="0.25"/>
    <row r="4321" ht="12.75" hidden="1" customHeight="1" x14ac:dyDescent="0.25"/>
    <row r="4322" ht="12.75" hidden="1" customHeight="1" x14ac:dyDescent="0.25"/>
    <row r="4323" ht="12.75" hidden="1" customHeight="1" x14ac:dyDescent="0.25"/>
    <row r="4324" ht="12.75" hidden="1" customHeight="1" x14ac:dyDescent="0.25"/>
    <row r="4325" ht="12.75" hidden="1" customHeight="1" x14ac:dyDescent="0.25"/>
    <row r="4326" ht="12.75" hidden="1" customHeight="1" x14ac:dyDescent="0.25"/>
    <row r="4327" ht="12.75" hidden="1" customHeight="1" x14ac:dyDescent="0.25"/>
    <row r="4328" ht="12.75" hidden="1" customHeight="1" x14ac:dyDescent="0.25"/>
    <row r="4329" ht="12.75" hidden="1" customHeight="1" x14ac:dyDescent="0.25"/>
    <row r="4330" ht="12.75" hidden="1" customHeight="1" x14ac:dyDescent="0.25"/>
    <row r="4331" ht="12.75" hidden="1" customHeight="1" x14ac:dyDescent="0.25"/>
    <row r="4332" ht="12.75" hidden="1" customHeight="1" x14ac:dyDescent="0.25"/>
    <row r="4333" ht="12.75" hidden="1" customHeight="1" x14ac:dyDescent="0.25"/>
    <row r="4334" ht="12.75" hidden="1" customHeight="1" x14ac:dyDescent="0.25"/>
    <row r="4335" ht="12.75" hidden="1" customHeight="1" x14ac:dyDescent="0.25"/>
    <row r="4336" ht="12.75" hidden="1" customHeight="1" x14ac:dyDescent="0.25"/>
    <row r="4337" ht="12.75" hidden="1" customHeight="1" x14ac:dyDescent="0.25"/>
    <row r="4338" ht="12.75" hidden="1" customHeight="1" x14ac:dyDescent="0.25"/>
    <row r="4339" ht="12.75" hidden="1" customHeight="1" x14ac:dyDescent="0.25"/>
    <row r="4340" ht="12.75" hidden="1" customHeight="1" x14ac:dyDescent="0.25"/>
    <row r="4341" ht="12.75" hidden="1" customHeight="1" x14ac:dyDescent="0.25"/>
    <row r="4342" ht="12.75" hidden="1" customHeight="1" x14ac:dyDescent="0.25"/>
    <row r="4343" ht="12.75" hidden="1" customHeight="1" x14ac:dyDescent="0.25"/>
    <row r="4344" ht="12.75" hidden="1" customHeight="1" x14ac:dyDescent="0.25"/>
    <row r="4345" ht="12.75" hidden="1" customHeight="1" x14ac:dyDescent="0.25"/>
    <row r="4346" ht="12.75" hidden="1" customHeight="1" x14ac:dyDescent="0.25"/>
    <row r="4347" ht="12.75" hidden="1" customHeight="1" x14ac:dyDescent="0.25"/>
    <row r="4348" ht="12.75" hidden="1" customHeight="1" x14ac:dyDescent="0.25"/>
    <row r="4349" ht="12.75" hidden="1" customHeight="1" x14ac:dyDescent="0.25"/>
    <row r="4350" ht="12.75" hidden="1" customHeight="1" x14ac:dyDescent="0.25"/>
    <row r="4351" ht="12.75" hidden="1" customHeight="1" x14ac:dyDescent="0.25"/>
    <row r="4352" ht="12.75" hidden="1" customHeight="1" x14ac:dyDescent="0.25"/>
    <row r="4353" ht="12.75" hidden="1" customHeight="1" x14ac:dyDescent="0.25"/>
    <row r="4354" ht="12.75" hidden="1" customHeight="1" x14ac:dyDescent="0.25"/>
    <row r="4355" ht="12.75" hidden="1" customHeight="1" x14ac:dyDescent="0.25"/>
    <row r="4356" ht="12.75" hidden="1" customHeight="1" x14ac:dyDescent="0.25"/>
    <row r="4357" ht="12.75" hidden="1" customHeight="1" x14ac:dyDescent="0.25"/>
    <row r="4358" ht="12.75" hidden="1" customHeight="1" x14ac:dyDescent="0.25"/>
    <row r="4359" ht="12.75" hidden="1" customHeight="1" x14ac:dyDescent="0.25"/>
    <row r="4360" ht="12.75" hidden="1" customHeight="1" x14ac:dyDescent="0.25"/>
    <row r="4361" ht="12.75" hidden="1" customHeight="1" x14ac:dyDescent="0.25"/>
    <row r="4362" ht="12.75" hidden="1" customHeight="1" x14ac:dyDescent="0.25"/>
    <row r="4363" ht="12.75" hidden="1" customHeight="1" x14ac:dyDescent="0.25"/>
    <row r="4364" ht="12.75" hidden="1" customHeight="1" x14ac:dyDescent="0.25"/>
    <row r="4365" ht="12.75" hidden="1" customHeight="1" x14ac:dyDescent="0.25"/>
    <row r="4366" ht="12.75" hidden="1" customHeight="1" x14ac:dyDescent="0.25"/>
    <row r="4367" ht="12.75" hidden="1" customHeight="1" x14ac:dyDescent="0.25"/>
    <row r="4368" ht="12.75" hidden="1" customHeight="1" x14ac:dyDescent="0.25"/>
    <row r="4369" ht="12.75" hidden="1" customHeight="1" x14ac:dyDescent="0.25"/>
    <row r="4370" ht="12.75" hidden="1" customHeight="1" x14ac:dyDescent="0.25"/>
    <row r="4371" ht="12.75" hidden="1" customHeight="1" x14ac:dyDescent="0.25"/>
    <row r="4372" ht="12.75" hidden="1" customHeight="1" x14ac:dyDescent="0.25"/>
    <row r="4373" ht="12.75" hidden="1" customHeight="1" x14ac:dyDescent="0.25"/>
    <row r="4374" ht="12.75" hidden="1" customHeight="1" x14ac:dyDescent="0.25"/>
    <row r="4375" ht="12.75" hidden="1" customHeight="1" x14ac:dyDescent="0.25"/>
    <row r="4376" ht="12.75" hidden="1" customHeight="1" x14ac:dyDescent="0.25"/>
    <row r="4377" ht="12.75" hidden="1" customHeight="1" x14ac:dyDescent="0.25"/>
    <row r="4378" ht="12.75" hidden="1" customHeight="1" x14ac:dyDescent="0.25"/>
    <row r="4379" ht="12.75" hidden="1" customHeight="1" x14ac:dyDescent="0.25"/>
    <row r="4380" ht="12.75" hidden="1" customHeight="1" x14ac:dyDescent="0.25"/>
    <row r="4381" ht="12.75" hidden="1" customHeight="1" x14ac:dyDescent="0.25"/>
    <row r="4382" ht="12.75" hidden="1" customHeight="1" x14ac:dyDescent="0.25"/>
    <row r="4383" ht="12.75" hidden="1" customHeight="1" x14ac:dyDescent="0.25"/>
    <row r="4384" ht="12.75" hidden="1" customHeight="1" x14ac:dyDescent="0.25"/>
    <row r="4385" ht="12.75" hidden="1" customHeight="1" x14ac:dyDescent="0.25"/>
    <row r="4386" ht="12.75" hidden="1" customHeight="1" x14ac:dyDescent="0.25"/>
    <row r="4387" ht="12.75" hidden="1" customHeight="1" x14ac:dyDescent="0.25"/>
    <row r="4388" ht="12.75" hidden="1" customHeight="1" x14ac:dyDescent="0.25"/>
    <row r="4389" ht="12.75" hidden="1" customHeight="1" x14ac:dyDescent="0.25"/>
    <row r="4390" ht="12.75" hidden="1" customHeight="1" x14ac:dyDescent="0.25"/>
    <row r="4391" ht="12.75" hidden="1" customHeight="1" x14ac:dyDescent="0.25"/>
    <row r="4392" ht="12.75" hidden="1" customHeight="1" x14ac:dyDescent="0.25"/>
    <row r="4393" ht="12.75" hidden="1" customHeight="1" x14ac:dyDescent="0.25"/>
    <row r="4394" ht="12.75" hidden="1" customHeight="1" x14ac:dyDescent="0.25"/>
    <row r="4395" ht="12.75" hidden="1" customHeight="1" x14ac:dyDescent="0.25"/>
    <row r="4396" ht="12.75" hidden="1" customHeight="1" x14ac:dyDescent="0.25"/>
    <row r="4397" ht="12.75" hidden="1" customHeight="1" x14ac:dyDescent="0.25"/>
    <row r="4398" ht="12.75" hidden="1" customHeight="1" x14ac:dyDescent="0.25"/>
    <row r="4399" ht="12.75" hidden="1" customHeight="1" x14ac:dyDescent="0.25"/>
    <row r="4400" ht="12.75" hidden="1" customHeight="1" x14ac:dyDescent="0.25"/>
    <row r="4401" ht="12.75" hidden="1" customHeight="1" x14ac:dyDescent="0.25"/>
    <row r="4402" ht="12.75" hidden="1" customHeight="1" x14ac:dyDescent="0.25"/>
    <row r="4403" ht="12.75" hidden="1" customHeight="1" x14ac:dyDescent="0.25"/>
    <row r="4404" ht="12.75" hidden="1" customHeight="1" x14ac:dyDescent="0.25"/>
    <row r="4405" ht="12.75" hidden="1" customHeight="1" x14ac:dyDescent="0.25"/>
    <row r="4406" ht="12.75" hidden="1" customHeight="1" x14ac:dyDescent="0.25"/>
    <row r="4407" ht="12.75" hidden="1" customHeight="1" x14ac:dyDescent="0.25"/>
    <row r="4408" ht="12.75" hidden="1" customHeight="1" x14ac:dyDescent="0.25"/>
    <row r="4409" ht="12.75" hidden="1" customHeight="1" x14ac:dyDescent="0.25"/>
    <row r="4410" ht="12.75" hidden="1" customHeight="1" x14ac:dyDescent="0.25"/>
    <row r="4411" ht="12.75" hidden="1" customHeight="1" x14ac:dyDescent="0.25"/>
    <row r="4412" ht="12.75" hidden="1" customHeight="1" x14ac:dyDescent="0.25"/>
    <row r="4413" ht="12.75" hidden="1" customHeight="1" x14ac:dyDescent="0.25"/>
    <row r="4414" ht="12.75" hidden="1" customHeight="1" x14ac:dyDescent="0.25"/>
    <row r="4415" ht="12.75" hidden="1" customHeight="1" x14ac:dyDescent="0.25"/>
    <row r="4416" ht="12.75" hidden="1" customHeight="1" x14ac:dyDescent="0.25"/>
    <row r="4417" ht="12.75" hidden="1" customHeight="1" x14ac:dyDescent="0.25"/>
    <row r="4418" ht="12.75" hidden="1" customHeight="1" x14ac:dyDescent="0.25"/>
    <row r="4419" ht="12.75" hidden="1" customHeight="1" x14ac:dyDescent="0.25"/>
    <row r="4420" ht="12.75" hidden="1" customHeight="1" x14ac:dyDescent="0.25"/>
    <row r="4421" ht="12.75" hidden="1" customHeight="1" x14ac:dyDescent="0.25"/>
    <row r="4422" ht="12.75" hidden="1" customHeight="1" x14ac:dyDescent="0.25"/>
    <row r="4423" ht="12.75" hidden="1" customHeight="1" x14ac:dyDescent="0.25"/>
    <row r="4424" ht="12.75" hidden="1" customHeight="1" x14ac:dyDescent="0.25"/>
    <row r="4425" ht="12.75" hidden="1" customHeight="1" x14ac:dyDescent="0.25"/>
    <row r="4426" ht="12.75" hidden="1" customHeight="1" x14ac:dyDescent="0.25"/>
    <row r="4427" ht="12.75" hidden="1" customHeight="1" x14ac:dyDescent="0.25"/>
    <row r="4428" ht="12.75" hidden="1" customHeight="1" x14ac:dyDescent="0.25"/>
    <row r="4429" ht="12.75" hidden="1" customHeight="1" x14ac:dyDescent="0.25"/>
    <row r="4430" ht="12.75" hidden="1" customHeight="1" x14ac:dyDescent="0.25"/>
    <row r="4431" ht="12.75" hidden="1" customHeight="1" x14ac:dyDescent="0.25"/>
    <row r="4432" ht="12.75" hidden="1" customHeight="1" x14ac:dyDescent="0.25"/>
    <row r="4433" ht="12.75" hidden="1" customHeight="1" x14ac:dyDescent="0.25"/>
    <row r="4434" ht="12.75" hidden="1" customHeight="1" x14ac:dyDescent="0.25"/>
    <row r="4435" ht="12.75" hidden="1" customHeight="1" x14ac:dyDescent="0.25"/>
    <row r="4436" ht="12.75" hidden="1" customHeight="1" x14ac:dyDescent="0.25"/>
    <row r="4437" ht="12.75" hidden="1" customHeight="1" x14ac:dyDescent="0.25"/>
    <row r="4438" ht="12.75" hidden="1" customHeight="1" x14ac:dyDescent="0.25"/>
    <row r="4439" ht="12.75" hidden="1" customHeight="1" x14ac:dyDescent="0.25"/>
    <row r="4440" ht="12.75" hidden="1" customHeight="1" x14ac:dyDescent="0.25"/>
    <row r="4441" ht="12.75" hidden="1" customHeight="1" x14ac:dyDescent="0.25"/>
    <row r="4442" ht="12.75" hidden="1" customHeight="1" x14ac:dyDescent="0.25"/>
    <row r="4443" ht="12.75" hidden="1" customHeight="1" x14ac:dyDescent="0.25"/>
    <row r="4444" ht="12.75" hidden="1" customHeight="1" x14ac:dyDescent="0.25"/>
    <row r="4445" ht="12.75" hidden="1" customHeight="1" x14ac:dyDescent="0.25"/>
    <row r="4446" ht="12.75" hidden="1" customHeight="1" x14ac:dyDescent="0.25"/>
    <row r="4447" ht="12.75" hidden="1" customHeight="1" x14ac:dyDescent="0.25"/>
    <row r="4448" ht="12.75" hidden="1" customHeight="1" x14ac:dyDescent="0.25"/>
    <row r="4449" ht="12.75" hidden="1" customHeight="1" x14ac:dyDescent="0.25"/>
    <row r="4450" ht="12.75" hidden="1" customHeight="1" x14ac:dyDescent="0.25"/>
    <row r="4451" ht="12.75" hidden="1" customHeight="1" x14ac:dyDescent="0.25"/>
    <row r="4452" ht="12.75" hidden="1" customHeight="1" x14ac:dyDescent="0.25"/>
    <row r="4453" ht="12.75" hidden="1" customHeight="1" x14ac:dyDescent="0.25"/>
    <row r="4454" ht="12.75" hidden="1" customHeight="1" x14ac:dyDescent="0.25"/>
    <row r="4455" ht="12.75" hidden="1" customHeight="1" x14ac:dyDescent="0.25"/>
    <row r="4456" ht="12.75" hidden="1" customHeight="1" x14ac:dyDescent="0.25"/>
    <row r="4457" ht="12.75" hidden="1" customHeight="1" x14ac:dyDescent="0.25"/>
    <row r="4458" ht="12.75" hidden="1" customHeight="1" x14ac:dyDescent="0.25"/>
    <row r="4459" ht="12.75" hidden="1" customHeight="1" x14ac:dyDescent="0.25"/>
    <row r="4460" ht="12.75" hidden="1" customHeight="1" x14ac:dyDescent="0.25"/>
    <row r="4461" ht="12.75" hidden="1" customHeight="1" x14ac:dyDescent="0.25"/>
    <row r="4462" ht="12.75" hidden="1" customHeight="1" x14ac:dyDescent="0.25"/>
    <row r="4463" ht="12.75" hidden="1" customHeight="1" x14ac:dyDescent="0.25"/>
    <row r="4464" ht="12.75" hidden="1" customHeight="1" x14ac:dyDescent="0.25"/>
    <row r="4465" ht="12.75" hidden="1" customHeight="1" x14ac:dyDescent="0.25"/>
    <row r="4466" ht="12.75" hidden="1" customHeight="1" x14ac:dyDescent="0.25"/>
    <row r="4467" ht="12.75" hidden="1" customHeight="1" x14ac:dyDescent="0.25"/>
    <row r="4468" ht="12.75" hidden="1" customHeight="1" x14ac:dyDescent="0.25"/>
    <row r="4469" ht="12.75" hidden="1" customHeight="1" x14ac:dyDescent="0.25"/>
    <row r="4470" ht="12.75" hidden="1" customHeight="1" x14ac:dyDescent="0.25"/>
    <row r="4471" ht="12.75" hidden="1" customHeight="1" x14ac:dyDescent="0.25"/>
    <row r="4472" ht="12.75" hidden="1" customHeight="1" x14ac:dyDescent="0.25"/>
    <row r="4473" ht="12.75" hidden="1" customHeight="1" x14ac:dyDescent="0.25"/>
    <row r="4474" ht="12.75" hidden="1" customHeight="1" x14ac:dyDescent="0.25"/>
    <row r="4475" ht="12.75" hidden="1" customHeight="1" x14ac:dyDescent="0.25"/>
    <row r="4476" ht="12.75" hidden="1" customHeight="1" x14ac:dyDescent="0.25"/>
    <row r="4477" ht="12.75" hidden="1" customHeight="1" x14ac:dyDescent="0.25"/>
    <row r="4478" ht="12.75" hidden="1" customHeight="1" x14ac:dyDescent="0.25"/>
    <row r="4479" ht="12.75" hidden="1" customHeight="1" x14ac:dyDescent="0.25"/>
    <row r="4480" ht="12.75" hidden="1" customHeight="1" x14ac:dyDescent="0.25"/>
    <row r="4481" ht="12.75" hidden="1" customHeight="1" x14ac:dyDescent="0.25"/>
    <row r="4482" ht="12.75" hidden="1" customHeight="1" x14ac:dyDescent="0.25"/>
    <row r="4483" ht="12.75" hidden="1" customHeight="1" x14ac:dyDescent="0.25"/>
    <row r="4484" ht="12.75" hidden="1" customHeight="1" x14ac:dyDescent="0.25"/>
    <row r="4485" ht="12.75" hidden="1" customHeight="1" x14ac:dyDescent="0.25"/>
    <row r="4486" ht="12.75" hidden="1" customHeight="1" x14ac:dyDescent="0.25"/>
    <row r="4487" ht="12.75" hidden="1" customHeight="1" x14ac:dyDescent="0.25"/>
    <row r="4488" ht="12.75" hidden="1" customHeight="1" x14ac:dyDescent="0.25"/>
    <row r="4489" ht="12.75" hidden="1" customHeight="1" x14ac:dyDescent="0.25"/>
    <row r="4490" ht="12.75" hidden="1" customHeight="1" x14ac:dyDescent="0.25"/>
    <row r="4491" ht="12.75" hidden="1" customHeight="1" x14ac:dyDescent="0.25"/>
    <row r="4492" ht="12.75" hidden="1" customHeight="1" x14ac:dyDescent="0.25"/>
    <row r="4493" ht="12.75" hidden="1" customHeight="1" x14ac:dyDescent="0.25"/>
    <row r="4494" ht="12.75" hidden="1" customHeight="1" x14ac:dyDescent="0.25"/>
    <row r="4495" ht="12.75" hidden="1" customHeight="1" x14ac:dyDescent="0.25"/>
    <row r="4496" ht="12.75" hidden="1" customHeight="1" x14ac:dyDescent="0.25"/>
    <row r="4497" ht="12.75" hidden="1" customHeight="1" x14ac:dyDescent="0.25"/>
    <row r="4498" ht="12.75" hidden="1" customHeight="1" x14ac:dyDescent="0.25"/>
    <row r="4499" ht="12.75" hidden="1" customHeight="1" x14ac:dyDescent="0.25"/>
    <row r="4500" ht="12.75" hidden="1" customHeight="1" x14ac:dyDescent="0.25"/>
    <row r="4501" ht="12.75" hidden="1" customHeight="1" x14ac:dyDescent="0.25"/>
    <row r="4502" ht="12.75" hidden="1" customHeight="1" x14ac:dyDescent="0.25"/>
    <row r="4503" ht="12.75" hidden="1" customHeight="1" x14ac:dyDescent="0.25"/>
    <row r="4504" ht="12.75" hidden="1" customHeight="1" x14ac:dyDescent="0.25"/>
    <row r="4505" ht="12.75" hidden="1" customHeight="1" x14ac:dyDescent="0.25"/>
    <row r="4506" ht="12.75" hidden="1" customHeight="1" x14ac:dyDescent="0.25"/>
    <row r="4507" ht="12.75" hidden="1" customHeight="1" x14ac:dyDescent="0.25"/>
    <row r="4508" ht="12.75" hidden="1" customHeight="1" x14ac:dyDescent="0.25"/>
    <row r="4509" ht="12.75" hidden="1" customHeight="1" x14ac:dyDescent="0.25"/>
    <row r="4510" ht="12.75" hidden="1" customHeight="1" x14ac:dyDescent="0.25"/>
    <row r="4511" ht="12.75" hidden="1" customHeight="1" x14ac:dyDescent="0.25"/>
    <row r="4512" ht="12.75" hidden="1" customHeight="1" x14ac:dyDescent="0.25"/>
    <row r="4513" ht="12.75" hidden="1" customHeight="1" x14ac:dyDescent="0.25"/>
    <row r="4514" ht="12.75" hidden="1" customHeight="1" x14ac:dyDescent="0.25"/>
    <row r="4515" ht="12.75" hidden="1" customHeight="1" x14ac:dyDescent="0.25"/>
    <row r="4516" ht="12.75" hidden="1" customHeight="1" x14ac:dyDescent="0.25"/>
    <row r="4517" ht="12.75" hidden="1" customHeight="1" x14ac:dyDescent="0.25"/>
    <row r="4518" ht="12.75" hidden="1" customHeight="1" x14ac:dyDescent="0.25"/>
    <row r="4519" ht="12.75" hidden="1" customHeight="1" x14ac:dyDescent="0.25"/>
    <row r="4520" ht="12.75" hidden="1" customHeight="1" x14ac:dyDescent="0.25"/>
    <row r="4521" ht="12.75" hidden="1" customHeight="1" x14ac:dyDescent="0.25"/>
    <row r="4522" ht="12.75" hidden="1" customHeight="1" x14ac:dyDescent="0.25"/>
    <row r="4523" ht="12.75" hidden="1" customHeight="1" x14ac:dyDescent="0.25"/>
    <row r="4524" ht="12.75" hidden="1" customHeight="1" x14ac:dyDescent="0.25"/>
    <row r="4525" ht="12.75" hidden="1" customHeight="1" x14ac:dyDescent="0.25"/>
    <row r="4526" ht="12.75" hidden="1" customHeight="1" x14ac:dyDescent="0.25"/>
    <row r="4527" ht="12.75" hidden="1" customHeight="1" x14ac:dyDescent="0.25"/>
    <row r="4528" ht="12.75" hidden="1" customHeight="1" x14ac:dyDescent="0.25"/>
    <row r="4529" ht="12.75" hidden="1" customHeight="1" x14ac:dyDescent="0.25"/>
    <row r="4530" ht="12.75" hidden="1" customHeight="1" x14ac:dyDescent="0.25"/>
    <row r="4531" ht="12.75" hidden="1" customHeight="1" x14ac:dyDescent="0.25"/>
    <row r="4532" ht="12.75" hidden="1" customHeight="1" x14ac:dyDescent="0.25"/>
    <row r="4533" ht="12.75" hidden="1" customHeight="1" x14ac:dyDescent="0.25"/>
    <row r="4534" ht="12.75" hidden="1" customHeight="1" x14ac:dyDescent="0.25"/>
    <row r="4535" ht="12.75" hidden="1" customHeight="1" x14ac:dyDescent="0.25"/>
    <row r="4536" ht="12.75" hidden="1" customHeight="1" x14ac:dyDescent="0.25"/>
    <row r="4537" ht="12.75" hidden="1" customHeight="1" x14ac:dyDescent="0.25"/>
    <row r="4538" ht="12.75" hidden="1" customHeight="1" x14ac:dyDescent="0.25"/>
    <row r="4539" ht="12.75" hidden="1" customHeight="1" x14ac:dyDescent="0.25"/>
    <row r="4540" ht="12.75" hidden="1" customHeight="1" x14ac:dyDescent="0.25"/>
    <row r="4541" ht="12.75" hidden="1" customHeight="1" x14ac:dyDescent="0.25"/>
    <row r="4542" ht="12.75" hidden="1" customHeight="1" x14ac:dyDescent="0.25"/>
    <row r="4543" ht="12.75" hidden="1" customHeight="1" x14ac:dyDescent="0.25"/>
    <row r="4544" ht="12.75" hidden="1" customHeight="1" x14ac:dyDescent="0.25"/>
    <row r="4545" ht="12.75" hidden="1" customHeight="1" x14ac:dyDescent="0.25"/>
    <row r="4546" ht="12.75" hidden="1" customHeight="1" x14ac:dyDescent="0.25"/>
    <row r="4547" ht="12.75" hidden="1" customHeight="1" x14ac:dyDescent="0.25"/>
    <row r="4548" ht="12.75" hidden="1" customHeight="1" x14ac:dyDescent="0.25"/>
    <row r="4549" ht="12.75" hidden="1" customHeight="1" x14ac:dyDescent="0.25"/>
    <row r="4550" ht="12.75" hidden="1" customHeight="1" x14ac:dyDescent="0.25"/>
    <row r="4551" ht="12.75" hidden="1" customHeight="1" x14ac:dyDescent="0.25"/>
    <row r="4552" ht="12.75" hidden="1" customHeight="1" x14ac:dyDescent="0.25"/>
    <row r="4553" ht="12.75" hidden="1" customHeight="1" x14ac:dyDescent="0.25"/>
    <row r="4554" ht="12.75" hidden="1" customHeight="1" x14ac:dyDescent="0.25"/>
    <row r="4555" ht="12.75" hidden="1" customHeight="1" x14ac:dyDescent="0.25"/>
    <row r="4556" ht="12.75" hidden="1" customHeight="1" x14ac:dyDescent="0.25"/>
    <row r="4557" ht="12.75" hidden="1" customHeight="1" x14ac:dyDescent="0.25"/>
    <row r="4558" ht="12.75" hidden="1" customHeight="1" x14ac:dyDescent="0.25"/>
    <row r="4559" ht="12.75" hidden="1" customHeight="1" x14ac:dyDescent="0.25"/>
    <row r="4560" ht="12.75" hidden="1" customHeight="1" x14ac:dyDescent="0.25"/>
    <row r="4561" ht="12.75" hidden="1" customHeight="1" x14ac:dyDescent="0.25"/>
    <row r="4562" ht="12.75" hidden="1" customHeight="1" x14ac:dyDescent="0.25"/>
    <row r="4563" ht="12.75" hidden="1" customHeight="1" x14ac:dyDescent="0.25"/>
    <row r="4564" ht="12.75" hidden="1" customHeight="1" x14ac:dyDescent="0.25"/>
    <row r="4565" ht="12.75" hidden="1" customHeight="1" x14ac:dyDescent="0.25"/>
    <row r="4566" ht="12.75" hidden="1" customHeight="1" x14ac:dyDescent="0.25"/>
    <row r="4567" ht="12.75" hidden="1" customHeight="1" x14ac:dyDescent="0.25"/>
    <row r="4568" ht="12.75" hidden="1" customHeight="1" x14ac:dyDescent="0.25"/>
    <row r="4569" ht="12.75" hidden="1" customHeight="1" x14ac:dyDescent="0.25"/>
    <row r="4570" ht="12.75" hidden="1" customHeight="1" x14ac:dyDescent="0.25"/>
    <row r="4571" ht="12.75" hidden="1" customHeight="1" x14ac:dyDescent="0.25"/>
    <row r="4572" ht="12.75" hidden="1" customHeight="1" x14ac:dyDescent="0.25"/>
    <row r="4573" ht="12.75" hidden="1" customHeight="1" x14ac:dyDescent="0.25"/>
    <row r="4574" ht="12.75" hidden="1" customHeight="1" x14ac:dyDescent="0.25"/>
    <row r="4575" ht="12.75" hidden="1" customHeight="1" x14ac:dyDescent="0.25"/>
    <row r="4576" ht="12.75" hidden="1" customHeight="1" x14ac:dyDescent="0.25"/>
    <row r="4577" ht="12.75" hidden="1" customHeight="1" x14ac:dyDescent="0.25"/>
    <row r="4578" ht="12.75" hidden="1" customHeight="1" x14ac:dyDescent="0.25"/>
    <row r="4579" ht="12.75" hidden="1" customHeight="1" x14ac:dyDescent="0.25"/>
    <row r="4580" ht="12.75" hidden="1" customHeight="1" x14ac:dyDescent="0.25"/>
    <row r="4581" ht="12.75" hidden="1" customHeight="1" x14ac:dyDescent="0.25"/>
    <row r="4582" ht="12.75" hidden="1" customHeight="1" x14ac:dyDescent="0.25"/>
    <row r="4583" ht="12.75" hidden="1" customHeight="1" x14ac:dyDescent="0.25"/>
    <row r="4584" ht="12.75" hidden="1" customHeight="1" x14ac:dyDescent="0.25"/>
    <row r="4585" ht="12.75" hidden="1" customHeight="1" x14ac:dyDescent="0.25"/>
    <row r="4586" ht="12.75" hidden="1" customHeight="1" x14ac:dyDescent="0.25"/>
    <row r="4587" ht="12.75" hidden="1" customHeight="1" x14ac:dyDescent="0.25"/>
    <row r="4588" ht="12.75" hidden="1" customHeight="1" x14ac:dyDescent="0.25"/>
    <row r="4589" ht="12.75" hidden="1" customHeight="1" x14ac:dyDescent="0.25"/>
    <row r="4590" ht="12.75" hidden="1" customHeight="1" x14ac:dyDescent="0.25"/>
    <row r="4591" ht="12.75" hidden="1" customHeight="1" x14ac:dyDescent="0.25"/>
    <row r="4592" ht="12.75" hidden="1" customHeight="1" x14ac:dyDescent="0.25"/>
    <row r="4593" ht="12.75" hidden="1" customHeight="1" x14ac:dyDescent="0.25"/>
    <row r="4594" ht="12.75" hidden="1" customHeight="1" x14ac:dyDescent="0.25"/>
    <row r="4595" ht="12.75" hidden="1" customHeight="1" x14ac:dyDescent="0.25"/>
    <row r="4596" ht="12.75" hidden="1" customHeight="1" x14ac:dyDescent="0.25"/>
    <row r="4597" ht="12.75" hidden="1" customHeight="1" x14ac:dyDescent="0.25"/>
    <row r="4598" ht="12.75" hidden="1" customHeight="1" x14ac:dyDescent="0.25"/>
    <row r="4599" ht="12.75" hidden="1" customHeight="1" x14ac:dyDescent="0.25"/>
    <row r="4600" ht="12.75" hidden="1" customHeight="1" x14ac:dyDescent="0.25"/>
    <row r="4601" ht="12.75" hidden="1" customHeight="1" x14ac:dyDescent="0.25"/>
    <row r="4602" ht="12.75" hidden="1" customHeight="1" x14ac:dyDescent="0.25"/>
    <row r="4603" ht="12.75" hidden="1" customHeight="1" x14ac:dyDescent="0.25"/>
    <row r="4604" ht="12.75" hidden="1" customHeight="1" x14ac:dyDescent="0.25"/>
    <row r="4605" ht="12.75" hidden="1" customHeight="1" x14ac:dyDescent="0.25"/>
    <row r="4606" ht="12.75" hidden="1" customHeight="1" x14ac:dyDescent="0.25"/>
    <row r="4607" ht="12.75" hidden="1" customHeight="1" x14ac:dyDescent="0.25"/>
    <row r="4608" ht="12.75" hidden="1" customHeight="1" x14ac:dyDescent="0.25"/>
    <row r="4609" ht="12.75" hidden="1" customHeight="1" x14ac:dyDescent="0.25"/>
    <row r="4610" ht="12.75" hidden="1" customHeight="1" x14ac:dyDescent="0.25"/>
    <row r="4611" ht="12.75" hidden="1" customHeight="1" x14ac:dyDescent="0.25"/>
    <row r="4612" ht="12.75" hidden="1" customHeight="1" x14ac:dyDescent="0.25"/>
    <row r="4613" ht="12.75" hidden="1" customHeight="1" x14ac:dyDescent="0.25"/>
    <row r="4614" ht="12.75" hidden="1" customHeight="1" x14ac:dyDescent="0.25"/>
    <row r="4615" ht="12.75" hidden="1" customHeight="1" x14ac:dyDescent="0.25"/>
    <row r="4616" ht="12.75" hidden="1" customHeight="1" x14ac:dyDescent="0.25"/>
    <row r="4617" ht="12.75" hidden="1" customHeight="1" x14ac:dyDescent="0.25"/>
    <row r="4618" ht="12.75" hidden="1" customHeight="1" x14ac:dyDescent="0.25"/>
    <row r="4619" ht="12.75" hidden="1" customHeight="1" x14ac:dyDescent="0.25"/>
    <row r="4620" ht="12.75" hidden="1" customHeight="1" x14ac:dyDescent="0.25"/>
    <row r="4621" ht="12.75" hidden="1" customHeight="1" x14ac:dyDescent="0.25"/>
    <row r="4622" ht="12.75" hidden="1" customHeight="1" x14ac:dyDescent="0.25"/>
    <row r="4623" ht="12.75" hidden="1" customHeight="1" x14ac:dyDescent="0.25"/>
    <row r="4624" ht="12.75" hidden="1" customHeight="1" x14ac:dyDescent="0.25"/>
    <row r="4625" ht="12.75" hidden="1" customHeight="1" x14ac:dyDescent="0.25"/>
    <row r="4626" ht="12.75" hidden="1" customHeight="1" x14ac:dyDescent="0.25"/>
    <row r="4627" ht="12.75" hidden="1" customHeight="1" x14ac:dyDescent="0.25"/>
    <row r="4628" ht="12.75" hidden="1" customHeight="1" x14ac:dyDescent="0.25"/>
    <row r="4629" ht="12.75" hidden="1" customHeight="1" x14ac:dyDescent="0.25"/>
    <row r="4630" ht="12.75" hidden="1" customHeight="1" x14ac:dyDescent="0.25"/>
    <row r="4631" ht="12.75" hidden="1" customHeight="1" x14ac:dyDescent="0.25"/>
    <row r="4632" ht="12.75" hidden="1" customHeight="1" x14ac:dyDescent="0.25"/>
    <row r="4633" ht="12.75" hidden="1" customHeight="1" x14ac:dyDescent="0.25"/>
    <row r="4634" ht="12.75" hidden="1" customHeight="1" x14ac:dyDescent="0.25"/>
    <row r="4635" ht="12.75" hidden="1" customHeight="1" x14ac:dyDescent="0.25"/>
    <row r="4636" ht="12.75" hidden="1" customHeight="1" x14ac:dyDescent="0.25"/>
    <row r="4637" ht="12.75" hidden="1" customHeight="1" x14ac:dyDescent="0.25"/>
    <row r="4638" ht="12.75" hidden="1" customHeight="1" x14ac:dyDescent="0.25"/>
    <row r="4639" ht="12.75" hidden="1" customHeight="1" x14ac:dyDescent="0.25"/>
    <row r="4640" ht="12.75" hidden="1" customHeight="1" x14ac:dyDescent="0.25"/>
    <row r="4641" ht="12.75" hidden="1" customHeight="1" x14ac:dyDescent="0.25"/>
    <row r="4642" ht="12.75" hidden="1" customHeight="1" x14ac:dyDescent="0.25"/>
    <row r="4643" ht="12.75" hidden="1" customHeight="1" x14ac:dyDescent="0.25"/>
    <row r="4644" ht="12.75" hidden="1" customHeight="1" x14ac:dyDescent="0.25"/>
    <row r="4645" ht="12.75" hidden="1" customHeight="1" x14ac:dyDescent="0.25"/>
    <row r="4646" ht="12.75" hidden="1" customHeight="1" x14ac:dyDescent="0.25"/>
    <row r="4647" ht="12.75" hidden="1" customHeight="1" x14ac:dyDescent="0.25"/>
    <row r="4648" ht="12.75" hidden="1" customHeight="1" x14ac:dyDescent="0.25"/>
    <row r="4649" ht="12.75" hidden="1" customHeight="1" x14ac:dyDescent="0.25"/>
    <row r="4650" ht="12.75" hidden="1" customHeight="1" x14ac:dyDescent="0.25"/>
    <row r="4651" ht="12.75" hidden="1" customHeight="1" x14ac:dyDescent="0.25"/>
    <row r="4652" ht="12.75" hidden="1" customHeight="1" x14ac:dyDescent="0.25"/>
    <row r="4653" ht="12.75" hidden="1" customHeight="1" x14ac:dyDescent="0.25"/>
    <row r="4654" ht="12.75" hidden="1" customHeight="1" x14ac:dyDescent="0.25"/>
    <row r="4655" ht="12.75" hidden="1" customHeight="1" x14ac:dyDescent="0.25"/>
    <row r="4656" ht="12.75" hidden="1" customHeight="1" x14ac:dyDescent="0.25"/>
    <row r="4657" ht="12.75" hidden="1" customHeight="1" x14ac:dyDescent="0.25"/>
    <row r="4658" ht="12.75" hidden="1" customHeight="1" x14ac:dyDescent="0.25"/>
    <row r="4659" ht="12.75" hidden="1" customHeight="1" x14ac:dyDescent="0.25"/>
    <row r="4660" ht="12.75" hidden="1" customHeight="1" x14ac:dyDescent="0.25"/>
    <row r="4661" ht="12.75" hidden="1" customHeight="1" x14ac:dyDescent="0.25"/>
    <row r="4662" ht="12.75" hidden="1" customHeight="1" x14ac:dyDescent="0.25"/>
    <row r="4663" ht="12.75" hidden="1" customHeight="1" x14ac:dyDescent="0.25"/>
    <row r="4664" ht="12.75" hidden="1" customHeight="1" x14ac:dyDescent="0.25"/>
    <row r="4665" ht="12.75" hidden="1" customHeight="1" x14ac:dyDescent="0.25"/>
    <row r="4666" ht="12.75" hidden="1" customHeight="1" x14ac:dyDescent="0.25"/>
    <row r="4667" ht="12.75" hidden="1" customHeight="1" x14ac:dyDescent="0.25"/>
    <row r="4668" ht="12.75" hidden="1" customHeight="1" x14ac:dyDescent="0.25"/>
    <row r="4669" ht="12.75" hidden="1" customHeight="1" x14ac:dyDescent="0.25"/>
    <row r="4670" ht="12.75" hidden="1" customHeight="1" x14ac:dyDescent="0.25"/>
    <row r="4671" ht="12.75" hidden="1" customHeight="1" x14ac:dyDescent="0.25"/>
    <row r="4672" ht="12.75" hidden="1" customHeight="1" x14ac:dyDescent="0.25"/>
    <row r="4673" ht="12.75" hidden="1" customHeight="1" x14ac:dyDescent="0.25"/>
    <row r="4674" ht="12.75" hidden="1" customHeight="1" x14ac:dyDescent="0.25"/>
    <row r="4675" ht="12.75" hidden="1" customHeight="1" x14ac:dyDescent="0.25"/>
    <row r="4676" ht="12.75" hidden="1" customHeight="1" x14ac:dyDescent="0.25"/>
    <row r="4677" ht="12.75" hidden="1" customHeight="1" x14ac:dyDescent="0.25"/>
    <row r="4678" ht="12.75" hidden="1" customHeight="1" x14ac:dyDescent="0.25"/>
    <row r="4679" ht="12.75" hidden="1" customHeight="1" x14ac:dyDescent="0.25"/>
    <row r="4680" ht="12.75" hidden="1" customHeight="1" x14ac:dyDescent="0.25"/>
    <row r="4681" ht="12.75" hidden="1" customHeight="1" x14ac:dyDescent="0.25"/>
    <row r="4682" ht="12.75" hidden="1" customHeight="1" x14ac:dyDescent="0.25"/>
    <row r="4683" ht="12.75" hidden="1" customHeight="1" x14ac:dyDescent="0.25"/>
    <row r="4684" ht="12.75" hidden="1" customHeight="1" x14ac:dyDescent="0.25"/>
    <row r="4685" ht="12.75" hidden="1" customHeight="1" x14ac:dyDescent="0.25"/>
    <row r="4686" ht="12.75" hidden="1" customHeight="1" x14ac:dyDescent="0.25"/>
    <row r="4687" ht="12.75" hidden="1" customHeight="1" x14ac:dyDescent="0.25"/>
    <row r="4688" ht="12.75" hidden="1" customHeight="1" x14ac:dyDescent="0.25"/>
    <row r="4689" ht="12.75" hidden="1" customHeight="1" x14ac:dyDescent="0.25"/>
    <row r="4690" ht="12.75" hidden="1" customHeight="1" x14ac:dyDescent="0.25"/>
    <row r="4691" ht="12.75" hidden="1" customHeight="1" x14ac:dyDescent="0.25"/>
    <row r="4692" ht="12.75" hidden="1" customHeight="1" x14ac:dyDescent="0.25"/>
    <row r="4693" ht="12.75" hidden="1" customHeight="1" x14ac:dyDescent="0.25"/>
    <row r="4694" ht="12.75" hidden="1" customHeight="1" x14ac:dyDescent="0.25"/>
    <row r="4695" ht="12.75" hidden="1" customHeight="1" x14ac:dyDescent="0.25"/>
    <row r="4696" ht="12.75" hidden="1" customHeight="1" x14ac:dyDescent="0.25"/>
    <row r="4697" ht="12.75" hidden="1" customHeight="1" x14ac:dyDescent="0.25"/>
    <row r="4698" ht="12.75" hidden="1" customHeight="1" x14ac:dyDescent="0.25"/>
    <row r="4699" ht="12.75" hidden="1" customHeight="1" x14ac:dyDescent="0.25"/>
    <row r="4700" ht="12.75" hidden="1" customHeight="1" x14ac:dyDescent="0.25"/>
    <row r="4701" ht="12.75" hidden="1" customHeight="1" x14ac:dyDescent="0.25"/>
    <row r="4702" ht="12.75" hidden="1" customHeight="1" x14ac:dyDescent="0.25"/>
    <row r="4703" ht="12.75" hidden="1" customHeight="1" x14ac:dyDescent="0.25"/>
    <row r="4704" ht="12.75" hidden="1" customHeight="1" x14ac:dyDescent="0.25"/>
    <row r="4705" ht="12.75" hidden="1" customHeight="1" x14ac:dyDescent="0.25"/>
    <row r="4706" ht="12.75" hidden="1" customHeight="1" x14ac:dyDescent="0.25"/>
    <row r="4707" ht="12.75" hidden="1" customHeight="1" x14ac:dyDescent="0.25"/>
    <row r="4708" ht="12.75" hidden="1" customHeight="1" x14ac:dyDescent="0.25"/>
    <row r="4709" ht="12.75" hidden="1" customHeight="1" x14ac:dyDescent="0.25"/>
    <row r="4710" ht="12.75" hidden="1" customHeight="1" x14ac:dyDescent="0.25"/>
    <row r="4711" ht="12.75" hidden="1" customHeight="1" x14ac:dyDescent="0.25"/>
    <row r="4712" ht="12.75" hidden="1" customHeight="1" x14ac:dyDescent="0.25"/>
    <row r="4713" ht="12.75" hidden="1" customHeight="1" x14ac:dyDescent="0.25"/>
    <row r="4714" ht="12.75" hidden="1" customHeight="1" x14ac:dyDescent="0.25"/>
    <row r="4715" ht="12.75" hidden="1" customHeight="1" x14ac:dyDescent="0.25"/>
    <row r="4716" ht="12.75" hidden="1" customHeight="1" x14ac:dyDescent="0.25"/>
    <row r="4717" ht="12.75" hidden="1" customHeight="1" x14ac:dyDescent="0.25"/>
    <row r="4718" ht="12.75" hidden="1" customHeight="1" x14ac:dyDescent="0.25"/>
    <row r="4719" ht="12.75" hidden="1" customHeight="1" x14ac:dyDescent="0.25"/>
    <row r="4720" ht="12.75" hidden="1" customHeight="1" x14ac:dyDescent="0.25"/>
    <row r="4721" ht="12.75" hidden="1" customHeight="1" x14ac:dyDescent="0.25"/>
    <row r="4722" ht="12.75" hidden="1" customHeight="1" x14ac:dyDescent="0.25"/>
    <row r="4723" ht="12.75" hidden="1" customHeight="1" x14ac:dyDescent="0.25"/>
    <row r="4724" ht="12.75" hidden="1" customHeight="1" x14ac:dyDescent="0.25"/>
    <row r="4725" ht="12.75" hidden="1" customHeight="1" x14ac:dyDescent="0.25"/>
    <row r="4726" ht="12.75" hidden="1" customHeight="1" x14ac:dyDescent="0.25"/>
    <row r="4727" ht="12.75" hidden="1" customHeight="1" x14ac:dyDescent="0.25"/>
    <row r="4728" ht="12.75" hidden="1" customHeight="1" x14ac:dyDescent="0.25"/>
    <row r="4729" ht="12.75" hidden="1" customHeight="1" x14ac:dyDescent="0.25"/>
    <row r="4730" ht="12.75" hidden="1" customHeight="1" x14ac:dyDescent="0.25"/>
    <row r="4731" ht="12.75" hidden="1" customHeight="1" x14ac:dyDescent="0.25"/>
    <row r="4732" ht="12.75" hidden="1" customHeight="1" x14ac:dyDescent="0.25"/>
    <row r="4733" ht="12.75" hidden="1" customHeight="1" x14ac:dyDescent="0.25"/>
    <row r="4734" ht="12.75" hidden="1" customHeight="1" x14ac:dyDescent="0.25"/>
    <row r="4735" ht="12.75" hidden="1" customHeight="1" x14ac:dyDescent="0.25"/>
    <row r="4736" ht="12.75" hidden="1" customHeight="1" x14ac:dyDescent="0.25"/>
    <row r="4737" ht="12.75" hidden="1" customHeight="1" x14ac:dyDescent="0.25"/>
    <row r="4738" ht="12.75" hidden="1" customHeight="1" x14ac:dyDescent="0.25"/>
    <row r="4739" ht="12.75" hidden="1" customHeight="1" x14ac:dyDescent="0.25"/>
    <row r="4740" ht="12.75" hidden="1" customHeight="1" x14ac:dyDescent="0.25"/>
    <row r="4741" ht="12.75" hidden="1" customHeight="1" x14ac:dyDescent="0.25"/>
    <row r="4742" ht="12.75" hidden="1" customHeight="1" x14ac:dyDescent="0.25"/>
    <row r="4743" ht="12.75" hidden="1" customHeight="1" x14ac:dyDescent="0.25"/>
    <row r="4744" ht="12.75" hidden="1" customHeight="1" x14ac:dyDescent="0.25"/>
    <row r="4745" ht="12.75" hidden="1" customHeight="1" x14ac:dyDescent="0.25"/>
    <row r="4746" ht="12.75" hidden="1" customHeight="1" x14ac:dyDescent="0.25"/>
    <row r="4747" ht="12.75" hidden="1" customHeight="1" x14ac:dyDescent="0.25"/>
    <row r="4748" ht="12.75" hidden="1" customHeight="1" x14ac:dyDescent="0.25"/>
    <row r="4749" ht="12.75" hidden="1" customHeight="1" x14ac:dyDescent="0.25"/>
    <row r="4750" ht="12.75" hidden="1" customHeight="1" x14ac:dyDescent="0.25"/>
    <row r="4751" ht="12.75" hidden="1" customHeight="1" x14ac:dyDescent="0.25"/>
    <row r="4752" ht="12.75" hidden="1" customHeight="1" x14ac:dyDescent="0.25"/>
    <row r="4753" ht="12.75" hidden="1" customHeight="1" x14ac:dyDescent="0.25"/>
    <row r="4754" ht="12.75" hidden="1" customHeight="1" x14ac:dyDescent="0.25"/>
    <row r="4755" ht="12.75" hidden="1" customHeight="1" x14ac:dyDescent="0.25"/>
    <row r="4756" ht="12.75" hidden="1" customHeight="1" x14ac:dyDescent="0.25"/>
    <row r="4757" ht="12.75" hidden="1" customHeight="1" x14ac:dyDescent="0.25"/>
    <row r="4758" ht="12.75" hidden="1" customHeight="1" x14ac:dyDescent="0.25"/>
    <row r="4759" ht="12.75" hidden="1" customHeight="1" x14ac:dyDescent="0.25"/>
    <row r="4760" ht="12.75" hidden="1" customHeight="1" x14ac:dyDescent="0.25"/>
    <row r="4761" ht="12.75" hidden="1" customHeight="1" x14ac:dyDescent="0.25"/>
    <row r="4762" ht="12.75" hidden="1" customHeight="1" x14ac:dyDescent="0.25"/>
    <row r="4763" ht="12.75" hidden="1" customHeight="1" x14ac:dyDescent="0.25"/>
    <row r="4764" ht="12.75" hidden="1" customHeight="1" x14ac:dyDescent="0.25"/>
    <row r="4765" ht="12.75" hidden="1" customHeight="1" x14ac:dyDescent="0.25"/>
    <row r="4766" ht="12.75" hidden="1" customHeight="1" x14ac:dyDescent="0.25"/>
    <row r="4767" ht="12.75" hidden="1" customHeight="1" x14ac:dyDescent="0.25"/>
    <row r="4768" ht="12.75" hidden="1" customHeight="1" x14ac:dyDescent="0.25"/>
    <row r="4769" ht="12.75" hidden="1" customHeight="1" x14ac:dyDescent="0.25"/>
    <row r="4770" ht="12.75" hidden="1" customHeight="1" x14ac:dyDescent="0.25"/>
    <row r="4771" ht="12.75" hidden="1" customHeight="1" x14ac:dyDescent="0.25"/>
    <row r="4772" ht="12.75" hidden="1" customHeight="1" x14ac:dyDescent="0.25"/>
    <row r="4773" ht="12.75" hidden="1" customHeight="1" x14ac:dyDescent="0.25"/>
    <row r="4774" ht="12.75" hidden="1" customHeight="1" x14ac:dyDescent="0.25"/>
    <row r="4775" ht="12.75" hidden="1" customHeight="1" x14ac:dyDescent="0.25"/>
    <row r="4776" ht="12.75" hidden="1" customHeight="1" x14ac:dyDescent="0.25"/>
    <row r="4777" ht="12.75" hidden="1" customHeight="1" x14ac:dyDescent="0.25"/>
    <row r="4778" ht="12.75" hidden="1" customHeight="1" x14ac:dyDescent="0.25"/>
    <row r="4779" ht="12.75" hidden="1" customHeight="1" x14ac:dyDescent="0.25"/>
    <row r="4780" ht="12.75" hidden="1" customHeight="1" x14ac:dyDescent="0.25"/>
    <row r="4781" ht="12.75" hidden="1" customHeight="1" x14ac:dyDescent="0.25"/>
    <row r="4782" ht="12.75" hidden="1" customHeight="1" x14ac:dyDescent="0.25"/>
    <row r="4783" ht="12.75" hidden="1" customHeight="1" x14ac:dyDescent="0.25"/>
    <row r="4784" ht="12.75" hidden="1" customHeight="1" x14ac:dyDescent="0.25"/>
    <row r="4785" ht="12.75" hidden="1" customHeight="1" x14ac:dyDescent="0.25"/>
    <row r="4786" ht="12.75" hidden="1" customHeight="1" x14ac:dyDescent="0.25"/>
    <row r="4787" ht="12.75" hidden="1" customHeight="1" x14ac:dyDescent="0.25"/>
    <row r="4788" ht="12.75" hidden="1" customHeight="1" x14ac:dyDescent="0.25"/>
    <row r="4789" ht="12.75" hidden="1" customHeight="1" x14ac:dyDescent="0.25"/>
    <row r="4790" ht="12.75" hidden="1" customHeight="1" x14ac:dyDescent="0.25"/>
    <row r="4791" ht="12.75" hidden="1" customHeight="1" x14ac:dyDescent="0.25"/>
    <row r="4792" ht="12.75" hidden="1" customHeight="1" x14ac:dyDescent="0.25"/>
    <row r="4793" ht="12.75" hidden="1" customHeight="1" x14ac:dyDescent="0.25"/>
    <row r="4794" ht="12.75" hidden="1" customHeight="1" x14ac:dyDescent="0.25"/>
    <row r="4795" ht="12.75" hidden="1" customHeight="1" x14ac:dyDescent="0.25"/>
    <row r="4796" ht="12.75" hidden="1" customHeight="1" x14ac:dyDescent="0.25"/>
    <row r="4797" ht="12.75" hidden="1" customHeight="1" x14ac:dyDescent="0.25"/>
    <row r="4798" ht="12.75" hidden="1" customHeight="1" x14ac:dyDescent="0.25"/>
    <row r="4799" ht="12.75" hidden="1" customHeight="1" x14ac:dyDescent="0.25"/>
    <row r="4800" ht="12.75" hidden="1" customHeight="1" x14ac:dyDescent="0.25"/>
    <row r="4801" ht="12.75" hidden="1" customHeight="1" x14ac:dyDescent="0.25"/>
    <row r="4802" ht="12.75" hidden="1" customHeight="1" x14ac:dyDescent="0.25"/>
    <row r="4803" ht="12.75" hidden="1" customHeight="1" x14ac:dyDescent="0.25"/>
    <row r="4804" ht="12.75" hidden="1" customHeight="1" x14ac:dyDescent="0.25"/>
    <row r="4805" ht="12.75" hidden="1" customHeight="1" x14ac:dyDescent="0.25"/>
    <row r="4806" ht="12.75" hidden="1" customHeight="1" x14ac:dyDescent="0.25"/>
    <row r="4807" ht="12.75" hidden="1" customHeight="1" x14ac:dyDescent="0.25"/>
    <row r="4808" ht="12.75" hidden="1" customHeight="1" x14ac:dyDescent="0.25"/>
    <row r="4809" ht="12.75" hidden="1" customHeight="1" x14ac:dyDescent="0.25"/>
    <row r="4810" ht="12.75" hidden="1" customHeight="1" x14ac:dyDescent="0.25"/>
    <row r="4811" ht="12.75" hidden="1" customHeight="1" x14ac:dyDescent="0.25"/>
    <row r="4812" ht="12.75" hidden="1" customHeight="1" x14ac:dyDescent="0.25"/>
    <row r="4813" ht="12.75" hidden="1" customHeight="1" x14ac:dyDescent="0.25"/>
    <row r="4814" ht="12.75" hidden="1" customHeight="1" x14ac:dyDescent="0.25"/>
    <row r="4815" ht="12.75" hidden="1" customHeight="1" x14ac:dyDescent="0.25"/>
    <row r="4816" ht="12.75" hidden="1" customHeight="1" x14ac:dyDescent="0.25"/>
    <row r="4817" ht="12.75" hidden="1" customHeight="1" x14ac:dyDescent="0.25"/>
    <row r="4818" ht="12.75" hidden="1" customHeight="1" x14ac:dyDescent="0.25"/>
    <row r="4819" ht="12.75" hidden="1" customHeight="1" x14ac:dyDescent="0.25"/>
    <row r="4820" ht="12.75" hidden="1" customHeight="1" x14ac:dyDescent="0.25"/>
    <row r="4821" ht="12.75" hidden="1" customHeight="1" x14ac:dyDescent="0.25"/>
    <row r="4822" ht="12.75" hidden="1" customHeight="1" x14ac:dyDescent="0.25"/>
    <row r="4823" ht="12.75" hidden="1" customHeight="1" x14ac:dyDescent="0.25"/>
    <row r="4824" ht="12.75" hidden="1" customHeight="1" x14ac:dyDescent="0.25"/>
    <row r="4825" ht="12.75" hidden="1" customHeight="1" x14ac:dyDescent="0.25"/>
    <row r="4826" ht="12.75" hidden="1" customHeight="1" x14ac:dyDescent="0.25"/>
    <row r="4827" ht="12.75" hidden="1" customHeight="1" x14ac:dyDescent="0.25"/>
    <row r="4828" ht="12.75" hidden="1" customHeight="1" x14ac:dyDescent="0.25"/>
    <row r="4829" ht="12.75" hidden="1" customHeight="1" x14ac:dyDescent="0.25"/>
    <row r="4830" ht="12.75" hidden="1" customHeight="1" x14ac:dyDescent="0.25"/>
    <row r="4831" ht="12.75" hidden="1" customHeight="1" x14ac:dyDescent="0.25"/>
    <row r="4832" ht="12.75" hidden="1" customHeight="1" x14ac:dyDescent="0.25"/>
    <row r="4833" ht="12.75" hidden="1" customHeight="1" x14ac:dyDescent="0.25"/>
    <row r="4834" ht="12.75" hidden="1" customHeight="1" x14ac:dyDescent="0.25"/>
    <row r="4835" ht="12.75" hidden="1" customHeight="1" x14ac:dyDescent="0.25"/>
    <row r="4836" ht="12.75" hidden="1" customHeight="1" x14ac:dyDescent="0.25"/>
    <row r="4837" ht="12.75" hidden="1" customHeight="1" x14ac:dyDescent="0.25"/>
    <row r="4838" ht="12.75" hidden="1" customHeight="1" x14ac:dyDescent="0.25"/>
    <row r="4839" ht="12.75" hidden="1" customHeight="1" x14ac:dyDescent="0.25"/>
    <row r="4840" ht="12.75" hidden="1" customHeight="1" x14ac:dyDescent="0.25"/>
    <row r="4841" ht="12.75" hidden="1" customHeight="1" x14ac:dyDescent="0.25"/>
    <row r="4842" ht="12.75" hidden="1" customHeight="1" x14ac:dyDescent="0.25"/>
    <row r="4843" ht="12.75" hidden="1" customHeight="1" x14ac:dyDescent="0.25"/>
    <row r="4844" ht="12.75" hidden="1" customHeight="1" x14ac:dyDescent="0.25"/>
    <row r="4845" ht="12.75" hidden="1" customHeight="1" x14ac:dyDescent="0.25"/>
    <row r="4846" ht="12.75" hidden="1" customHeight="1" x14ac:dyDescent="0.25"/>
    <row r="4847" ht="12.75" hidden="1" customHeight="1" x14ac:dyDescent="0.25"/>
    <row r="4848" ht="12.75" hidden="1" customHeight="1" x14ac:dyDescent="0.25"/>
    <row r="4849" ht="12.75" hidden="1" customHeight="1" x14ac:dyDescent="0.25"/>
    <row r="4850" ht="12.75" hidden="1" customHeight="1" x14ac:dyDescent="0.25"/>
    <row r="4851" ht="12.75" hidden="1" customHeight="1" x14ac:dyDescent="0.25"/>
    <row r="4852" ht="12.75" hidden="1" customHeight="1" x14ac:dyDescent="0.25"/>
    <row r="4853" ht="12.75" hidden="1" customHeight="1" x14ac:dyDescent="0.25"/>
    <row r="4854" ht="12.75" hidden="1" customHeight="1" x14ac:dyDescent="0.25"/>
    <row r="4855" ht="12.75" hidden="1" customHeight="1" x14ac:dyDescent="0.25"/>
    <row r="4856" ht="12.75" hidden="1" customHeight="1" x14ac:dyDescent="0.25"/>
    <row r="4857" ht="12.75" hidden="1" customHeight="1" x14ac:dyDescent="0.25"/>
    <row r="4858" ht="12.75" hidden="1" customHeight="1" x14ac:dyDescent="0.25"/>
    <row r="4859" ht="12.75" hidden="1" customHeight="1" x14ac:dyDescent="0.25"/>
    <row r="4860" ht="12.75" hidden="1" customHeight="1" x14ac:dyDescent="0.25"/>
    <row r="4861" ht="12.75" hidden="1" customHeight="1" x14ac:dyDescent="0.25"/>
    <row r="4862" ht="12.75" hidden="1" customHeight="1" x14ac:dyDescent="0.25"/>
    <row r="4863" ht="12.75" hidden="1" customHeight="1" x14ac:dyDescent="0.25"/>
    <row r="4864" ht="12.75" hidden="1" customHeight="1" x14ac:dyDescent="0.25"/>
    <row r="4865" ht="12.75" hidden="1" customHeight="1" x14ac:dyDescent="0.25"/>
    <row r="4866" ht="12.75" hidden="1" customHeight="1" x14ac:dyDescent="0.25"/>
    <row r="4867" ht="12.75" hidden="1" customHeight="1" x14ac:dyDescent="0.25"/>
    <row r="4868" ht="12.75" hidden="1" customHeight="1" x14ac:dyDescent="0.25"/>
    <row r="4869" ht="12.75" hidden="1" customHeight="1" x14ac:dyDescent="0.25"/>
    <row r="4870" ht="12.75" hidden="1" customHeight="1" x14ac:dyDescent="0.25"/>
    <row r="4871" ht="12.75" hidden="1" customHeight="1" x14ac:dyDescent="0.25"/>
    <row r="4872" ht="12.75" hidden="1" customHeight="1" x14ac:dyDescent="0.25"/>
    <row r="4873" ht="12.75" hidden="1" customHeight="1" x14ac:dyDescent="0.25"/>
    <row r="4874" ht="12.75" hidden="1" customHeight="1" x14ac:dyDescent="0.25"/>
    <row r="4875" ht="12.75" hidden="1" customHeight="1" x14ac:dyDescent="0.25"/>
    <row r="4876" ht="12.75" hidden="1" customHeight="1" x14ac:dyDescent="0.25"/>
    <row r="4877" ht="12.75" hidden="1" customHeight="1" x14ac:dyDescent="0.25"/>
    <row r="4878" ht="12.75" hidden="1" customHeight="1" x14ac:dyDescent="0.25"/>
    <row r="4879" ht="12.75" hidden="1" customHeight="1" x14ac:dyDescent="0.25"/>
    <row r="4880" ht="12.75" hidden="1" customHeight="1" x14ac:dyDescent="0.25"/>
    <row r="4881" ht="12.75" hidden="1" customHeight="1" x14ac:dyDescent="0.25"/>
    <row r="4882" ht="12.75" hidden="1" customHeight="1" x14ac:dyDescent="0.25"/>
    <row r="4883" ht="12.75" hidden="1" customHeight="1" x14ac:dyDescent="0.25"/>
    <row r="4884" ht="12.75" hidden="1" customHeight="1" x14ac:dyDescent="0.25"/>
    <row r="4885" ht="12.75" hidden="1" customHeight="1" x14ac:dyDescent="0.25"/>
    <row r="4886" ht="12.75" hidden="1" customHeight="1" x14ac:dyDescent="0.25"/>
    <row r="4887" ht="12.75" hidden="1" customHeight="1" x14ac:dyDescent="0.25"/>
    <row r="4888" ht="12.75" hidden="1" customHeight="1" x14ac:dyDescent="0.25"/>
    <row r="4889" ht="12.75" hidden="1" customHeight="1" x14ac:dyDescent="0.25"/>
    <row r="4890" ht="12.75" hidden="1" customHeight="1" x14ac:dyDescent="0.25"/>
    <row r="4891" ht="12.75" hidden="1" customHeight="1" x14ac:dyDescent="0.25"/>
    <row r="4892" ht="12.75" hidden="1" customHeight="1" x14ac:dyDescent="0.25"/>
    <row r="4893" ht="12.75" hidden="1" customHeight="1" x14ac:dyDescent="0.25"/>
    <row r="4894" ht="12.75" hidden="1" customHeight="1" x14ac:dyDescent="0.25"/>
    <row r="4895" ht="12.75" hidden="1" customHeight="1" x14ac:dyDescent="0.25"/>
    <row r="4896" ht="12.75" hidden="1" customHeight="1" x14ac:dyDescent="0.25"/>
    <row r="4897" ht="12.75" hidden="1" customHeight="1" x14ac:dyDescent="0.25"/>
    <row r="4898" ht="12.75" hidden="1" customHeight="1" x14ac:dyDescent="0.25"/>
    <row r="4899" ht="12.75" hidden="1" customHeight="1" x14ac:dyDescent="0.25"/>
    <row r="4900" ht="12.75" hidden="1" customHeight="1" x14ac:dyDescent="0.25"/>
    <row r="4901" ht="12.75" hidden="1" customHeight="1" x14ac:dyDescent="0.25"/>
    <row r="4902" ht="12.75" hidden="1" customHeight="1" x14ac:dyDescent="0.25"/>
    <row r="4903" ht="12.75" hidden="1" customHeight="1" x14ac:dyDescent="0.25"/>
    <row r="4904" ht="12.75" hidden="1" customHeight="1" x14ac:dyDescent="0.25"/>
    <row r="4905" ht="12.75" hidden="1" customHeight="1" x14ac:dyDescent="0.25"/>
    <row r="4906" ht="12.75" hidden="1" customHeight="1" x14ac:dyDescent="0.25"/>
    <row r="4907" ht="12.75" hidden="1" customHeight="1" x14ac:dyDescent="0.25"/>
    <row r="4908" ht="12.75" hidden="1" customHeight="1" x14ac:dyDescent="0.25"/>
    <row r="4909" ht="12.75" hidden="1" customHeight="1" x14ac:dyDescent="0.25"/>
    <row r="4910" ht="12.75" hidden="1" customHeight="1" x14ac:dyDescent="0.25"/>
    <row r="4911" ht="12.75" hidden="1" customHeight="1" x14ac:dyDescent="0.25"/>
    <row r="4912" ht="12.75" hidden="1" customHeight="1" x14ac:dyDescent="0.25"/>
    <row r="4913" ht="12.75" hidden="1" customHeight="1" x14ac:dyDescent="0.25"/>
    <row r="4914" ht="12.75" hidden="1" customHeight="1" x14ac:dyDescent="0.25"/>
    <row r="4915" ht="12.75" hidden="1" customHeight="1" x14ac:dyDescent="0.25"/>
    <row r="4916" ht="12.75" hidden="1" customHeight="1" x14ac:dyDescent="0.25"/>
    <row r="4917" ht="12.75" hidden="1" customHeight="1" x14ac:dyDescent="0.25"/>
    <row r="4918" ht="12.75" hidden="1" customHeight="1" x14ac:dyDescent="0.25"/>
    <row r="4919" ht="12.75" hidden="1" customHeight="1" x14ac:dyDescent="0.25"/>
    <row r="4920" ht="12.75" hidden="1" customHeight="1" x14ac:dyDescent="0.25"/>
    <row r="4921" ht="12.75" hidden="1" customHeight="1" x14ac:dyDescent="0.25"/>
    <row r="4922" ht="12.75" hidden="1" customHeight="1" x14ac:dyDescent="0.25"/>
    <row r="4923" ht="12.75" hidden="1" customHeight="1" x14ac:dyDescent="0.25"/>
    <row r="4924" ht="12.75" hidden="1" customHeight="1" x14ac:dyDescent="0.25"/>
    <row r="4925" ht="12.75" hidden="1" customHeight="1" x14ac:dyDescent="0.25"/>
    <row r="4926" ht="12.75" hidden="1" customHeight="1" x14ac:dyDescent="0.25"/>
    <row r="4927" ht="12.75" hidden="1" customHeight="1" x14ac:dyDescent="0.25"/>
    <row r="4928" ht="12.75" hidden="1" customHeight="1" x14ac:dyDescent="0.25"/>
    <row r="4929" ht="12.75" hidden="1" customHeight="1" x14ac:dyDescent="0.25"/>
    <row r="4930" ht="12.75" hidden="1" customHeight="1" x14ac:dyDescent="0.25"/>
    <row r="4931" ht="12.75" hidden="1" customHeight="1" x14ac:dyDescent="0.25"/>
    <row r="4932" ht="12.75" hidden="1" customHeight="1" x14ac:dyDescent="0.25"/>
    <row r="4933" ht="12.75" hidden="1" customHeight="1" x14ac:dyDescent="0.25"/>
    <row r="4934" ht="12.75" hidden="1" customHeight="1" x14ac:dyDescent="0.25"/>
    <row r="4935" ht="12.75" hidden="1" customHeight="1" x14ac:dyDescent="0.25"/>
    <row r="4936" ht="12.75" hidden="1" customHeight="1" x14ac:dyDescent="0.25"/>
    <row r="4937" ht="12.75" hidden="1" customHeight="1" x14ac:dyDescent="0.25"/>
    <row r="4938" ht="12.75" hidden="1" customHeight="1" x14ac:dyDescent="0.25"/>
    <row r="4939" ht="12.75" hidden="1" customHeight="1" x14ac:dyDescent="0.25"/>
    <row r="4940" ht="12.75" hidden="1" customHeight="1" x14ac:dyDescent="0.25"/>
    <row r="4941" ht="12.75" hidden="1" customHeight="1" x14ac:dyDescent="0.25"/>
    <row r="4942" ht="12.75" hidden="1" customHeight="1" x14ac:dyDescent="0.25"/>
    <row r="4943" ht="12.75" hidden="1" customHeight="1" x14ac:dyDescent="0.25"/>
    <row r="4944" ht="12.75" hidden="1" customHeight="1" x14ac:dyDescent="0.25"/>
    <row r="4945" ht="12.75" hidden="1" customHeight="1" x14ac:dyDescent="0.25"/>
    <row r="4946" ht="12.75" hidden="1" customHeight="1" x14ac:dyDescent="0.25"/>
    <row r="4947" ht="12.75" hidden="1" customHeight="1" x14ac:dyDescent="0.25"/>
    <row r="4948" ht="12.75" hidden="1" customHeight="1" x14ac:dyDescent="0.25"/>
    <row r="4949" ht="12.75" hidden="1" customHeight="1" x14ac:dyDescent="0.25"/>
    <row r="4950" ht="12.75" hidden="1" customHeight="1" x14ac:dyDescent="0.25"/>
    <row r="4951" ht="12.75" hidden="1" customHeight="1" x14ac:dyDescent="0.25"/>
    <row r="4952" ht="12.75" hidden="1" customHeight="1" x14ac:dyDescent="0.25"/>
    <row r="4953" ht="12.75" hidden="1" customHeight="1" x14ac:dyDescent="0.25"/>
    <row r="4954" ht="12.75" hidden="1" customHeight="1" x14ac:dyDescent="0.25"/>
    <row r="4955" ht="12.75" hidden="1" customHeight="1" x14ac:dyDescent="0.25"/>
    <row r="4956" ht="12.75" hidden="1" customHeight="1" x14ac:dyDescent="0.25"/>
    <row r="4957" ht="12.75" hidden="1" customHeight="1" x14ac:dyDescent="0.25"/>
    <row r="4958" ht="12.75" hidden="1" customHeight="1" x14ac:dyDescent="0.25"/>
    <row r="4959" ht="12.75" hidden="1" customHeight="1" x14ac:dyDescent="0.25"/>
    <row r="4960" ht="12.75" hidden="1" customHeight="1" x14ac:dyDescent="0.25"/>
    <row r="4961" ht="12.75" hidden="1" customHeight="1" x14ac:dyDescent="0.25"/>
    <row r="4962" ht="12.75" hidden="1" customHeight="1" x14ac:dyDescent="0.25"/>
    <row r="4963" ht="12.75" hidden="1" customHeight="1" x14ac:dyDescent="0.25"/>
    <row r="4964" ht="12.75" hidden="1" customHeight="1" x14ac:dyDescent="0.25"/>
    <row r="4965" ht="12.75" hidden="1" customHeight="1" x14ac:dyDescent="0.25"/>
    <row r="4966" ht="12.75" hidden="1" customHeight="1" x14ac:dyDescent="0.25"/>
    <row r="4967" ht="12.75" hidden="1" customHeight="1" x14ac:dyDescent="0.25"/>
    <row r="4968" ht="12.75" hidden="1" customHeight="1" x14ac:dyDescent="0.25"/>
    <row r="4969" ht="12.75" hidden="1" customHeight="1" x14ac:dyDescent="0.25"/>
    <row r="4970" ht="12.75" hidden="1" customHeight="1" x14ac:dyDescent="0.25"/>
    <row r="4971" ht="12.75" hidden="1" customHeight="1" x14ac:dyDescent="0.25"/>
    <row r="4972" ht="12.75" hidden="1" customHeight="1" x14ac:dyDescent="0.25"/>
    <row r="4973" ht="12.75" hidden="1" customHeight="1" x14ac:dyDescent="0.25"/>
    <row r="4974" ht="12.75" hidden="1" customHeight="1" x14ac:dyDescent="0.25"/>
    <row r="4975" ht="12.75" hidden="1" customHeight="1" x14ac:dyDescent="0.25"/>
    <row r="4976" ht="12.75" hidden="1" customHeight="1" x14ac:dyDescent="0.25"/>
    <row r="4977" ht="12.75" hidden="1" customHeight="1" x14ac:dyDescent="0.25"/>
    <row r="4978" ht="12.75" hidden="1" customHeight="1" x14ac:dyDescent="0.25"/>
    <row r="4979" ht="12.75" hidden="1" customHeight="1" x14ac:dyDescent="0.25"/>
    <row r="4980" ht="12.75" hidden="1" customHeight="1" x14ac:dyDescent="0.25"/>
    <row r="4981" ht="12.75" hidden="1" customHeight="1" x14ac:dyDescent="0.25"/>
    <row r="4982" ht="12.75" hidden="1" customHeight="1" x14ac:dyDescent="0.25"/>
    <row r="4983" ht="12.75" hidden="1" customHeight="1" x14ac:dyDescent="0.25"/>
    <row r="4984" ht="12.75" hidden="1" customHeight="1" x14ac:dyDescent="0.25"/>
    <row r="4985" ht="12.75" hidden="1" customHeight="1" x14ac:dyDescent="0.25"/>
    <row r="4986" ht="12.75" hidden="1" customHeight="1" x14ac:dyDescent="0.25"/>
    <row r="4987" ht="12.75" hidden="1" customHeight="1" x14ac:dyDescent="0.25"/>
    <row r="4988" ht="12.75" hidden="1" customHeight="1" x14ac:dyDescent="0.25"/>
    <row r="4989" ht="12.75" hidden="1" customHeight="1" x14ac:dyDescent="0.25"/>
    <row r="4990" ht="12.75" hidden="1" customHeight="1" x14ac:dyDescent="0.25"/>
    <row r="4991" ht="12.75" hidden="1" customHeight="1" x14ac:dyDescent="0.25"/>
    <row r="4992" ht="12.75" hidden="1" customHeight="1" x14ac:dyDescent="0.25"/>
    <row r="4993" ht="12.75" hidden="1" customHeight="1" x14ac:dyDescent="0.25"/>
    <row r="4994" ht="12.75" hidden="1" customHeight="1" x14ac:dyDescent="0.25"/>
    <row r="4995" ht="12.75" hidden="1" customHeight="1" x14ac:dyDescent="0.25"/>
    <row r="4996" ht="12.75" hidden="1" customHeight="1" x14ac:dyDescent="0.25"/>
    <row r="4997" ht="12.75" hidden="1" customHeight="1" x14ac:dyDescent="0.25"/>
    <row r="4998" ht="12.75" hidden="1" customHeight="1" x14ac:dyDescent="0.25"/>
    <row r="4999" ht="12.75" hidden="1" customHeight="1" x14ac:dyDescent="0.25"/>
    <row r="5000" ht="12.75" hidden="1" customHeight="1" x14ac:dyDescent="0.25"/>
    <row r="5001" ht="12.75" hidden="1" customHeight="1" x14ac:dyDescent="0.25"/>
    <row r="5002" ht="12.75" hidden="1" customHeight="1" x14ac:dyDescent="0.25"/>
    <row r="5003" ht="12.75" hidden="1" customHeight="1" x14ac:dyDescent="0.25"/>
    <row r="5004" ht="12.75" hidden="1" customHeight="1" x14ac:dyDescent="0.25"/>
    <row r="5005" ht="12.75" hidden="1" customHeight="1" x14ac:dyDescent="0.25"/>
    <row r="5006" ht="12.75" hidden="1" customHeight="1" x14ac:dyDescent="0.25"/>
    <row r="5007" ht="12.75" hidden="1" customHeight="1" x14ac:dyDescent="0.25"/>
    <row r="5008" ht="12.75" hidden="1" customHeight="1" x14ac:dyDescent="0.25"/>
    <row r="5009" ht="12.75" hidden="1" customHeight="1" x14ac:dyDescent="0.25"/>
    <row r="5010" ht="12.75" hidden="1" customHeight="1" x14ac:dyDescent="0.25"/>
    <row r="5011" ht="12.75" hidden="1" customHeight="1" x14ac:dyDescent="0.25"/>
    <row r="5012" ht="12.75" hidden="1" customHeight="1" x14ac:dyDescent="0.25"/>
    <row r="5013" ht="12.75" hidden="1" customHeight="1" x14ac:dyDescent="0.25"/>
    <row r="5014" ht="12.75" hidden="1" customHeight="1" x14ac:dyDescent="0.25"/>
    <row r="5015" ht="12.75" hidden="1" customHeight="1" x14ac:dyDescent="0.25"/>
    <row r="5016" ht="12.75" hidden="1" customHeight="1" x14ac:dyDescent="0.25"/>
    <row r="5017" ht="12.75" hidden="1" customHeight="1" x14ac:dyDescent="0.25"/>
    <row r="5018" ht="12.75" hidden="1" customHeight="1" x14ac:dyDescent="0.25"/>
    <row r="5019" ht="12.75" hidden="1" customHeight="1" x14ac:dyDescent="0.25"/>
    <row r="5020" ht="12.75" hidden="1" customHeight="1" x14ac:dyDescent="0.25"/>
    <row r="5021" ht="12.75" hidden="1" customHeight="1" x14ac:dyDescent="0.25"/>
    <row r="5022" ht="12.75" hidden="1" customHeight="1" x14ac:dyDescent="0.25"/>
    <row r="5023" ht="12.75" hidden="1" customHeight="1" x14ac:dyDescent="0.25"/>
    <row r="5024" ht="12.75" hidden="1" customHeight="1" x14ac:dyDescent="0.25"/>
    <row r="5025" ht="12.75" hidden="1" customHeight="1" x14ac:dyDescent="0.25"/>
    <row r="5026" ht="12.75" hidden="1" customHeight="1" x14ac:dyDescent="0.25"/>
    <row r="5027" ht="12.75" hidden="1" customHeight="1" x14ac:dyDescent="0.25"/>
    <row r="5028" ht="12.75" hidden="1" customHeight="1" x14ac:dyDescent="0.25"/>
    <row r="5029" ht="12.75" hidden="1" customHeight="1" x14ac:dyDescent="0.25"/>
    <row r="5030" ht="12.75" hidden="1" customHeight="1" x14ac:dyDescent="0.25"/>
    <row r="5031" ht="12.75" hidden="1" customHeight="1" x14ac:dyDescent="0.25"/>
    <row r="5032" ht="12.75" hidden="1" customHeight="1" x14ac:dyDescent="0.25"/>
    <row r="5033" ht="12.75" hidden="1" customHeight="1" x14ac:dyDescent="0.25"/>
    <row r="5034" ht="12.75" hidden="1" customHeight="1" x14ac:dyDescent="0.25"/>
    <row r="5035" ht="12.75" hidden="1" customHeight="1" x14ac:dyDescent="0.25"/>
    <row r="5036" ht="12.75" hidden="1" customHeight="1" x14ac:dyDescent="0.25"/>
    <row r="5037" ht="12.75" hidden="1" customHeight="1" x14ac:dyDescent="0.25"/>
    <row r="5038" ht="12.75" hidden="1" customHeight="1" x14ac:dyDescent="0.25"/>
    <row r="5039" ht="12.75" hidden="1" customHeight="1" x14ac:dyDescent="0.25"/>
    <row r="5040" ht="12.75" hidden="1" customHeight="1" x14ac:dyDescent="0.25"/>
    <row r="5041" ht="12.75" hidden="1" customHeight="1" x14ac:dyDescent="0.25"/>
    <row r="5042" ht="12.75" hidden="1" customHeight="1" x14ac:dyDescent="0.25"/>
    <row r="5043" ht="12.75" hidden="1" customHeight="1" x14ac:dyDescent="0.25"/>
    <row r="5044" ht="12.75" hidden="1" customHeight="1" x14ac:dyDescent="0.25"/>
    <row r="5045" ht="12.75" hidden="1" customHeight="1" x14ac:dyDescent="0.25"/>
    <row r="5046" ht="12.75" hidden="1" customHeight="1" x14ac:dyDescent="0.25"/>
    <row r="5047" ht="12.75" hidden="1" customHeight="1" x14ac:dyDescent="0.25"/>
    <row r="5048" ht="12.75" hidden="1" customHeight="1" x14ac:dyDescent="0.25"/>
    <row r="5049" ht="12.75" hidden="1" customHeight="1" x14ac:dyDescent="0.25"/>
    <row r="5050" ht="12.75" hidden="1" customHeight="1" x14ac:dyDescent="0.25"/>
    <row r="5051" ht="12.75" hidden="1" customHeight="1" x14ac:dyDescent="0.25"/>
    <row r="5052" ht="12.75" hidden="1" customHeight="1" x14ac:dyDescent="0.25"/>
    <row r="5053" ht="12.75" hidden="1" customHeight="1" x14ac:dyDescent="0.25"/>
    <row r="5054" ht="12.75" hidden="1" customHeight="1" x14ac:dyDescent="0.25"/>
    <row r="5055" ht="12.75" hidden="1" customHeight="1" x14ac:dyDescent="0.25"/>
    <row r="5056" ht="12.75" hidden="1" customHeight="1" x14ac:dyDescent="0.25"/>
    <row r="5057" ht="12.75" hidden="1" customHeight="1" x14ac:dyDescent="0.25"/>
    <row r="5058" ht="12.75" hidden="1" customHeight="1" x14ac:dyDescent="0.25"/>
    <row r="5059" ht="12.75" hidden="1" customHeight="1" x14ac:dyDescent="0.25"/>
    <row r="5060" ht="12.75" hidden="1" customHeight="1" x14ac:dyDescent="0.25"/>
    <row r="5061" ht="12.75" hidden="1" customHeight="1" x14ac:dyDescent="0.25"/>
    <row r="5062" ht="12.75" hidden="1" customHeight="1" x14ac:dyDescent="0.25"/>
    <row r="5063" ht="12.75" hidden="1" customHeight="1" x14ac:dyDescent="0.25"/>
    <row r="5064" ht="12.75" hidden="1" customHeight="1" x14ac:dyDescent="0.25"/>
    <row r="5065" ht="12.75" hidden="1" customHeight="1" x14ac:dyDescent="0.25"/>
    <row r="5066" ht="12.75" hidden="1" customHeight="1" x14ac:dyDescent="0.25"/>
    <row r="5067" ht="12.75" hidden="1" customHeight="1" x14ac:dyDescent="0.25"/>
    <row r="5068" ht="12.75" hidden="1" customHeight="1" x14ac:dyDescent="0.25"/>
    <row r="5069" ht="12.75" hidden="1" customHeight="1" x14ac:dyDescent="0.25"/>
    <row r="5070" ht="12.75" hidden="1" customHeight="1" x14ac:dyDescent="0.25"/>
    <row r="5071" ht="12.75" hidden="1" customHeight="1" x14ac:dyDescent="0.25"/>
    <row r="5072" ht="12.75" hidden="1" customHeight="1" x14ac:dyDescent="0.25"/>
    <row r="5073" ht="12.75" hidden="1" customHeight="1" x14ac:dyDescent="0.25"/>
    <row r="5074" ht="12.75" hidden="1" customHeight="1" x14ac:dyDescent="0.25"/>
    <row r="5075" ht="12.75" hidden="1" customHeight="1" x14ac:dyDescent="0.25"/>
    <row r="5076" ht="12.75" hidden="1" customHeight="1" x14ac:dyDescent="0.25"/>
    <row r="5077" ht="12.75" hidden="1" customHeight="1" x14ac:dyDescent="0.25"/>
    <row r="5078" ht="12.75" hidden="1" customHeight="1" x14ac:dyDescent="0.25"/>
    <row r="5079" ht="12.75" hidden="1" customHeight="1" x14ac:dyDescent="0.25"/>
    <row r="5080" ht="12.75" hidden="1" customHeight="1" x14ac:dyDescent="0.25"/>
    <row r="5081" ht="12.75" hidden="1" customHeight="1" x14ac:dyDescent="0.25"/>
    <row r="5082" ht="12.75" hidden="1" customHeight="1" x14ac:dyDescent="0.25"/>
    <row r="5083" ht="12.75" hidden="1" customHeight="1" x14ac:dyDescent="0.25"/>
    <row r="5084" ht="12.75" hidden="1" customHeight="1" x14ac:dyDescent="0.25"/>
    <row r="5085" ht="12.75" hidden="1" customHeight="1" x14ac:dyDescent="0.25"/>
    <row r="5086" ht="12.75" hidden="1" customHeight="1" x14ac:dyDescent="0.25"/>
    <row r="5087" ht="12.75" hidden="1" customHeight="1" x14ac:dyDescent="0.25"/>
    <row r="5088" ht="12.75" hidden="1" customHeight="1" x14ac:dyDescent="0.25"/>
    <row r="5089" ht="12.75" hidden="1" customHeight="1" x14ac:dyDescent="0.25"/>
    <row r="5090" ht="12.75" hidden="1" customHeight="1" x14ac:dyDescent="0.25"/>
    <row r="5091" ht="12.75" hidden="1" customHeight="1" x14ac:dyDescent="0.25"/>
    <row r="5092" ht="12.75" hidden="1" customHeight="1" x14ac:dyDescent="0.25"/>
    <row r="5093" ht="12.75" hidden="1" customHeight="1" x14ac:dyDescent="0.25"/>
    <row r="5094" ht="12.75" hidden="1" customHeight="1" x14ac:dyDescent="0.25"/>
    <row r="5095" ht="12.75" hidden="1" customHeight="1" x14ac:dyDescent="0.25"/>
    <row r="5096" ht="12.75" hidden="1" customHeight="1" x14ac:dyDescent="0.25"/>
    <row r="5097" ht="12.75" hidden="1" customHeight="1" x14ac:dyDescent="0.25"/>
    <row r="5098" ht="12.75" hidden="1" customHeight="1" x14ac:dyDescent="0.25"/>
    <row r="5099" ht="12.75" hidden="1" customHeight="1" x14ac:dyDescent="0.25"/>
    <row r="5100" ht="12.75" hidden="1" customHeight="1" x14ac:dyDescent="0.25"/>
    <row r="5101" ht="12.75" hidden="1" customHeight="1" x14ac:dyDescent="0.25"/>
    <row r="5102" ht="12.75" hidden="1" customHeight="1" x14ac:dyDescent="0.25"/>
    <row r="5103" ht="12.75" hidden="1" customHeight="1" x14ac:dyDescent="0.25"/>
    <row r="5104" ht="12.75" hidden="1" customHeight="1" x14ac:dyDescent="0.25"/>
    <row r="5105" ht="12.75" hidden="1" customHeight="1" x14ac:dyDescent="0.25"/>
    <row r="5106" ht="12.75" hidden="1" customHeight="1" x14ac:dyDescent="0.25"/>
    <row r="5107" ht="12.75" hidden="1" customHeight="1" x14ac:dyDescent="0.25"/>
    <row r="5108" ht="12.75" hidden="1" customHeight="1" x14ac:dyDescent="0.25"/>
    <row r="5109" ht="12.75" hidden="1" customHeight="1" x14ac:dyDescent="0.25"/>
    <row r="5110" ht="12.75" hidden="1" customHeight="1" x14ac:dyDescent="0.25"/>
    <row r="5111" ht="12.75" hidden="1" customHeight="1" x14ac:dyDescent="0.25"/>
    <row r="5112" ht="12.75" hidden="1" customHeight="1" x14ac:dyDescent="0.25"/>
    <row r="5113" ht="12.75" hidden="1" customHeight="1" x14ac:dyDescent="0.25"/>
    <row r="5114" ht="12.75" hidden="1" customHeight="1" x14ac:dyDescent="0.25"/>
    <row r="5115" ht="12.75" hidden="1" customHeight="1" x14ac:dyDescent="0.25"/>
    <row r="5116" ht="12.75" hidden="1" customHeight="1" x14ac:dyDescent="0.25"/>
    <row r="5117" ht="12.75" hidden="1" customHeight="1" x14ac:dyDescent="0.25"/>
    <row r="5118" ht="12.75" hidden="1" customHeight="1" x14ac:dyDescent="0.25"/>
    <row r="5119" ht="12.75" hidden="1" customHeight="1" x14ac:dyDescent="0.25"/>
    <row r="5120" ht="12.75" hidden="1" customHeight="1" x14ac:dyDescent="0.25"/>
    <row r="5121" ht="12.75" hidden="1" customHeight="1" x14ac:dyDescent="0.25"/>
    <row r="5122" ht="12.75" hidden="1" customHeight="1" x14ac:dyDescent="0.25"/>
    <row r="5123" ht="12.75" hidden="1" customHeight="1" x14ac:dyDescent="0.25"/>
    <row r="5124" ht="12.75" hidden="1" customHeight="1" x14ac:dyDescent="0.25"/>
    <row r="5125" ht="12.75" hidden="1" customHeight="1" x14ac:dyDescent="0.25"/>
    <row r="5126" ht="12.75" hidden="1" customHeight="1" x14ac:dyDescent="0.25"/>
    <row r="5127" ht="12.75" hidden="1" customHeight="1" x14ac:dyDescent="0.25"/>
    <row r="5128" ht="12.75" hidden="1" customHeight="1" x14ac:dyDescent="0.25"/>
    <row r="5129" ht="12.75" hidden="1" customHeight="1" x14ac:dyDescent="0.25"/>
    <row r="5130" ht="12.75" hidden="1" customHeight="1" x14ac:dyDescent="0.25"/>
    <row r="5131" ht="12.75" hidden="1" customHeight="1" x14ac:dyDescent="0.25"/>
    <row r="5132" ht="12.75" hidden="1" customHeight="1" x14ac:dyDescent="0.25"/>
    <row r="5133" ht="12.75" hidden="1" customHeight="1" x14ac:dyDescent="0.25"/>
    <row r="5134" ht="12.75" hidden="1" customHeight="1" x14ac:dyDescent="0.25"/>
    <row r="5135" ht="12.75" hidden="1" customHeight="1" x14ac:dyDescent="0.25"/>
    <row r="5136" ht="12.75" hidden="1" customHeight="1" x14ac:dyDescent="0.25"/>
    <row r="5137" ht="12.75" hidden="1" customHeight="1" x14ac:dyDescent="0.25"/>
    <row r="5138" ht="12.75" hidden="1" customHeight="1" x14ac:dyDescent="0.25"/>
    <row r="5139" ht="12.75" hidden="1" customHeight="1" x14ac:dyDescent="0.25"/>
    <row r="5140" ht="12.75" hidden="1" customHeight="1" x14ac:dyDescent="0.25"/>
    <row r="5141" ht="12.75" hidden="1" customHeight="1" x14ac:dyDescent="0.25"/>
    <row r="5142" ht="12.75" hidden="1" customHeight="1" x14ac:dyDescent="0.25"/>
    <row r="5143" ht="12.75" hidden="1" customHeight="1" x14ac:dyDescent="0.25"/>
    <row r="5144" ht="12.75" hidden="1" customHeight="1" x14ac:dyDescent="0.25"/>
    <row r="5145" ht="12.75" hidden="1" customHeight="1" x14ac:dyDescent="0.25"/>
    <row r="5146" ht="12.75" hidden="1" customHeight="1" x14ac:dyDescent="0.25"/>
    <row r="5147" ht="12.75" hidden="1" customHeight="1" x14ac:dyDescent="0.25"/>
    <row r="5148" ht="12.75" hidden="1" customHeight="1" x14ac:dyDescent="0.25"/>
    <row r="5149" ht="12.75" hidden="1" customHeight="1" x14ac:dyDescent="0.25"/>
    <row r="5150" ht="12.75" hidden="1" customHeight="1" x14ac:dyDescent="0.25"/>
    <row r="5151" ht="12.75" hidden="1" customHeight="1" x14ac:dyDescent="0.25"/>
    <row r="5152" ht="12.75" hidden="1" customHeight="1" x14ac:dyDescent="0.25"/>
    <row r="5153" ht="12.75" hidden="1" customHeight="1" x14ac:dyDescent="0.25"/>
    <row r="5154" ht="12.75" hidden="1" customHeight="1" x14ac:dyDescent="0.25"/>
    <row r="5155" ht="12.75" hidden="1" customHeight="1" x14ac:dyDescent="0.25"/>
    <row r="5156" ht="12.75" hidden="1" customHeight="1" x14ac:dyDescent="0.25"/>
    <row r="5157" ht="12.75" hidden="1" customHeight="1" x14ac:dyDescent="0.25"/>
    <row r="5158" ht="12.75" hidden="1" customHeight="1" x14ac:dyDescent="0.25"/>
    <row r="5159" ht="12.75" hidden="1" customHeight="1" x14ac:dyDescent="0.25"/>
    <row r="5160" ht="12.75" hidden="1" customHeight="1" x14ac:dyDescent="0.25"/>
    <row r="5161" ht="12.75" hidden="1" customHeight="1" x14ac:dyDescent="0.25"/>
    <row r="5162" ht="12.75" hidden="1" customHeight="1" x14ac:dyDescent="0.25"/>
    <row r="5163" ht="12.75" hidden="1" customHeight="1" x14ac:dyDescent="0.25"/>
    <row r="5164" ht="12.75" hidden="1" customHeight="1" x14ac:dyDescent="0.25"/>
    <row r="5165" ht="12.75" hidden="1" customHeight="1" x14ac:dyDescent="0.25"/>
    <row r="5166" ht="12.75" hidden="1" customHeight="1" x14ac:dyDescent="0.25"/>
    <row r="5167" ht="12.75" hidden="1" customHeight="1" x14ac:dyDescent="0.25"/>
    <row r="5168" ht="12.75" hidden="1" customHeight="1" x14ac:dyDescent="0.25"/>
    <row r="5169" ht="12.75" hidden="1" customHeight="1" x14ac:dyDescent="0.25"/>
    <row r="5170" ht="12.75" hidden="1" customHeight="1" x14ac:dyDescent="0.25"/>
    <row r="5171" ht="12.75" hidden="1" customHeight="1" x14ac:dyDescent="0.25"/>
    <row r="5172" ht="12.75" hidden="1" customHeight="1" x14ac:dyDescent="0.25"/>
    <row r="5173" ht="12.75" hidden="1" customHeight="1" x14ac:dyDescent="0.25"/>
    <row r="5174" ht="12.75" hidden="1" customHeight="1" x14ac:dyDescent="0.25"/>
    <row r="5175" ht="12.75" hidden="1" customHeight="1" x14ac:dyDescent="0.25"/>
    <row r="5176" ht="12.75" hidden="1" customHeight="1" x14ac:dyDescent="0.25"/>
    <row r="5177" ht="12.75" hidden="1" customHeight="1" x14ac:dyDescent="0.25"/>
    <row r="5178" ht="12.75" hidden="1" customHeight="1" x14ac:dyDescent="0.25"/>
    <row r="5179" ht="12.75" hidden="1" customHeight="1" x14ac:dyDescent="0.25"/>
    <row r="5180" ht="12.75" hidden="1" customHeight="1" x14ac:dyDescent="0.25"/>
    <row r="5181" ht="12.75" hidden="1" customHeight="1" x14ac:dyDescent="0.25"/>
    <row r="5182" ht="12.75" hidden="1" customHeight="1" x14ac:dyDescent="0.25"/>
    <row r="5183" ht="12.75" hidden="1" customHeight="1" x14ac:dyDescent="0.25"/>
    <row r="5184" ht="12.75" hidden="1" customHeight="1" x14ac:dyDescent="0.25"/>
    <row r="5185" ht="12.75" hidden="1" customHeight="1" x14ac:dyDescent="0.25"/>
    <row r="5186" ht="12.75" hidden="1" customHeight="1" x14ac:dyDescent="0.25"/>
    <row r="5187" ht="12.75" hidden="1" customHeight="1" x14ac:dyDescent="0.25"/>
    <row r="5188" ht="12.75" hidden="1" customHeight="1" x14ac:dyDescent="0.25"/>
    <row r="5189" ht="12.75" hidden="1" customHeight="1" x14ac:dyDescent="0.25"/>
    <row r="5190" ht="12.75" hidden="1" customHeight="1" x14ac:dyDescent="0.25"/>
    <row r="5191" ht="12.75" hidden="1" customHeight="1" x14ac:dyDescent="0.25"/>
    <row r="5192" ht="12.75" hidden="1" customHeight="1" x14ac:dyDescent="0.25"/>
    <row r="5193" ht="12.75" hidden="1" customHeight="1" x14ac:dyDescent="0.25"/>
    <row r="5194" ht="12.75" hidden="1" customHeight="1" x14ac:dyDescent="0.25"/>
    <row r="5195" ht="12.75" hidden="1" customHeight="1" x14ac:dyDescent="0.25"/>
    <row r="5196" ht="12.75" hidden="1" customHeight="1" x14ac:dyDescent="0.25"/>
    <row r="5197" ht="12.75" hidden="1" customHeight="1" x14ac:dyDescent="0.25"/>
    <row r="5198" ht="12.75" hidden="1" customHeight="1" x14ac:dyDescent="0.25"/>
    <row r="5199" ht="12.75" hidden="1" customHeight="1" x14ac:dyDescent="0.25"/>
    <row r="5200" ht="12.75" hidden="1" customHeight="1" x14ac:dyDescent="0.25"/>
    <row r="5201" ht="12.75" hidden="1" customHeight="1" x14ac:dyDescent="0.25"/>
    <row r="5202" ht="12.75" hidden="1" customHeight="1" x14ac:dyDescent="0.25"/>
    <row r="5203" ht="12.75" hidden="1" customHeight="1" x14ac:dyDescent="0.25"/>
    <row r="5204" ht="12.75" hidden="1" customHeight="1" x14ac:dyDescent="0.25"/>
    <row r="5205" ht="12.75" hidden="1" customHeight="1" x14ac:dyDescent="0.25"/>
    <row r="5206" ht="12.75" hidden="1" customHeight="1" x14ac:dyDescent="0.25"/>
    <row r="5207" ht="12.75" hidden="1" customHeight="1" x14ac:dyDescent="0.25"/>
    <row r="5208" ht="12.75" hidden="1" customHeight="1" x14ac:dyDescent="0.25"/>
    <row r="5209" ht="12.75" hidden="1" customHeight="1" x14ac:dyDescent="0.25"/>
    <row r="5210" ht="12.75" hidden="1" customHeight="1" x14ac:dyDescent="0.25"/>
    <row r="5211" ht="12.75" hidden="1" customHeight="1" x14ac:dyDescent="0.25"/>
    <row r="5212" ht="12.75" hidden="1" customHeight="1" x14ac:dyDescent="0.25"/>
    <row r="5213" ht="12.75" hidden="1" customHeight="1" x14ac:dyDescent="0.25"/>
    <row r="5214" ht="12.75" hidden="1" customHeight="1" x14ac:dyDescent="0.25"/>
    <row r="5215" ht="12.75" hidden="1" customHeight="1" x14ac:dyDescent="0.25"/>
    <row r="5216" ht="12.75" hidden="1" customHeight="1" x14ac:dyDescent="0.25"/>
    <row r="5217" ht="12.75" hidden="1" customHeight="1" x14ac:dyDescent="0.25"/>
    <row r="5218" ht="12.75" hidden="1" customHeight="1" x14ac:dyDescent="0.25"/>
    <row r="5219" ht="12.75" hidden="1" customHeight="1" x14ac:dyDescent="0.25"/>
    <row r="5220" ht="12.75" hidden="1" customHeight="1" x14ac:dyDescent="0.25"/>
    <row r="5221" ht="12.75" hidden="1" customHeight="1" x14ac:dyDescent="0.25"/>
    <row r="5222" ht="12.75" hidden="1" customHeight="1" x14ac:dyDescent="0.25"/>
    <row r="5223" ht="12.75" hidden="1" customHeight="1" x14ac:dyDescent="0.25"/>
    <row r="5224" ht="12.75" hidden="1" customHeight="1" x14ac:dyDescent="0.25"/>
    <row r="5225" ht="12.75" hidden="1" customHeight="1" x14ac:dyDescent="0.25"/>
    <row r="5226" ht="12.75" hidden="1" customHeight="1" x14ac:dyDescent="0.25"/>
    <row r="5227" ht="12.75" hidden="1" customHeight="1" x14ac:dyDescent="0.25"/>
    <row r="5228" ht="12.75" hidden="1" customHeight="1" x14ac:dyDescent="0.25"/>
    <row r="5229" ht="12.75" hidden="1" customHeight="1" x14ac:dyDescent="0.25"/>
    <row r="5230" ht="12.75" hidden="1" customHeight="1" x14ac:dyDescent="0.25"/>
    <row r="5231" ht="12.75" hidden="1" customHeight="1" x14ac:dyDescent="0.25"/>
    <row r="5232" ht="12.75" hidden="1" customHeight="1" x14ac:dyDescent="0.25"/>
    <row r="5233" ht="12.75" hidden="1" customHeight="1" x14ac:dyDescent="0.25"/>
    <row r="5234" ht="12.75" hidden="1" customHeight="1" x14ac:dyDescent="0.25"/>
    <row r="5235" ht="12.75" hidden="1" customHeight="1" x14ac:dyDescent="0.25"/>
    <row r="5236" ht="12.75" hidden="1" customHeight="1" x14ac:dyDescent="0.25"/>
    <row r="5237" ht="12.75" hidden="1" customHeight="1" x14ac:dyDescent="0.25"/>
    <row r="5238" ht="12.75" hidden="1" customHeight="1" x14ac:dyDescent="0.25"/>
    <row r="5239" ht="12.75" hidden="1" customHeight="1" x14ac:dyDescent="0.25"/>
    <row r="5240" ht="12.75" hidden="1" customHeight="1" x14ac:dyDescent="0.25"/>
    <row r="5241" ht="12.75" hidden="1" customHeight="1" x14ac:dyDescent="0.25"/>
    <row r="5242" ht="12.75" hidden="1" customHeight="1" x14ac:dyDescent="0.25"/>
    <row r="5243" ht="12.75" hidden="1" customHeight="1" x14ac:dyDescent="0.25"/>
    <row r="5244" ht="12.75" hidden="1" customHeight="1" x14ac:dyDescent="0.25"/>
    <row r="5245" ht="12.75" hidden="1" customHeight="1" x14ac:dyDescent="0.25"/>
    <row r="5246" ht="12.75" hidden="1" customHeight="1" x14ac:dyDescent="0.25"/>
    <row r="5247" ht="12.75" hidden="1" customHeight="1" x14ac:dyDescent="0.25"/>
    <row r="5248" ht="12.75" hidden="1" customHeight="1" x14ac:dyDescent="0.25"/>
    <row r="5249" ht="12.75" hidden="1" customHeight="1" x14ac:dyDescent="0.25"/>
    <row r="5250" ht="12.75" hidden="1" customHeight="1" x14ac:dyDescent="0.25"/>
    <row r="5251" ht="12.75" hidden="1" customHeight="1" x14ac:dyDescent="0.25"/>
    <row r="5252" ht="12.75" hidden="1" customHeight="1" x14ac:dyDescent="0.25"/>
    <row r="5253" ht="12.75" hidden="1" customHeight="1" x14ac:dyDescent="0.25"/>
    <row r="5254" ht="12.75" hidden="1" customHeight="1" x14ac:dyDescent="0.25"/>
    <row r="5255" ht="12.75" hidden="1" customHeight="1" x14ac:dyDescent="0.25"/>
    <row r="5256" ht="12.75" hidden="1" customHeight="1" x14ac:dyDescent="0.25"/>
    <row r="5257" ht="12.75" hidden="1" customHeight="1" x14ac:dyDescent="0.25"/>
    <row r="5258" ht="12.75" hidden="1" customHeight="1" x14ac:dyDescent="0.25"/>
    <row r="5259" ht="12.75" hidden="1" customHeight="1" x14ac:dyDescent="0.25"/>
    <row r="5260" ht="12.75" hidden="1" customHeight="1" x14ac:dyDescent="0.25"/>
    <row r="5261" ht="12.75" hidden="1" customHeight="1" x14ac:dyDescent="0.25"/>
    <row r="5262" ht="12.75" hidden="1" customHeight="1" x14ac:dyDescent="0.25"/>
    <row r="5263" ht="12.75" hidden="1" customHeight="1" x14ac:dyDescent="0.25"/>
    <row r="5264" ht="12.75" hidden="1" customHeight="1" x14ac:dyDescent="0.25"/>
    <row r="5265" ht="12.75" hidden="1" customHeight="1" x14ac:dyDescent="0.25"/>
    <row r="5266" ht="12.75" hidden="1" customHeight="1" x14ac:dyDescent="0.25"/>
    <row r="5267" ht="12.75" hidden="1" customHeight="1" x14ac:dyDescent="0.25"/>
    <row r="5268" ht="12.75" hidden="1" customHeight="1" x14ac:dyDescent="0.25"/>
    <row r="5269" ht="12.75" hidden="1" customHeight="1" x14ac:dyDescent="0.25"/>
    <row r="5270" ht="12.75" hidden="1" customHeight="1" x14ac:dyDescent="0.25"/>
    <row r="5271" ht="12.75" hidden="1" customHeight="1" x14ac:dyDescent="0.25"/>
    <row r="5272" ht="12.75" hidden="1" customHeight="1" x14ac:dyDescent="0.25"/>
    <row r="5273" ht="12.75" hidden="1" customHeight="1" x14ac:dyDescent="0.25"/>
    <row r="5274" ht="12.75" hidden="1" customHeight="1" x14ac:dyDescent="0.25"/>
    <row r="5275" ht="12.75" hidden="1" customHeight="1" x14ac:dyDescent="0.25"/>
    <row r="5276" ht="12.75" hidden="1" customHeight="1" x14ac:dyDescent="0.25"/>
    <row r="5277" ht="12.75" hidden="1" customHeight="1" x14ac:dyDescent="0.25"/>
    <row r="5278" ht="12.75" hidden="1" customHeight="1" x14ac:dyDescent="0.25"/>
    <row r="5279" ht="12.75" hidden="1" customHeight="1" x14ac:dyDescent="0.25"/>
    <row r="5280" ht="12.75" hidden="1" customHeight="1" x14ac:dyDescent="0.25"/>
    <row r="5281" ht="12.75" hidden="1" customHeight="1" x14ac:dyDescent="0.25"/>
    <row r="5282" ht="12.75" hidden="1" customHeight="1" x14ac:dyDescent="0.25"/>
    <row r="5283" ht="12.75" hidden="1" customHeight="1" x14ac:dyDescent="0.25"/>
    <row r="5284" ht="12.75" hidden="1" customHeight="1" x14ac:dyDescent="0.25"/>
    <row r="5285" ht="12.75" hidden="1" customHeight="1" x14ac:dyDescent="0.25"/>
    <row r="5286" ht="12.75" hidden="1" customHeight="1" x14ac:dyDescent="0.25"/>
    <row r="5287" ht="12.75" hidden="1" customHeight="1" x14ac:dyDescent="0.25"/>
    <row r="5288" ht="12.75" hidden="1" customHeight="1" x14ac:dyDescent="0.25"/>
    <row r="5289" ht="12.75" hidden="1" customHeight="1" x14ac:dyDescent="0.25"/>
    <row r="5290" ht="12.75" hidden="1" customHeight="1" x14ac:dyDescent="0.25"/>
    <row r="5291" ht="12.75" hidden="1" customHeight="1" x14ac:dyDescent="0.25"/>
    <row r="5292" ht="12.75" hidden="1" customHeight="1" x14ac:dyDescent="0.25"/>
    <row r="5293" ht="12.75" hidden="1" customHeight="1" x14ac:dyDescent="0.25"/>
    <row r="5294" ht="12.75" hidden="1" customHeight="1" x14ac:dyDescent="0.25"/>
    <row r="5295" ht="12.75" hidden="1" customHeight="1" x14ac:dyDescent="0.25"/>
    <row r="5296" ht="12.75" hidden="1" customHeight="1" x14ac:dyDescent="0.25"/>
    <row r="5297" ht="12.75" hidden="1" customHeight="1" x14ac:dyDescent="0.25"/>
    <row r="5298" ht="12.75" hidden="1" customHeight="1" x14ac:dyDescent="0.25"/>
    <row r="5299" ht="12.75" hidden="1" customHeight="1" x14ac:dyDescent="0.25"/>
    <row r="5300" ht="12.75" hidden="1" customHeight="1" x14ac:dyDescent="0.25"/>
    <row r="5301" ht="12.75" hidden="1" customHeight="1" x14ac:dyDescent="0.25"/>
    <row r="5302" ht="12.75" hidden="1" customHeight="1" x14ac:dyDescent="0.25"/>
    <row r="5303" ht="12.75" hidden="1" customHeight="1" x14ac:dyDescent="0.25"/>
    <row r="5304" ht="12.75" hidden="1" customHeight="1" x14ac:dyDescent="0.25"/>
    <row r="5305" ht="12.75" hidden="1" customHeight="1" x14ac:dyDescent="0.25"/>
    <row r="5306" ht="12.75" hidden="1" customHeight="1" x14ac:dyDescent="0.25"/>
    <row r="5307" ht="12.75" hidden="1" customHeight="1" x14ac:dyDescent="0.25"/>
    <row r="5308" ht="12.75" hidden="1" customHeight="1" x14ac:dyDescent="0.25"/>
    <row r="5309" ht="12.75" hidden="1" customHeight="1" x14ac:dyDescent="0.25"/>
    <row r="5310" ht="12.75" hidden="1" customHeight="1" x14ac:dyDescent="0.25"/>
    <row r="5311" ht="12.75" hidden="1" customHeight="1" x14ac:dyDescent="0.25"/>
    <row r="5312" ht="12.75" hidden="1" customHeight="1" x14ac:dyDescent="0.25"/>
    <row r="5313" ht="12.75" hidden="1" customHeight="1" x14ac:dyDescent="0.25"/>
    <row r="5314" ht="12.75" hidden="1" customHeight="1" x14ac:dyDescent="0.25"/>
    <row r="5315" ht="12.75" hidden="1" customHeight="1" x14ac:dyDescent="0.25"/>
    <row r="5316" ht="12.75" hidden="1" customHeight="1" x14ac:dyDescent="0.25"/>
    <row r="5317" ht="12.75" hidden="1" customHeight="1" x14ac:dyDescent="0.25"/>
    <row r="5318" ht="12.75" hidden="1" customHeight="1" x14ac:dyDescent="0.25"/>
    <row r="5319" ht="12.75" hidden="1" customHeight="1" x14ac:dyDescent="0.25"/>
    <row r="5320" ht="12.75" hidden="1" customHeight="1" x14ac:dyDescent="0.25"/>
    <row r="5321" ht="12.75" hidden="1" customHeight="1" x14ac:dyDescent="0.25"/>
    <row r="5322" ht="12.75" hidden="1" customHeight="1" x14ac:dyDescent="0.25"/>
    <row r="5323" ht="12.75" hidden="1" customHeight="1" x14ac:dyDescent="0.25"/>
    <row r="5324" ht="12.75" hidden="1" customHeight="1" x14ac:dyDescent="0.25"/>
    <row r="5325" ht="12.75" hidden="1" customHeight="1" x14ac:dyDescent="0.25"/>
    <row r="5326" ht="12.75" hidden="1" customHeight="1" x14ac:dyDescent="0.25"/>
    <row r="5327" ht="12.75" hidden="1" customHeight="1" x14ac:dyDescent="0.25"/>
    <row r="5328" ht="12.75" hidden="1" customHeight="1" x14ac:dyDescent="0.25"/>
    <row r="5329" ht="12.75" hidden="1" customHeight="1" x14ac:dyDescent="0.25"/>
    <row r="5330" ht="12.75" hidden="1" customHeight="1" x14ac:dyDescent="0.25"/>
    <row r="5331" ht="12.75" hidden="1" customHeight="1" x14ac:dyDescent="0.25"/>
    <row r="5332" ht="12.75" hidden="1" customHeight="1" x14ac:dyDescent="0.25"/>
    <row r="5333" ht="12.75" hidden="1" customHeight="1" x14ac:dyDescent="0.25"/>
    <row r="5334" ht="12.75" hidden="1" customHeight="1" x14ac:dyDescent="0.25"/>
    <row r="5335" ht="12.75" hidden="1" customHeight="1" x14ac:dyDescent="0.25"/>
    <row r="5336" ht="12.75" hidden="1" customHeight="1" x14ac:dyDescent="0.25"/>
    <row r="5337" ht="12.75" hidden="1" customHeight="1" x14ac:dyDescent="0.25"/>
    <row r="5338" ht="12.75" hidden="1" customHeight="1" x14ac:dyDescent="0.25"/>
    <row r="5339" ht="12.75" hidden="1" customHeight="1" x14ac:dyDescent="0.25"/>
    <row r="5340" ht="12.75" hidden="1" customHeight="1" x14ac:dyDescent="0.25"/>
    <row r="5341" ht="12.75" hidden="1" customHeight="1" x14ac:dyDescent="0.25"/>
    <row r="5342" ht="12.75" hidden="1" customHeight="1" x14ac:dyDescent="0.25"/>
    <row r="5343" ht="12.75" hidden="1" customHeight="1" x14ac:dyDescent="0.25"/>
    <row r="5344" ht="12.75" hidden="1" customHeight="1" x14ac:dyDescent="0.25"/>
    <row r="5345" ht="12.75" hidden="1" customHeight="1" x14ac:dyDescent="0.25"/>
    <row r="5346" ht="12.75" hidden="1" customHeight="1" x14ac:dyDescent="0.25"/>
    <row r="5347" ht="12.75" hidden="1" customHeight="1" x14ac:dyDescent="0.25"/>
    <row r="5348" ht="12.75" hidden="1" customHeight="1" x14ac:dyDescent="0.25"/>
    <row r="5349" ht="12.75" hidden="1" customHeight="1" x14ac:dyDescent="0.25"/>
    <row r="5350" ht="12.75" hidden="1" customHeight="1" x14ac:dyDescent="0.25"/>
    <row r="5351" ht="12.75" hidden="1" customHeight="1" x14ac:dyDescent="0.25"/>
    <row r="5352" ht="12.75" hidden="1" customHeight="1" x14ac:dyDescent="0.25"/>
    <row r="5353" ht="12.75" hidden="1" customHeight="1" x14ac:dyDescent="0.25"/>
    <row r="5354" ht="12.75" hidden="1" customHeight="1" x14ac:dyDescent="0.25"/>
    <row r="5355" ht="12.75" hidden="1" customHeight="1" x14ac:dyDescent="0.25"/>
    <row r="5356" ht="12.75" hidden="1" customHeight="1" x14ac:dyDescent="0.25"/>
    <row r="5357" ht="12.75" hidden="1" customHeight="1" x14ac:dyDescent="0.25"/>
    <row r="5358" ht="12.75" hidden="1" customHeight="1" x14ac:dyDescent="0.25"/>
    <row r="5359" ht="12.75" hidden="1" customHeight="1" x14ac:dyDescent="0.25"/>
    <row r="5360" ht="12.75" hidden="1" customHeight="1" x14ac:dyDescent="0.25"/>
    <row r="5361" ht="12.75" hidden="1" customHeight="1" x14ac:dyDescent="0.25"/>
    <row r="5362" ht="12.75" hidden="1" customHeight="1" x14ac:dyDescent="0.25"/>
    <row r="5363" ht="12.75" hidden="1" customHeight="1" x14ac:dyDescent="0.25"/>
    <row r="5364" ht="12.75" hidden="1" customHeight="1" x14ac:dyDescent="0.25"/>
    <row r="5365" ht="12.75" hidden="1" customHeight="1" x14ac:dyDescent="0.25"/>
    <row r="5366" ht="12.75" hidden="1" customHeight="1" x14ac:dyDescent="0.25"/>
    <row r="5367" ht="12.75" hidden="1" customHeight="1" x14ac:dyDescent="0.25"/>
    <row r="5368" ht="12.75" hidden="1" customHeight="1" x14ac:dyDescent="0.25"/>
    <row r="5369" ht="12.75" hidden="1" customHeight="1" x14ac:dyDescent="0.25"/>
    <row r="5370" ht="12.75" hidden="1" customHeight="1" x14ac:dyDescent="0.25"/>
    <row r="5371" ht="12.75" hidden="1" customHeight="1" x14ac:dyDescent="0.25"/>
    <row r="5372" ht="12.75" hidden="1" customHeight="1" x14ac:dyDescent="0.25"/>
    <row r="5373" ht="12.75" hidden="1" customHeight="1" x14ac:dyDescent="0.25"/>
    <row r="5374" ht="12.75" hidden="1" customHeight="1" x14ac:dyDescent="0.25"/>
    <row r="5375" ht="12.75" hidden="1" customHeight="1" x14ac:dyDescent="0.25"/>
    <row r="5376" ht="12.75" hidden="1" customHeight="1" x14ac:dyDescent="0.25"/>
    <row r="5377" ht="12.75" hidden="1" customHeight="1" x14ac:dyDescent="0.25"/>
    <row r="5378" ht="12.75" hidden="1" customHeight="1" x14ac:dyDescent="0.25"/>
    <row r="5379" ht="12.75" hidden="1" customHeight="1" x14ac:dyDescent="0.25"/>
    <row r="5380" ht="12.75" hidden="1" customHeight="1" x14ac:dyDescent="0.25"/>
    <row r="5381" ht="12.75" hidden="1" customHeight="1" x14ac:dyDescent="0.25"/>
    <row r="5382" ht="12.75" hidden="1" customHeight="1" x14ac:dyDescent="0.25"/>
    <row r="5383" ht="12.75" hidden="1" customHeight="1" x14ac:dyDescent="0.25"/>
    <row r="5384" ht="12.75" hidden="1" customHeight="1" x14ac:dyDescent="0.25"/>
    <row r="5385" ht="12.75" hidden="1" customHeight="1" x14ac:dyDescent="0.25"/>
    <row r="5386" ht="12.75" hidden="1" customHeight="1" x14ac:dyDescent="0.25"/>
    <row r="5387" ht="12.75" hidden="1" customHeight="1" x14ac:dyDescent="0.25"/>
    <row r="5388" ht="12.75" hidden="1" customHeight="1" x14ac:dyDescent="0.25"/>
    <row r="5389" ht="12.75" hidden="1" customHeight="1" x14ac:dyDescent="0.25"/>
    <row r="5390" ht="12.75" hidden="1" customHeight="1" x14ac:dyDescent="0.25"/>
    <row r="5391" ht="12.75" hidden="1" customHeight="1" x14ac:dyDescent="0.25"/>
    <row r="5392" ht="12.75" hidden="1" customHeight="1" x14ac:dyDescent="0.25"/>
    <row r="5393" ht="12.75" hidden="1" customHeight="1" x14ac:dyDescent="0.25"/>
    <row r="5394" ht="12.75" hidden="1" customHeight="1" x14ac:dyDescent="0.25"/>
    <row r="5395" ht="12.75" hidden="1" customHeight="1" x14ac:dyDescent="0.25"/>
    <row r="5396" ht="12.75" hidden="1" customHeight="1" x14ac:dyDescent="0.25"/>
    <row r="5397" ht="12.75" hidden="1" customHeight="1" x14ac:dyDescent="0.25"/>
    <row r="5398" ht="12.75" hidden="1" customHeight="1" x14ac:dyDescent="0.25"/>
    <row r="5399" ht="12.75" hidden="1" customHeight="1" x14ac:dyDescent="0.25"/>
    <row r="5400" ht="12.75" hidden="1" customHeight="1" x14ac:dyDescent="0.25"/>
    <row r="5401" ht="12.75" hidden="1" customHeight="1" x14ac:dyDescent="0.25"/>
    <row r="5402" ht="12.75" hidden="1" customHeight="1" x14ac:dyDescent="0.25"/>
    <row r="5403" ht="12.75" hidden="1" customHeight="1" x14ac:dyDescent="0.25"/>
    <row r="5404" ht="12.75" hidden="1" customHeight="1" x14ac:dyDescent="0.25"/>
    <row r="5405" ht="12.75" hidden="1" customHeight="1" x14ac:dyDescent="0.25"/>
    <row r="5406" ht="12.75" hidden="1" customHeight="1" x14ac:dyDescent="0.25"/>
    <row r="5407" ht="12.75" hidden="1" customHeight="1" x14ac:dyDescent="0.25"/>
    <row r="5408" ht="12.75" hidden="1" customHeight="1" x14ac:dyDescent="0.25"/>
    <row r="5409" ht="12.75" hidden="1" customHeight="1" x14ac:dyDescent="0.25"/>
    <row r="5410" ht="12.75" hidden="1" customHeight="1" x14ac:dyDescent="0.25"/>
    <row r="5411" ht="12.75" hidden="1" customHeight="1" x14ac:dyDescent="0.25"/>
    <row r="5412" ht="12.75" hidden="1" customHeight="1" x14ac:dyDescent="0.25"/>
    <row r="5413" ht="12.75" hidden="1" customHeight="1" x14ac:dyDescent="0.25"/>
    <row r="5414" ht="12.75" hidden="1" customHeight="1" x14ac:dyDescent="0.25"/>
    <row r="5415" ht="12.75" hidden="1" customHeight="1" x14ac:dyDescent="0.25"/>
    <row r="5416" ht="12.75" hidden="1" customHeight="1" x14ac:dyDescent="0.25"/>
    <row r="5417" ht="12.75" hidden="1" customHeight="1" x14ac:dyDescent="0.25"/>
    <row r="5418" ht="12.75" hidden="1" customHeight="1" x14ac:dyDescent="0.25"/>
    <row r="5419" ht="12.75" hidden="1" customHeight="1" x14ac:dyDescent="0.25"/>
    <row r="5420" ht="12.75" hidden="1" customHeight="1" x14ac:dyDescent="0.25"/>
    <row r="5421" ht="12.75" hidden="1" customHeight="1" x14ac:dyDescent="0.25"/>
    <row r="5422" ht="12.75" hidden="1" customHeight="1" x14ac:dyDescent="0.25"/>
    <row r="5423" ht="12.75" hidden="1" customHeight="1" x14ac:dyDescent="0.25"/>
    <row r="5424" ht="12.75" hidden="1" customHeight="1" x14ac:dyDescent="0.25"/>
    <row r="5425" ht="12.75" hidden="1" customHeight="1" x14ac:dyDescent="0.25"/>
    <row r="5426" ht="12.75" hidden="1" customHeight="1" x14ac:dyDescent="0.25"/>
    <row r="5427" ht="12.75" hidden="1" customHeight="1" x14ac:dyDescent="0.25"/>
    <row r="5428" ht="12.75" hidden="1" customHeight="1" x14ac:dyDescent="0.25"/>
    <row r="5429" ht="12.75" hidden="1" customHeight="1" x14ac:dyDescent="0.25"/>
    <row r="5430" ht="12.75" hidden="1" customHeight="1" x14ac:dyDescent="0.25"/>
    <row r="5431" ht="12.75" hidden="1" customHeight="1" x14ac:dyDescent="0.25"/>
    <row r="5432" ht="12.75" hidden="1" customHeight="1" x14ac:dyDescent="0.25"/>
    <row r="5433" ht="12.75" hidden="1" customHeight="1" x14ac:dyDescent="0.25"/>
    <row r="5434" ht="12.75" hidden="1" customHeight="1" x14ac:dyDescent="0.25"/>
    <row r="5435" ht="12.75" hidden="1" customHeight="1" x14ac:dyDescent="0.25"/>
    <row r="5436" ht="12.75" hidden="1" customHeight="1" x14ac:dyDescent="0.25"/>
    <row r="5437" ht="12.75" hidden="1" customHeight="1" x14ac:dyDescent="0.25"/>
    <row r="5438" ht="12.75" hidden="1" customHeight="1" x14ac:dyDescent="0.25"/>
    <row r="5439" ht="12.75" hidden="1" customHeight="1" x14ac:dyDescent="0.25"/>
    <row r="5440" ht="12.75" hidden="1" customHeight="1" x14ac:dyDescent="0.25"/>
    <row r="5441" ht="12.75" hidden="1" customHeight="1" x14ac:dyDescent="0.25"/>
    <row r="5442" ht="12.75" hidden="1" customHeight="1" x14ac:dyDescent="0.25"/>
    <row r="5443" ht="12.75" hidden="1" customHeight="1" x14ac:dyDescent="0.25"/>
    <row r="5444" ht="12.75" hidden="1" customHeight="1" x14ac:dyDescent="0.25"/>
    <row r="5445" ht="12.75" hidden="1" customHeight="1" x14ac:dyDescent="0.25"/>
    <row r="5446" ht="12.75" hidden="1" customHeight="1" x14ac:dyDescent="0.25"/>
    <row r="5447" ht="12.75" hidden="1" customHeight="1" x14ac:dyDescent="0.25"/>
    <row r="5448" ht="12.75" hidden="1" customHeight="1" x14ac:dyDescent="0.25"/>
    <row r="5449" ht="12.75" hidden="1" customHeight="1" x14ac:dyDescent="0.25"/>
    <row r="5450" ht="12.75" hidden="1" customHeight="1" x14ac:dyDescent="0.25"/>
    <row r="5451" ht="12.75" hidden="1" customHeight="1" x14ac:dyDescent="0.25"/>
    <row r="5452" ht="12.75" hidden="1" customHeight="1" x14ac:dyDescent="0.25"/>
    <row r="5453" ht="12.75" hidden="1" customHeight="1" x14ac:dyDescent="0.25"/>
    <row r="5454" ht="12.75" hidden="1" customHeight="1" x14ac:dyDescent="0.25"/>
    <row r="5455" ht="12.75" hidden="1" customHeight="1" x14ac:dyDescent="0.25"/>
    <row r="5456" ht="12.75" hidden="1" customHeight="1" x14ac:dyDescent="0.25"/>
    <row r="5457" ht="12.75" hidden="1" customHeight="1" x14ac:dyDescent="0.25"/>
    <row r="5458" ht="12.75" hidden="1" customHeight="1" x14ac:dyDescent="0.25"/>
    <row r="5459" ht="12.75" hidden="1" customHeight="1" x14ac:dyDescent="0.25"/>
    <row r="5460" ht="12.75" hidden="1" customHeight="1" x14ac:dyDescent="0.25"/>
    <row r="5461" ht="12.75" hidden="1" customHeight="1" x14ac:dyDescent="0.25"/>
    <row r="5462" ht="12.75" hidden="1" customHeight="1" x14ac:dyDescent="0.25"/>
    <row r="5463" ht="12.75" hidden="1" customHeight="1" x14ac:dyDescent="0.25"/>
    <row r="5464" ht="12.75" hidden="1" customHeight="1" x14ac:dyDescent="0.25"/>
    <row r="5465" ht="12.75" hidden="1" customHeight="1" x14ac:dyDescent="0.25"/>
    <row r="5466" ht="12.75" hidden="1" customHeight="1" x14ac:dyDescent="0.25"/>
    <row r="5467" ht="12.75" hidden="1" customHeight="1" x14ac:dyDescent="0.25"/>
    <row r="5468" ht="12.75" hidden="1" customHeight="1" x14ac:dyDescent="0.25"/>
    <row r="5469" ht="12.75" hidden="1" customHeight="1" x14ac:dyDescent="0.25"/>
    <row r="5470" ht="12.75" hidden="1" customHeight="1" x14ac:dyDescent="0.25"/>
    <row r="5471" ht="12.75" hidden="1" customHeight="1" x14ac:dyDescent="0.25"/>
    <row r="5472" ht="12.75" hidden="1" customHeight="1" x14ac:dyDescent="0.25"/>
    <row r="5473" ht="12.75" hidden="1" customHeight="1" x14ac:dyDescent="0.25"/>
    <row r="5474" ht="12.75" hidden="1" customHeight="1" x14ac:dyDescent="0.25"/>
    <row r="5475" ht="12.75" hidden="1" customHeight="1" x14ac:dyDescent="0.25"/>
    <row r="5476" ht="12.75" hidden="1" customHeight="1" x14ac:dyDescent="0.25"/>
    <row r="5477" ht="12.75" hidden="1" customHeight="1" x14ac:dyDescent="0.25"/>
    <row r="5478" ht="12.75" hidden="1" customHeight="1" x14ac:dyDescent="0.25"/>
    <row r="5479" ht="12.75" hidden="1" customHeight="1" x14ac:dyDescent="0.25"/>
    <row r="5480" ht="12.75" hidden="1" customHeight="1" x14ac:dyDescent="0.25"/>
    <row r="5481" ht="12.75" hidden="1" customHeight="1" x14ac:dyDescent="0.25"/>
    <row r="5482" ht="12.75" hidden="1" customHeight="1" x14ac:dyDescent="0.25"/>
    <row r="5483" ht="12.75" hidden="1" customHeight="1" x14ac:dyDescent="0.25"/>
    <row r="5484" ht="12.75" hidden="1" customHeight="1" x14ac:dyDescent="0.25"/>
    <row r="5485" ht="12.75" hidden="1" customHeight="1" x14ac:dyDescent="0.25"/>
    <row r="5486" ht="12.75" hidden="1" customHeight="1" x14ac:dyDescent="0.25"/>
    <row r="5487" ht="12.75" hidden="1" customHeight="1" x14ac:dyDescent="0.25"/>
    <row r="5488" ht="12.75" hidden="1" customHeight="1" x14ac:dyDescent="0.25"/>
    <row r="5489" ht="12.75" hidden="1" customHeight="1" x14ac:dyDescent="0.25"/>
    <row r="5490" ht="12.75" hidden="1" customHeight="1" x14ac:dyDescent="0.25"/>
    <row r="5491" ht="12.75" hidden="1" customHeight="1" x14ac:dyDescent="0.25"/>
    <row r="5492" ht="12.75" hidden="1" customHeight="1" x14ac:dyDescent="0.25"/>
    <row r="5493" ht="12.75" hidden="1" customHeight="1" x14ac:dyDescent="0.25"/>
    <row r="5494" ht="12.75" hidden="1" customHeight="1" x14ac:dyDescent="0.25"/>
    <row r="5495" ht="12.75" hidden="1" customHeight="1" x14ac:dyDescent="0.25"/>
    <row r="5496" ht="12.75" hidden="1" customHeight="1" x14ac:dyDescent="0.25"/>
    <row r="5497" ht="12.75" hidden="1" customHeight="1" x14ac:dyDescent="0.25"/>
    <row r="5498" ht="12.75" hidden="1" customHeight="1" x14ac:dyDescent="0.25"/>
    <row r="5499" ht="12.75" hidden="1" customHeight="1" x14ac:dyDescent="0.25"/>
    <row r="5500" ht="12.75" hidden="1" customHeight="1" x14ac:dyDescent="0.25"/>
    <row r="5501" ht="12.75" hidden="1" customHeight="1" x14ac:dyDescent="0.25"/>
    <row r="5502" ht="12.75" hidden="1" customHeight="1" x14ac:dyDescent="0.25"/>
    <row r="5503" ht="12.75" hidden="1" customHeight="1" x14ac:dyDescent="0.25"/>
    <row r="5504" ht="12.75" hidden="1" customHeight="1" x14ac:dyDescent="0.25"/>
    <row r="5505" ht="12.75" hidden="1" customHeight="1" x14ac:dyDescent="0.25"/>
    <row r="5506" ht="12.75" hidden="1" customHeight="1" x14ac:dyDescent="0.25"/>
    <row r="5507" ht="12.75" hidden="1" customHeight="1" x14ac:dyDescent="0.25"/>
    <row r="5508" ht="12.75" hidden="1" customHeight="1" x14ac:dyDescent="0.25"/>
    <row r="5509" ht="12.75" hidden="1" customHeight="1" x14ac:dyDescent="0.25"/>
    <row r="5510" ht="12.75" hidden="1" customHeight="1" x14ac:dyDescent="0.25"/>
    <row r="5511" ht="12.75" hidden="1" customHeight="1" x14ac:dyDescent="0.25"/>
    <row r="5512" ht="12.75" hidden="1" customHeight="1" x14ac:dyDescent="0.25"/>
    <row r="5513" ht="12.75" hidden="1" customHeight="1" x14ac:dyDescent="0.25"/>
    <row r="5514" ht="12.75" hidden="1" customHeight="1" x14ac:dyDescent="0.25"/>
    <row r="5515" ht="12.75" hidden="1" customHeight="1" x14ac:dyDescent="0.25"/>
    <row r="5516" ht="12.75" hidden="1" customHeight="1" x14ac:dyDescent="0.25"/>
    <row r="5517" ht="12.75" hidden="1" customHeight="1" x14ac:dyDescent="0.25"/>
    <row r="5518" ht="12.75" hidden="1" customHeight="1" x14ac:dyDescent="0.25"/>
    <row r="5519" ht="12.75" hidden="1" customHeight="1" x14ac:dyDescent="0.25"/>
    <row r="5520" ht="12.75" hidden="1" customHeight="1" x14ac:dyDescent="0.25"/>
    <row r="5521" ht="12.75" hidden="1" customHeight="1" x14ac:dyDescent="0.25"/>
    <row r="5522" ht="12.75" hidden="1" customHeight="1" x14ac:dyDescent="0.25"/>
    <row r="5523" ht="12.75" hidden="1" customHeight="1" x14ac:dyDescent="0.25"/>
    <row r="5524" ht="12.75" hidden="1" customHeight="1" x14ac:dyDescent="0.25"/>
    <row r="5525" ht="12.75" hidden="1" customHeight="1" x14ac:dyDescent="0.25"/>
    <row r="5526" ht="12.75" hidden="1" customHeight="1" x14ac:dyDescent="0.25"/>
    <row r="5527" ht="12.75" hidden="1" customHeight="1" x14ac:dyDescent="0.25"/>
    <row r="5528" ht="12.75" hidden="1" customHeight="1" x14ac:dyDescent="0.25"/>
    <row r="5529" ht="12.75" hidden="1" customHeight="1" x14ac:dyDescent="0.25"/>
    <row r="5530" ht="12.75" hidden="1" customHeight="1" x14ac:dyDescent="0.25"/>
    <row r="5531" ht="12.75" hidden="1" customHeight="1" x14ac:dyDescent="0.25"/>
    <row r="5532" ht="12.75" hidden="1" customHeight="1" x14ac:dyDescent="0.25"/>
    <row r="5533" ht="12.75" hidden="1" customHeight="1" x14ac:dyDescent="0.25"/>
    <row r="5534" ht="12.75" hidden="1" customHeight="1" x14ac:dyDescent="0.25"/>
    <row r="5535" ht="12.75" hidden="1" customHeight="1" x14ac:dyDescent="0.25"/>
    <row r="5536" ht="12.75" hidden="1" customHeight="1" x14ac:dyDescent="0.25"/>
    <row r="5537" ht="12.75" hidden="1" customHeight="1" x14ac:dyDescent="0.25"/>
    <row r="5538" ht="12.75" hidden="1" customHeight="1" x14ac:dyDescent="0.25"/>
    <row r="5539" ht="12.75" hidden="1" customHeight="1" x14ac:dyDescent="0.25"/>
    <row r="5540" ht="12.75" hidden="1" customHeight="1" x14ac:dyDescent="0.25"/>
    <row r="5541" ht="12.75" hidden="1" customHeight="1" x14ac:dyDescent="0.25"/>
    <row r="5542" ht="12.75" hidden="1" customHeight="1" x14ac:dyDescent="0.25"/>
    <row r="5543" ht="12.75" hidden="1" customHeight="1" x14ac:dyDescent="0.25"/>
    <row r="5544" ht="12.75" hidden="1" customHeight="1" x14ac:dyDescent="0.25"/>
    <row r="5545" ht="12.75" hidden="1" customHeight="1" x14ac:dyDescent="0.25"/>
    <row r="5546" ht="12.75" hidden="1" customHeight="1" x14ac:dyDescent="0.25"/>
    <row r="5547" ht="12.75" hidden="1" customHeight="1" x14ac:dyDescent="0.25"/>
    <row r="5548" ht="12.75" hidden="1" customHeight="1" x14ac:dyDescent="0.25"/>
    <row r="5549" ht="12.75" hidden="1" customHeight="1" x14ac:dyDescent="0.25"/>
    <row r="5550" ht="12.75" hidden="1" customHeight="1" x14ac:dyDescent="0.25"/>
    <row r="5551" ht="12.75" hidden="1" customHeight="1" x14ac:dyDescent="0.25"/>
    <row r="5552" ht="12.75" hidden="1" customHeight="1" x14ac:dyDescent="0.25"/>
    <row r="5553" ht="12.75" hidden="1" customHeight="1" x14ac:dyDescent="0.25"/>
    <row r="5554" ht="12.75" hidden="1" customHeight="1" x14ac:dyDescent="0.25"/>
    <row r="5555" ht="12.75" hidden="1" customHeight="1" x14ac:dyDescent="0.25"/>
    <row r="5556" ht="12.75" hidden="1" customHeight="1" x14ac:dyDescent="0.25"/>
    <row r="5557" ht="12.75" hidden="1" customHeight="1" x14ac:dyDescent="0.25"/>
    <row r="5558" ht="12.75" hidden="1" customHeight="1" x14ac:dyDescent="0.25"/>
    <row r="5559" ht="12.75" hidden="1" customHeight="1" x14ac:dyDescent="0.25"/>
    <row r="5560" ht="12.75" hidden="1" customHeight="1" x14ac:dyDescent="0.25"/>
    <row r="5561" ht="12.75" hidden="1" customHeight="1" x14ac:dyDescent="0.25"/>
    <row r="5562" ht="12.75" hidden="1" customHeight="1" x14ac:dyDescent="0.25"/>
    <row r="5563" ht="12.75" hidden="1" customHeight="1" x14ac:dyDescent="0.25"/>
    <row r="5564" ht="12.75" hidden="1" customHeight="1" x14ac:dyDescent="0.25"/>
    <row r="5565" ht="12.75" hidden="1" customHeight="1" x14ac:dyDescent="0.25"/>
    <row r="5566" ht="12.75" hidden="1" customHeight="1" x14ac:dyDescent="0.25"/>
    <row r="5567" ht="12.75" hidden="1" customHeight="1" x14ac:dyDescent="0.25"/>
    <row r="5568" ht="12.75" hidden="1" customHeight="1" x14ac:dyDescent="0.25"/>
    <row r="5569" ht="12.75" hidden="1" customHeight="1" x14ac:dyDescent="0.25"/>
    <row r="5570" ht="12.75" hidden="1" customHeight="1" x14ac:dyDescent="0.25"/>
    <row r="5571" ht="12.75" hidden="1" customHeight="1" x14ac:dyDescent="0.25"/>
    <row r="5572" ht="12.75" hidden="1" customHeight="1" x14ac:dyDescent="0.25"/>
    <row r="5573" ht="12.75" hidden="1" customHeight="1" x14ac:dyDescent="0.25"/>
    <row r="5574" ht="12.75" hidden="1" customHeight="1" x14ac:dyDescent="0.25"/>
    <row r="5575" ht="12.75" hidden="1" customHeight="1" x14ac:dyDescent="0.25"/>
    <row r="5576" ht="12.75" hidden="1" customHeight="1" x14ac:dyDescent="0.25"/>
    <row r="5577" ht="12.75" hidden="1" customHeight="1" x14ac:dyDescent="0.25"/>
    <row r="5578" ht="12.75" hidden="1" customHeight="1" x14ac:dyDescent="0.25"/>
    <row r="5579" ht="12.75" hidden="1" customHeight="1" x14ac:dyDescent="0.25"/>
    <row r="5580" ht="12.75" hidden="1" customHeight="1" x14ac:dyDescent="0.25"/>
    <row r="5581" ht="12.75" hidden="1" customHeight="1" x14ac:dyDescent="0.25"/>
    <row r="5582" ht="12.75" hidden="1" customHeight="1" x14ac:dyDescent="0.25"/>
    <row r="5583" ht="12.75" hidden="1" customHeight="1" x14ac:dyDescent="0.25"/>
    <row r="5584" ht="12.75" hidden="1" customHeight="1" x14ac:dyDescent="0.25"/>
    <row r="5585" ht="12.75" hidden="1" customHeight="1" x14ac:dyDescent="0.25"/>
    <row r="5586" ht="12.75" hidden="1" customHeight="1" x14ac:dyDescent="0.25"/>
    <row r="5587" ht="12.75" hidden="1" customHeight="1" x14ac:dyDescent="0.25"/>
    <row r="5588" ht="12.75" hidden="1" customHeight="1" x14ac:dyDescent="0.25"/>
    <row r="5589" ht="12.75" hidden="1" customHeight="1" x14ac:dyDescent="0.25"/>
    <row r="5590" ht="12.75" hidden="1" customHeight="1" x14ac:dyDescent="0.25"/>
    <row r="5591" ht="12.75" hidden="1" customHeight="1" x14ac:dyDescent="0.25"/>
    <row r="5592" ht="12.75" hidden="1" customHeight="1" x14ac:dyDescent="0.25"/>
    <row r="5593" ht="12.75" hidden="1" customHeight="1" x14ac:dyDescent="0.25"/>
    <row r="5594" ht="12.75" hidden="1" customHeight="1" x14ac:dyDescent="0.25"/>
    <row r="5595" ht="12.75" hidden="1" customHeight="1" x14ac:dyDescent="0.25"/>
    <row r="5596" ht="12.75" hidden="1" customHeight="1" x14ac:dyDescent="0.25"/>
    <row r="5597" ht="12.75" hidden="1" customHeight="1" x14ac:dyDescent="0.25"/>
    <row r="5598" ht="12.75" hidden="1" customHeight="1" x14ac:dyDescent="0.25"/>
    <row r="5599" ht="12.75" hidden="1" customHeight="1" x14ac:dyDescent="0.25"/>
    <row r="5600" ht="12.75" hidden="1" customHeight="1" x14ac:dyDescent="0.25"/>
    <row r="5601" ht="12.75" hidden="1" customHeight="1" x14ac:dyDescent="0.25"/>
    <row r="5602" ht="12.75" hidden="1" customHeight="1" x14ac:dyDescent="0.25"/>
    <row r="5603" ht="12.75" hidden="1" customHeight="1" x14ac:dyDescent="0.25"/>
    <row r="5604" ht="12.75" hidden="1" customHeight="1" x14ac:dyDescent="0.25"/>
    <row r="5605" ht="12.75" hidden="1" customHeight="1" x14ac:dyDescent="0.25"/>
    <row r="5606" ht="12.75" hidden="1" customHeight="1" x14ac:dyDescent="0.25"/>
    <row r="5607" ht="12.75" hidden="1" customHeight="1" x14ac:dyDescent="0.25"/>
    <row r="5608" ht="12.75" hidden="1" customHeight="1" x14ac:dyDescent="0.25"/>
    <row r="5609" ht="12.75" hidden="1" customHeight="1" x14ac:dyDescent="0.25"/>
    <row r="5610" ht="12.75" hidden="1" customHeight="1" x14ac:dyDescent="0.25"/>
    <row r="5611" ht="12.75" hidden="1" customHeight="1" x14ac:dyDescent="0.25"/>
    <row r="5612" ht="12.75" hidden="1" customHeight="1" x14ac:dyDescent="0.25"/>
    <row r="5613" ht="12.75" hidden="1" customHeight="1" x14ac:dyDescent="0.25"/>
    <row r="5614" ht="12.75" hidden="1" customHeight="1" x14ac:dyDescent="0.25"/>
    <row r="5615" ht="12.75" hidden="1" customHeight="1" x14ac:dyDescent="0.25"/>
    <row r="5616" ht="12.75" hidden="1" customHeight="1" x14ac:dyDescent="0.25"/>
    <row r="5617" ht="12.75" hidden="1" customHeight="1" x14ac:dyDescent="0.25"/>
    <row r="5618" ht="12.75" hidden="1" customHeight="1" x14ac:dyDescent="0.25"/>
    <row r="5619" ht="12.75" hidden="1" customHeight="1" x14ac:dyDescent="0.25"/>
    <row r="5620" ht="12.75" hidden="1" customHeight="1" x14ac:dyDescent="0.25"/>
    <row r="5621" ht="12.75" hidden="1" customHeight="1" x14ac:dyDescent="0.25"/>
    <row r="5622" ht="12.75" hidden="1" customHeight="1" x14ac:dyDescent="0.25"/>
    <row r="5623" ht="12.75" hidden="1" customHeight="1" x14ac:dyDescent="0.25"/>
    <row r="5624" ht="12.75" hidden="1" customHeight="1" x14ac:dyDescent="0.25"/>
    <row r="5625" ht="12.75" hidden="1" customHeight="1" x14ac:dyDescent="0.25"/>
    <row r="5626" ht="12.75" hidden="1" customHeight="1" x14ac:dyDescent="0.25"/>
    <row r="5627" ht="12.75" hidden="1" customHeight="1" x14ac:dyDescent="0.25"/>
    <row r="5628" ht="12.75" hidden="1" customHeight="1" x14ac:dyDescent="0.25"/>
    <row r="5629" ht="12.75" hidden="1" customHeight="1" x14ac:dyDescent="0.25"/>
    <row r="5630" ht="12.75" hidden="1" customHeight="1" x14ac:dyDescent="0.25"/>
    <row r="5631" ht="12.75" hidden="1" customHeight="1" x14ac:dyDescent="0.25"/>
    <row r="5632" ht="12.75" hidden="1" customHeight="1" x14ac:dyDescent="0.25"/>
    <row r="5633" ht="12.75" hidden="1" customHeight="1" x14ac:dyDescent="0.25"/>
    <row r="5634" ht="12.75" hidden="1" customHeight="1" x14ac:dyDescent="0.25"/>
    <row r="5635" ht="12.75" hidden="1" customHeight="1" x14ac:dyDescent="0.25"/>
    <row r="5636" ht="12.75" hidden="1" customHeight="1" x14ac:dyDescent="0.25"/>
    <row r="5637" ht="12.75" hidden="1" customHeight="1" x14ac:dyDescent="0.25"/>
    <row r="5638" ht="12.75" hidden="1" customHeight="1" x14ac:dyDescent="0.25"/>
    <row r="5639" ht="12.75" hidden="1" customHeight="1" x14ac:dyDescent="0.25"/>
    <row r="5640" ht="12.75" hidden="1" customHeight="1" x14ac:dyDescent="0.25"/>
    <row r="5641" ht="12.75" hidden="1" customHeight="1" x14ac:dyDescent="0.25"/>
    <row r="5642" ht="12.75" hidden="1" customHeight="1" x14ac:dyDescent="0.25"/>
    <row r="5643" ht="12.75" hidden="1" customHeight="1" x14ac:dyDescent="0.25"/>
    <row r="5644" ht="12.75" hidden="1" customHeight="1" x14ac:dyDescent="0.25"/>
    <row r="5645" ht="12.75" hidden="1" customHeight="1" x14ac:dyDescent="0.25"/>
    <row r="5646" ht="12.75" hidden="1" customHeight="1" x14ac:dyDescent="0.25"/>
    <row r="5647" ht="12.75" hidden="1" customHeight="1" x14ac:dyDescent="0.25"/>
    <row r="5648" ht="12.75" hidden="1" customHeight="1" x14ac:dyDescent="0.25"/>
    <row r="5649" ht="12.75" hidden="1" customHeight="1" x14ac:dyDescent="0.25"/>
    <row r="5650" ht="12.75" hidden="1" customHeight="1" x14ac:dyDescent="0.25"/>
    <row r="5651" ht="12.75" hidden="1" customHeight="1" x14ac:dyDescent="0.25"/>
    <row r="5652" ht="12.75" hidden="1" customHeight="1" x14ac:dyDescent="0.25"/>
    <row r="5653" ht="12.75" hidden="1" customHeight="1" x14ac:dyDescent="0.25"/>
    <row r="5654" ht="12.75" hidden="1" customHeight="1" x14ac:dyDescent="0.25"/>
    <row r="5655" ht="12.75" hidden="1" customHeight="1" x14ac:dyDescent="0.25"/>
    <row r="5656" ht="12.75" hidden="1" customHeight="1" x14ac:dyDescent="0.25"/>
    <row r="5657" ht="12.75" hidden="1" customHeight="1" x14ac:dyDescent="0.25"/>
    <row r="5658" ht="12.75" hidden="1" customHeight="1" x14ac:dyDescent="0.25"/>
    <row r="5659" ht="12.75" hidden="1" customHeight="1" x14ac:dyDescent="0.25"/>
    <row r="5660" ht="12.75" hidden="1" customHeight="1" x14ac:dyDescent="0.25"/>
    <row r="5661" ht="12.75" hidden="1" customHeight="1" x14ac:dyDescent="0.25"/>
    <row r="5662" ht="12.75" hidden="1" customHeight="1" x14ac:dyDescent="0.25"/>
    <row r="5663" ht="12.75" hidden="1" customHeight="1" x14ac:dyDescent="0.25"/>
    <row r="5664" ht="12.75" hidden="1" customHeight="1" x14ac:dyDescent="0.25"/>
    <row r="5665" ht="12.75" hidden="1" customHeight="1" x14ac:dyDescent="0.25"/>
    <row r="5666" ht="12.75" hidden="1" customHeight="1" x14ac:dyDescent="0.25"/>
    <row r="5667" ht="12.75" hidden="1" customHeight="1" x14ac:dyDescent="0.25"/>
    <row r="5668" ht="12.75" hidden="1" customHeight="1" x14ac:dyDescent="0.25"/>
    <row r="5669" ht="12.75" hidden="1" customHeight="1" x14ac:dyDescent="0.25"/>
    <row r="5670" ht="12.75" hidden="1" customHeight="1" x14ac:dyDescent="0.25"/>
    <row r="5671" ht="12.75" hidden="1" customHeight="1" x14ac:dyDescent="0.25"/>
    <row r="5672" ht="12.75" hidden="1" customHeight="1" x14ac:dyDescent="0.25"/>
    <row r="5673" ht="12.75" hidden="1" customHeight="1" x14ac:dyDescent="0.25"/>
    <row r="5674" ht="12.75" hidden="1" customHeight="1" x14ac:dyDescent="0.25"/>
    <row r="5675" ht="12.75" hidden="1" customHeight="1" x14ac:dyDescent="0.25"/>
    <row r="5676" ht="12.75" hidden="1" customHeight="1" x14ac:dyDescent="0.25"/>
    <row r="5677" ht="12.75" hidden="1" customHeight="1" x14ac:dyDescent="0.25"/>
    <row r="5678" ht="12.75" hidden="1" customHeight="1" x14ac:dyDescent="0.25"/>
    <row r="5679" ht="12.75" hidden="1" customHeight="1" x14ac:dyDescent="0.25"/>
    <row r="5680" ht="12.75" hidden="1" customHeight="1" x14ac:dyDescent="0.25"/>
    <row r="5681" ht="12.75" hidden="1" customHeight="1" x14ac:dyDescent="0.25"/>
    <row r="5682" ht="12.75" hidden="1" customHeight="1" x14ac:dyDescent="0.25"/>
    <row r="5683" ht="12.75" hidden="1" customHeight="1" x14ac:dyDescent="0.25"/>
    <row r="5684" ht="12.75" hidden="1" customHeight="1" x14ac:dyDescent="0.25"/>
    <row r="5685" ht="12.75" hidden="1" customHeight="1" x14ac:dyDescent="0.25"/>
    <row r="5686" ht="12.75" hidden="1" customHeight="1" x14ac:dyDescent="0.25"/>
    <row r="5687" ht="12.75" hidden="1" customHeight="1" x14ac:dyDescent="0.25"/>
    <row r="5688" ht="12.75" hidden="1" customHeight="1" x14ac:dyDescent="0.25"/>
    <row r="5689" ht="12.75" hidden="1" customHeight="1" x14ac:dyDescent="0.25"/>
    <row r="5690" ht="12.75" hidden="1" customHeight="1" x14ac:dyDescent="0.25"/>
    <row r="5691" ht="12.75" hidden="1" customHeight="1" x14ac:dyDescent="0.25"/>
    <row r="5692" ht="12.75" hidden="1" customHeight="1" x14ac:dyDescent="0.25"/>
    <row r="5693" ht="12.75" hidden="1" customHeight="1" x14ac:dyDescent="0.25"/>
    <row r="5694" ht="12.75" hidden="1" customHeight="1" x14ac:dyDescent="0.25"/>
    <row r="5695" ht="12.75" hidden="1" customHeight="1" x14ac:dyDescent="0.25"/>
    <row r="5696" ht="12.75" hidden="1" customHeight="1" x14ac:dyDescent="0.25"/>
    <row r="5697" ht="12.75" hidden="1" customHeight="1" x14ac:dyDescent="0.25"/>
    <row r="5698" ht="12.75" hidden="1" customHeight="1" x14ac:dyDescent="0.25"/>
    <row r="5699" ht="12.75" hidden="1" customHeight="1" x14ac:dyDescent="0.25"/>
    <row r="5700" ht="12.75" hidden="1" customHeight="1" x14ac:dyDescent="0.25"/>
    <row r="5701" ht="12.75" hidden="1" customHeight="1" x14ac:dyDescent="0.25"/>
    <row r="5702" ht="12.75" hidden="1" customHeight="1" x14ac:dyDescent="0.25"/>
    <row r="5703" ht="12.75" hidden="1" customHeight="1" x14ac:dyDescent="0.25"/>
    <row r="5704" ht="12.75" hidden="1" customHeight="1" x14ac:dyDescent="0.25"/>
    <row r="5705" ht="12.75" hidden="1" customHeight="1" x14ac:dyDescent="0.25"/>
    <row r="5706" ht="12.75" hidden="1" customHeight="1" x14ac:dyDescent="0.25"/>
    <row r="5707" ht="12.75" hidden="1" customHeight="1" x14ac:dyDescent="0.25"/>
    <row r="5708" ht="12.75" hidden="1" customHeight="1" x14ac:dyDescent="0.25"/>
    <row r="5709" ht="12.75" hidden="1" customHeight="1" x14ac:dyDescent="0.25"/>
    <row r="5710" ht="12.75" hidden="1" customHeight="1" x14ac:dyDescent="0.25"/>
    <row r="5711" ht="12.75" hidden="1" customHeight="1" x14ac:dyDescent="0.25"/>
    <row r="5712" ht="12.75" hidden="1" customHeight="1" x14ac:dyDescent="0.25"/>
    <row r="5713" ht="12.75" hidden="1" customHeight="1" x14ac:dyDescent="0.25"/>
    <row r="5714" ht="12.75" hidden="1" customHeight="1" x14ac:dyDescent="0.25"/>
    <row r="5715" ht="12.75" hidden="1" customHeight="1" x14ac:dyDescent="0.25"/>
    <row r="5716" ht="12.75" hidden="1" customHeight="1" x14ac:dyDescent="0.25"/>
    <row r="5717" ht="12.75" hidden="1" customHeight="1" x14ac:dyDescent="0.25"/>
    <row r="5718" ht="12.75" hidden="1" customHeight="1" x14ac:dyDescent="0.25"/>
    <row r="5719" ht="12.75" hidden="1" customHeight="1" x14ac:dyDescent="0.25"/>
    <row r="5720" ht="12.75" hidden="1" customHeight="1" x14ac:dyDescent="0.25"/>
    <row r="5721" ht="12.75" hidden="1" customHeight="1" x14ac:dyDescent="0.25"/>
    <row r="5722" ht="12.75" hidden="1" customHeight="1" x14ac:dyDescent="0.25"/>
    <row r="5723" ht="12.75" hidden="1" customHeight="1" x14ac:dyDescent="0.25"/>
    <row r="5724" ht="12.75" hidden="1" customHeight="1" x14ac:dyDescent="0.25"/>
    <row r="5725" ht="12.75" hidden="1" customHeight="1" x14ac:dyDescent="0.25"/>
    <row r="5726" ht="12.75" hidden="1" customHeight="1" x14ac:dyDescent="0.25"/>
    <row r="5727" ht="12.75" hidden="1" customHeight="1" x14ac:dyDescent="0.25"/>
    <row r="5728" ht="12.75" hidden="1" customHeight="1" x14ac:dyDescent="0.25"/>
    <row r="5729" ht="12.75" hidden="1" customHeight="1" x14ac:dyDescent="0.25"/>
    <row r="5730" ht="12.75" hidden="1" customHeight="1" x14ac:dyDescent="0.25"/>
    <row r="5731" ht="12.75" hidden="1" customHeight="1" x14ac:dyDescent="0.25"/>
    <row r="5732" ht="12.75" hidden="1" customHeight="1" x14ac:dyDescent="0.25"/>
    <row r="5733" ht="12.75" hidden="1" customHeight="1" x14ac:dyDescent="0.25"/>
    <row r="5734" ht="12.75" hidden="1" customHeight="1" x14ac:dyDescent="0.25"/>
    <row r="5735" ht="12.75" hidden="1" customHeight="1" x14ac:dyDescent="0.25"/>
    <row r="5736" ht="12.75" hidden="1" customHeight="1" x14ac:dyDescent="0.25"/>
    <row r="5737" ht="12.75" hidden="1" customHeight="1" x14ac:dyDescent="0.25"/>
    <row r="5738" ht="12.75" hidden="1" customHeight="1" x14ac:dyDescent="0.25"/>
    <row r="5739" ht="12.75" hidden="1" customHeight="1" x14ac:dyDescent="0.25"/>
    <row r="5740" ht="12.75" hidden="1" customHeight="1" x14ac:dyDescent="0.25"/>
    <row r="5741" ht="12.75" hidden="1" customHeight="1" x14ac:dyDescent="0.25"/>
    <row r="5742" ht="12.75" hidden="1" customHeight="1" x14ac:dyDescent="0.25"/>
    <row r="5743" ht="12.75" hidden="1" customHeight="1" x14ac:dyDescent="0.25"/>
    <row r="5744" ht="12.75" hidden="1" customHeight="1" x14ac:dyDescent="0.25"/>
    <row r="5745" ht="12.75" hidden="1" customHeight="1" x14ac:dyDescent="0.25"/>
    <row r="5746" ht="12.75" hidden="1" customHeight="1" x14ac:dyDescent="0.25"/>
    <row r="5747" ht="12.75" hidden="1" customHeight="1" x14ac:dyDescent="0.25"/>
    <row r="5748" ht="12.75" hidden="1" customHeight="1" x14ac:dyDescent="0.25"/>
    <row r="5749" ht="12.75" hidden="1" customHeight="1" x14ac:dyDescent="0.25"/>
    <row r="5750" ht="12.75" hidden="1" customHeight="1" x14ac:dyDescent="0.25"/>
    <row r="5751" ht="12.75" hidden="1" customHeight="1" x14ac:dyDescent="0.25"/>
    <row r="5752" ht="12.75" hidden="1" customHeight="1" x14ac:dyDescent="0.25"/>
    <row r="5753" ht="12.75" hidden="1" customHeight="1" x14ac:dyDescent="0.25"/>
    <row r="5754" ht="12.75" hidden="1" customHeight="1" x14ac:dyDescent="0.25"/>
    <row r="5755" ht="12.75" hidden="1" customHeight="1" x14ac:dyDescent="0.25"/>
    <row r="5756" ht="12.75" hidden="1" customHeight="1" x14ac:dyDescent="0.25"/>
    <row r="5757" ht="12.75" hidden="1" customHeight="1" x14ac:dyDescent="0.25"/>
    <row r="5758" ht="12.75" hidden="1" customHeight="1" x14ac:dyDescent="0.25"/>
    <row r="5759" ht="12.75" hidden="1" customHeight="1" x14ac:dyDescent="0.25"/>
    <row r="5760" ht="12.75" hidden="1" customHeight="1" x14ac:dyDescent="0.25"/>
    <row r="5761" ht="12.75" hidden="1" customHeight="1" x14ac:dyDescent="0.25"/>
    <row r="5762" ht="12.75" hidden="1" customHeight="1" x14ac:dyDescent="0.25"/>
    <row r="5763" ht="12.75" hidden="1" customHeight="1" x14ac:dyDescent="0.25"/>
    <row r="5764" ht="12.75" hidden="1" customHeight="1" x14ac:dyDescent="0.25"/>
    <row r="5765" ht="12.75" hidden="1" customHeight="1" x14ac:dyDescent="0.25"/>
    <row r="5766" ht="12.75" hidden="1" customHeight="1" x14ac:dyDescent="0.25"/>
    <row r="5767" ht="12.75" hidden="1" customHeight="1" x14ac:dyDescent="0.25"/>
    <row r="5768" ht="12.75" hidden="1" customHeight="1" x14ac:dyDescent="0.25"/>
    <row r="5769" ht="12.75" hidden="1" customHeight="1" x14ac:dyDescent="0.25"/>
    <row r="5770" ht="12.75" hidden="1" customHeight="1" x14ac:dyDescent="0.25"/>
    <row r="5771" ht="12.75" hidden="1" customHeight="1" x14ac:dyDescent="0.25"/>
    <row r="5772" ht="12.75" hidden="1" customHeight="1" x14ac:dyDescent="0.25"/>
    <row r="5773" ht="12.75" hidden="1" customHeight="1" x14ac:dyDescent="0.25"/>
    <row r="5774" ht="12.75" hidden="1" customHeight="1" x14ac:dyDescent="0.25"/>
    <row r="5775" ht="12.75" hidden="1" customHeight="1" x14ac:dyDescent="0.25"/>
    <row r="5776" ht="12.75" hidden="1" customHeight="1" x14ac:dyDescent="0.25"/>
    <row r="5777" ht="12.75" hidden="1" customHeight="1" x14ac:dyDescent="0.25"/>
    <row r="5778" ht="12.75" hidden="1" customHeight="1" x14ac:dyDescent="0.25"/>
    <row r="5779" ht="12.75" hidden="1" customHeight="1" x14ac:dyDescent="0.25"/>
    <row r="5780" ht="12.75" hidden="1" customHeight="1" x14ac:dyDescent="0.25"/>
    <row r="5781" ht="12.75" hidden="1" customHeight="1" x14ac:dyDescent="0.25"/>
    <row r="5782" ht="12.75" hidden="1" customHeight="1" x14ac:dyDescent="0.25"/>
    <row r="5783" ht="12.75" hidden="1" customHeight="1" x14ac:dyDescent="0.25"/>
    <row r="5784" ht="12.75" hidden="1" customHeight="1" x14ac:dyDescent="0.25"/>
    <row r="5785" ht="12.75" hidden="1" customHeight="1" x14ac:dyDescent="0.25"/>
    <row r="5786" ht="12.75" hidden="1" customHeight="1" x14ac:dyDescent="0.25"/>
    <row r="5787" ht="12.75" hidden="1" customHeight="1" x14ac:dyDescent="0.25"/>
    <row r="5788" ht="12.75" hidden="1" customHeight="1" x14ac:dyDescent="0.25"/>
    <row r="5789" ht="12.75" hidden="1" customHeight="1" x14ac:dyDescent="0.25"/>
    <row r="5790" ht="12.75" hidden="1" customHeight="1" x14ac:dyDescent="0.25"/>
    <row r="5791" ht="12.75" hidden="1" customHeight="1" x14ac:dyDescent="0.25"/>
    <row r="5792" ht="12.75" hidden="1" customHeight="1" x14ac:dyDescent="0.25"/>
    <row r="5793" ht="12.75" hidden="1" customHeight="1" x14ac:dyDescent="0.25"/>
    <row r="5794" ht="12.75" hidden="1" customHeight="1" x14ac:dyDescent="0.25"/>
    <row r="5795" ht="12.75" hidden="1" customHeight="1" x14ac:dyDescent="0.25"/>
    <row r="5796" ht="12.75" hidden="1" customHeight="1" x14ac:dyDescent="0.25"/>
    <row r="5797" ht="12.75" hidden="1" customHeight="1" x14ac:dyDescent="0.25"/>
    <row r="5798" ht="12.75" hidden="1" customHeight="1" x14ac:dyDescent="0.25"/>
    <row r="5799" ht="12.75" hidden="1" customHeight="1" x14ac:dyDescent="0.25"/>
    <row r="5800" ht="12.75" hidden="1" customHeight="1" x14ac:dyDescent="0.25"/>
    <row r="5801" ht="12.75" hidden="1" customHeight="1" x14ac:dyDescent="0.25"/>
    <row r="5802" ht="12.75" hidden="1" customHeight="1" x14ac:dyDescent="0.25"/>
    <row r="5803" ht="12.75" hidden="1" customHeight="1" x14ac:dyDescent="0.25"/>
    <row r="5804" ht="12.75" hidden="1" customHeight="1" x14ac:dyDescent="0.25"/>
    <row r="5805" ht="12.75" hidden="1" customHeight="1" x14ac:dyDescent="0.25"/>
    <row r="5806" ht="12.75" hidden="1" customHeight="1" x14ac:dyDescent="0.25"/>
    <row r="5807" ht="12.75" hidden="1" customHeight="1" x14ac:dyDescent="0.25"/>
    <row r="5808" ht="12.75" hidden="1" customHeight="1" x14ac:dyDescent="0.25"/>
    <row r="5809" ht="12.75" hidden="1" customHeight="1" x14ac:dyDescent="0.25"/>
    <row r="5810" ht="12.75" hidden="1" customHeight="1" x14ac:dyDescent="0.25"/>
    <row r="5811" ht="12.75" hidden="1" customHeight="1" x14ac:dyDescent="0.25"/>
    <row r="5812" ht="12.75" hidden="1" customHeight="1" x14ac:dyDescent="0.25"/>
    <row r="5813" ht="12.75" hidden="1" customHeight="1" x14ac:dyDescent="0.25"/>
    <row r="5814" ht="12.75" hidden="1" customHeight="1" x14ac:dyDescent="0.25"/>
    <row r="5815" ht="12.75" hidden="1" customHeight="1" x14ac:dyDescent="0.25"/>
    <row r="5816" ht="12.75" hidden="1" customHeight="1" x14ac:dyDescent="0.25"/>
    <row r="5817" ht="12.75" hidden="1" customHeight="1" x14ac:dyDescent="0.25"/>
    <row r="5818" ht="12.75" hidden="1" customHeight="1" x14ac:dyDescent="0.25"/>
    <row r="5819" ht="12.75" hidden="1" customHeight="1" x14ac:dyDescent="0.25"/>
    <row r="5820" ht="12.75" hidden="1" customHeight="1" x14ac:dyDescent="0.25"/>
    <row r="5821" ht="12.75" hidden="1" customHeight="1" x14ac:dyDescent="0.25"/>
    <row r="5822" ht="12.75" hidden="1" customHeight="1" x14ac:dyDescent="0.25"/>
    <row r="5823" ht="12.75" hidden="1" customHeight="1" x14ac:dyDescent="0.25"/>
    <row r="5824" ht="12.75" hidden="1" customHeight="1" x14ac:dyDescent="0.25"/>
    <row r="5825" ht="12.75" hidden="1" customHeight="1" x14ac:dyDescent="0.25"/>
    <row r="5826" ht="12.75" hidden="1" customHeight="1" x14ac:dyDescent="0.25"/>
    <row r="5827" ht="12.75" hidden="1" customHeight="1" x14ac:dyDescent="0.25"/>
    <row r="5828" ht="12.75" hidden="1" customHeight="1" x14ac:dyDescent="0.25"/>
    <row r="5829" ht="12.75" hidden="1" customHeight="1" x14ac:dyDescent="0.25"/>
    <row r="5830" ht="12.75" hidden="1" customHeight="1" x14ac:dyDescent="0.25"/>
    <row r="5831" ht="12.75" hidden="1" customHeight="1" x14ac:dyDescent="0.25"/>
    <row r="5832" ht="12.75" hidden="1" customHeight="1" x14ac:dyDescent="0.25"/>
    <row r="5833" ht="12.75" hidden="1" customHeight="1" x14ac:dyDescent="0.25"/>
    <row r="5834" ht="12.75" hidden="1" customHeight="1" x14ac:dyDescent="0.25"/>
    <row r="5835" ht="12.75" hidden="1" customHeight="1" x14ac:dyDescent="0.25"/>
    <row r="5836" ht="12.75" hidden="1" customHeight="1" x14ac:dyDescent="0.25"/>
    <row r="5837" ht="12.75" hidden="1" customHeight="1" x14ac:dyDescent="0.25"/>
    <row r="5838" ht="12.75" hidden="1" customHeight="1" x14ac:dyDescent="0.25"/>
    <row r="5839" ht="12.75" hidden="1" customHeight="1" x14ac:dyDescent="0.25"/>
    <row r="5840" ht="12.75" hidden="1" customHeight="1" x14ac:dyDescent="0.25"/>
    <row r="5841" ht="12.75" hidden="1" customHeight="1" x14ac:dyDescent="0.25"/>
    <row r="5842" ht="12.75" hidden="1" customHeight="1" x14ac:dyDescent="0.25"/>
    <row r="5843" ht="12.75" hidden="1" customHeight="1" x14ac:dyDescent="0.25"/>
    <row r="5844" ht="12.75" hidden="1" customHeight="1" x14ac:dyDescent="0.25"/>
    <row r="5845" ht="12.75" hidden="1" customHeight="1" x14ac:dyDescent="0.25"/>
    <row r="5846" ht="12.75" hidden="1" customHeight="1" x14ac:dyDescent="0.25"/>
    <row r="5847" ht="12.75" hidden="1" customHeight="1" x14ac:dyDescent="0.25"/>
    <row r="5848" ht="12.75" hidden="1" customHeight="1" x14ac:dyDescent="0.25"/>
    <row r="5849" ht="12.75" hidden="1" customHeight="1" x14ac:dyDescent="0.25"/>
    <row r="5850" ht="12.75" hidden="1" customHeight="1" x14ac:dyDescent="0.25"/>
    <row r="5851" ht="12.75" hidden="1" customHeight="1" x14ac:dyDescent="0.25"/>
    <row r="5852" ht="12.75" hidden="1" customHeight="1" x14ac:dyDescent="0.25"/>
    <row r="5853" ht="12.75" hidden="1" customHeight="1" x14ac:dyDescent="0.25"/>
    <row r="5854" ht="12.75" hidden="1" customHeight="1" x14ac:dyDescent="0.25"/>
    <row r="5855" ht="12.75" hidden="1" customHeight="1" x14ac:dyDescent="0.25"/>
    <row r="5856" ht="12.75" hidden="1" customHeight="1" x14ac:dyDescent="0.25"/>
    <row r="5857" ht="12.75" hidden="1" customHeight="1" x14ac:dyDescent="0.25"/>
    <row r="5858" ht="12.75" hidden="1" customHeight="1" x14ac:dyDescent="0.25"/>
    <row r="5859" ht="12.75" hidden="1" customHeight="1" x14ac:dyDescent="0.25"/>
    <row r="5860" ht="12.75" hidden="1" customHeight="1" x14ac:dyDescent="0.25"/>
    <row r="5861" ht="12.75" hidden="1" customHeight="1" x14ac:dyDescent="0.25"/>
    <row r="5862" ht="12.75" hidden="1" customHeight="1" x14ac:dyDescent="0.25"/>
    <row r="5863" ht="12.75" hidden="1" customHeight="1" x14ac:dyDescent="0.25"/>
    <row r="5864" ht="12.75" hidden="1" customHeight="1" x14ac:dyDescent="0.25"/>
    <row r="5865" ht="12.75" hidden="1" customHeight="1" x14ac:dyDescent="0.25"/>
    <row r="5866" ht="12.75" hidden="1" customHeight="1" x14ac:dyDescent="0.25"/>
    <row r="5867" ht="12.75" hidden="1" customHeight="1" x14ac:dyDescent="0.25"/>
    <row r="5868" ht="12.75" hidden="1" customHeight="1" x14ac:dyDescent="0.25"/>
    <row r="5869" ht="12.75" hidden="1" customHeight="1" x14ac:dyDescent="0.25"/>
    <row r="5870" ht="12.75" hidden="1" customHeight="1" x14ac:dyDescent="0.25"/>
    <row r="5871" ht="12.75" hidden="1" customHeight="1" x14ac:dyDescent="0.25"/>
    <row r="5872" ht="12.75" hidden="1" customHeight="1" x14ac:dyDescent="0.25"/>
    <row r="5873" ht="12.75" hidden="1" customHeight="1" x14ac:dyDescent="0.25"/>
    <row r="5874" ht="12.75" hidden="1" customHeight="1" x14ac:dyDescent="0.25"/>
    <row r="5875" ht="12.75" hidden="1" customHeight="1" x14ac:dyDescent="0.25"/>
    <row r="5876" ht="12.75" hidden="1" customHeight="1" x14ac:dyDescent="0.25"/>
    <row r="5877" ht="12.75" hidden="1" customHeight="1" x14ac:dyDescent="0.25"/>
    <row r="5878" ht="12.75" hidden="1" customHeight="1" x14ac:dyDescent="0.25"/>
    <row r="5879" ht="12.75" hidden="1" customHeight="1" x14ac:dyDescent="0.25"/>
    <row r="5880" ht="12.75" hidden="1" customHeight="1" x14ac:dyDescent="0.25"/>
    <row r="5881" ht="12.75" hidden="1" customHeight="1" x14ac:dyDescent="0.25"/>
    <row r="5882" ht="12.75" hidden="1" customHeight="1" x14ac:dyDescent="0.25"/>
    <row r="5883" ht="12.75" hidden="1" customHeight="1" x14ac:dyDescent="0.25"/>
    <row r="5884" ht="12.75" hidden="1" customHeight="1" x14ac:dyDescent="0.25"/>
    <row r="5885" ht="12.75" hidden="1" customHeight="1" x14ac:dyDescent="0.25"/>
    <row r="5886" ht="12.75" hidden="1" customHeight="1" x14ac:dyDescent="0.25"/>
    <row r="5887" ht="12.75" hidden="1" customHeight="1" x14ac:dyDescent="0.25"/>
    <row r="5888" ht="12.75" hidden="1" customHeight="1" x14ac:dyDescent="0.25"/>
    <row r="5889" ht="12.75" hidden="1" customHeight="1" x14ac:dyDescent="0.25"/>
    <row r="5890" ht="12.75" hidden="1" customHeight="1" x14ac:dyDescent="0.25"/>
    <row r="5891" ht="12.75" hidden="1" customHeight="1" x14ac:dyDescent="0.25"/>
    <row r="5892" ht="12.75" hidden="1" customHeight="1" x14ac:dyDescent="0.25"/>
    <row r="5893" ht="12.75" hidden="1" customHeight="1" x14ac:dyDescent="0.25"/>
    <row r="5894" ht="12.75" hidden="1" customHeight="1" x14ac:dyDescent="0.25"/>
    <row r="5895" ht="12.75" hidden="1" customHeight="1" x14ac:dyDescent="0.25"/>
    <row r="5896" ht="12.75" hidden="1" customHeight="1" x14ac:dyDescent="0.25"/>
    <row r="5897" ht="12.75" hidden="1" customHeight="1" x14ac:dyDescent="0.25"/>
    <row r="5898" ht="12.75" hidden="1" customHeight="1" x14ac:dyDescent="0.25"/>
    <row r="5899" ht="12.75" hidden="1" customHeight="1" x14ac:dyDescent="0.25"/>
    <row r="5900" ht="12.75" hidden="1" customHeight="1" x14ac:dyDescent="0.25"/>
    <row r="5901" ht="12.75" hidden="1" customHeight="1" x14ac:dyDescent="0.25"/>
    <row r="5902" ht="12.75" hidden="1" customHeight="1" x14ac:dyDescent="0.25"/>
    <row r="5903" ht="12.75" hidden="1" customHeight="1" x14ac:dyDescent="0.25"/>
    <row r="5904" ht="12.75" hidden="1" customHeight="1" x14ac:dyDescent="0.25"/>
    <row r="5905" ht="12.75" hidden="1" customHeight="1" x14ac:dyDescent="0.25"/>
    <row r="5906" ht="12.75" hidden="1" customHeight="1" x14ac:dyDescent="0.25"/>
    <row r="5907" ht="12.75" hidden="1" customHeight="1" x14ac:dyDescent="0.25"/>
  </sheetData>
  <mergeCells count="6">
    <mergeCell ref="N18:O18"/>
    <mergeCell ref="Q4:S4"/>
    <mergeCell ref="N9:O9"/>
    <mergeCell ref="N4:O4"/>
    <mergeCell ref="U4:W4"/>
    <mergeCell ref="N13:O13"/>
  </mergeCells>
  <phoneticPr fontId="23" type="noConversion"/>
  <pageMargins left="0.7" right="0.7" top="0.75" bottom="0.75" header="0.3" footer="0.3"/>
  <pageSetup paperSize="9" orientation="portrait" horizontalDpi="90" verticalDpi="90"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Plan8"/>
  <dimension ref="A1:AT3172"/>
  <sheetViews>
    <sheetView workbookViewId="0">
      <selection sqref="A1:B1"/>
    </sheetView>
  </sheetViews>
  <sheetFormatPr defaultColWidth="15.7265625" defaultRowHeight="12.5" x14ac:dyDescent="0.25"/>
  <cols>
    <col min="1" max="6" width="15.7265625" style="12"/>
    <col min="7" max="7" width="2.7265625" style="12" customWidth="1"/>
    <col min="8" max="8" width="21.26953125" style="12" bestFit="1" customWidth="1"/>
    <col min="9" max="12" width="15.7265625" style="12"/>
    <col min="13" max="13" width="2.7265625" style="12" customWidth="1"/>
    <col min="14" max="25" width="15.7265625" style="12" hidden="1" customWidth="1"/>
    <col min="26" max="16384" width="15.7265625" style="12"/>
  </cols>
  <sheetData>
    <row r="1" spans="1:46" ht="30.75" customHeight="1" x14ac:dyDescent="0.25">
      <c r="A1" s="681"/>
      <c r="B1" s="681"/>
      <c r="C1" s="682"/>
      <c r="D1" s="682"/>
      <c r="E1" s="680"/>
      <c r="F1" s="680"/>
      <c r="J1" s="156"/>
      <c r="Z1" s="300" t="s">
        <v>782</v>
      </c>
      <c r="AA1" s="161" t="s">
        <v>783</v>
      </c>
      <c r="AB1" s="143" t="s">
        <v>784</v>
      </c>
      <c r="AC1" s="143" t="s">
        <v>785</v>
      </c>
      <c r="AD1" s="680" t="s">
        <v>786</v>
      </c>
      <c r="AE1" s="680"/>
      <c r="AF1" s="680"/>
      <c r="AG1" s="680"/>
      <c r="AH1" s="680"/>
      <c r="AI1" s="680"/>
      <c r="AJ1" s="680"/>
      <c r="AK1" s="161" t="s">
        <v>783</v>
      </c>
      <c r="AL1" s="143" t="s">
        <v>784</v>
      </c>
      <c r="AM1" s="167" t="s">
        <v>787</v>
      </c>
      <c r="AN1" s="167" t="s">
        <v>788</v>
      </c>
      <c r="AO1" s="167" t="s">
        <v>789</v>
      </c>
      <c r="AP1" s="167" t="s">
        <v>790</v>
      </c>
      <c r="AQ1" s="148" t="s">
        <v>791</v>
      </c>
      <c r="AR1" s="148" t="s">
        <v>792</v>
      </c>
      <c r="AS1" s="148" t="s">
        <v>793</v>
      </c>
      <c r="AT1" s="148" t="s">
        <v>794</v>
      </c>
    </row>
    <row r="2" spans="1:46" ht="13" x14ac:dyDescent="0.25">
      <c r="A2" s="143"/>
      <c r="B2" s="300"/>
      <c r="C2" s="143"/>
      <c r="D2" s="357"/>
      <c r="E2" s="143"/>
      <c r="F2" s="143"/>
      <c r="Y2" s="160"/>
      <c r="Z2" s="162" t="str">
        <f>IF(COUNTIF(AA:AA,"*Peso*")&gt;0,"Peso","Boia")</f>
        <v>Boia</v>
      </c>
      <c r="AA2" s="162"/>
      <c r="AB2" s="162"/>
      <c r="AC2" s="162" t="str" cm="1">
        <f t="array" ref="AC2">IF(ISNUMBER(SEARCH("Anodo", Auxiliar2!AA2)), "", IFERROR(VALUE(RIGHT(AA2,LEN(AA2)-MIN(FIND({0;1;2;3;4;5;6;7;8;9},AA2&amp;"0123456789"))+1)),""))</f>
        <v/>
      </c>
      <c r="AD2" s="162">
        <v>1</v>
      </c>
      <c r="AE2" s="162" t="e">
        <f t="shared" ref="AE2:AE33" si="0">SMALL(AB:AB,AD2)</f>
        <v>#NUM!</v>
      </c>
      <c r="AF2" s="162">
        <f t="shared" ref="AF2:AF33" si="1">SUMIF(AB:AB,AE2,AC:AC)</f>
        <v>0</v>
      </c>
      <c r="AG2" s="162" t="str">
        <f>IFERROR(IF(AF2=0,"",IF(AND(AE2=AE1,AF2=AF1),"",AE2)),"")</f>
        <v/>
      </c>
      <c r="AH2" s="162" t="str">
        <f>IF(AF2=0,"",AF2)</f>
        <v/>
      </c>
      <c r="AI2" s="162">
        <v>1</v>
      </c>
      <c r="AJ2" s="162">
        <v>1</v>
      </c>
      <c r="AK2" s="162" t="str">
        <f>IF($Z$2="Peso",SUM(AH:AH),IFERROR(INDEX(AG2:AI121,MATCH(AJ2,AI2:AI121,0),2),""))</f>
        <v/>
      </c>
      <c r="AL2" s="162" t="str">
        <f>IF($Z$2="Peso",_xlfn.CONCAT(MIN(AG2:AG120)," : ",MAX(AG2:AG120)),IFERROR(INDEX(AG2:AI120,MATCH(AJ2,AI2:AI120,0),1),""))</f>
        <v/>
      </c>
      <c r="AM2" s="162"/>
      <c r="AN2" s="162"/>
      <c r="AO2" s="162"/>
      <c r="AP2" s="162"/>
      <c r="AQ2" s="162"/>
      <c r="AR2" s="162"/>
      <c r="AS2" s="162"/>
      <c r="AT2" s="162"/>
    </row>
    <row r="3" spans="1:46" ht="13" x14ac:dyDescent="0.25">
      <c r="A3" s="162"/>
      <c r="B3" s="162"/>
      <c r="C3" s="168"/>
      <c r="D3" s="163"/>
      <c r="E3" s="168"/>
      <c r="F3" s="168"/>
      <c r="H3" s="166" t="s">
        <v>795</v>
      </c>
      <c r="I3" s="299" t="s">
        <v>796</v>
      </c>
      <c r="J3" s="299" t="s">
        <v>652</v>
      </c>
      <c r="K3" s="299" t="s">
        <v>797</v>
      </c>
      <c r="L3" s="299" t="s">
        <v>798</v>
      </c>
      <c r="AA3" s="162"/>
      <c r="AB3" s="162"/>
      <c r="AC3" s="162" t="str" cm="1">
        <f t="array" ref="AC3">IF(ISNUMBER(SEARCH("Anodo", Auxiliar2!AA3)), "", IFERROR(VALUE(RIGHT(AA3,LEN(AA3)-MIN(FIND({0;1;2;3;4;5;6;7;8;9},AA3&amp;"0123456789"))+1)),""))</f>
        <v/>
      </c>
      <c r="AD3" s="162" t="str">
        <f xml:space="preserve"> IF(AA3&lt;&gt;"",AD2+1,"")</f>
        <v/>
      </c>
      <c r="AE3" s="162" t="e">
        <f t="shared" si="0"/>
        <v>#VALUE!</v>
      </c>
      <c r="AF3" s="162">
        <f t="shared" si="1"/>
        <v>0</v>
      </c>
      <c r="AG3" s="162" t="str">
        <f t="shared" ref="AG3:AG66" si="2">IFERROR(IF(AF3=0,"",IF(AND(AE3=AE2,AF3=AF2),"",AE3)),"")</f>
        <v/>
      </c>
      <c r="AH3" s="162" t="str">
        <f t="shared" ref="AH3:AH66" si="3">IF(AF3=0,"",AF3)</f>
        <v/>
      </c>
      <c r="AI3" s="162" t="str">
        <f>IF(AG3="","",MAX($AI$2:AI2)+1)</f>
        <v/>
      </c>
      <c r="AJ3" s="162" t="str">
        <f xml:space="preserve"> IF(AA3&lt;&gt;"",AJ2+1,"")</f>
        <v/>
      </c>
      <c r="AK3" s="162" t="str">
        <f>IF($Z$2="Peso"," ",IFERROR(INDEX(AG3:AI121,MATCH(AJ3,AI3:AI121,0),2),""))</f>
        <v/>
      </c>
      <c r="AL3" s="162" t="str">
        <f>IF($Z$2="Peso","",IFERROR(INDEX(AG3:AI120,MATCH(AJ3,AI3:AI120,0),1),""))</f>
        <v/>
      </c>
      <c r="AM3" s="162"/>
      <c r="AN3" s="162"/>
      <c r="AO3" s="162"/>
      <c r="AP3" s="162"/>
      <c r="AQ3" s="162"/>
      <c r="AR3" s="162"/>
      <c r="AS3" s="162"/>
      <c r="AT3" s="162"/>
    </row>
    <row r="4" spans="1:46" ht="13" x14ac:dyDescent="0.25">
      <c r="A4" s="162"/>
      <c r="B4" s="162"/>
      <c r="C4" s="168"/>
      <c r="D4" s="163"/>
      <c r="E4" s="168"/>
      <c r="F4" s="168"/>
      <c r="H4" s="303" t="s">
        <v>799</v>
      </c>
      <c r="I4" s="25" t="e">
        <f>VLOOKUP(-0.001,B13:E2003,4,TRUE)</f>
        <v>#N/A</v>
      </c>
      <c r="J4" s="25" t="e">
        <f>VLOOKUP(I4,E:F,2,FALSE)</f>
        <v>#N/A</v>
      </c>
      <c r="K4" s="562" t="s">
        <v>588</v>
      </c>
      <c r="L4" s="562" t="s">
        <v>588</v>
      </c>
      <c r="AA4" s="162"/>
      <c r="AB4" s="162"/>
      <c r="AC4" s="162" t="str" cm="1">
        <f t="array" ref="AC4">IF(ISNUMBER(SEARCH("Anodo", Auxiliar2!AA4)), "", IFERROR(VALUE(RIGHT(AA4,LEN(AA4)-MIN(FIND({0;1;2;3;4;5;6;7;8;9},AA4&amp;"0123456789"))+1)),""))</f>
        <v/>
      </c>
      <c r="AD4" s="162" t="str">
        <f xml:space="preserve"> IF(AA4&lt;&gt;"",AD3+1,"")</f>
        <v/>
      </c>
      <c r="AE4" s="162" t="e">
        <f t="shared" si="0"/>
        <v>#VALUE!</v>
      </c>
      <c r="AF4" s="162">
        <f t="shared" si="1"/>
        <v>0</v>
      </c>
      <c r="AG4" s="162" t="str">
        <f t="shared" si="2"/>
        <v/>
      </c>
      <c r="AH4" s="162" t="str">
        <f t="shared" si="3"/>
        <v/>
      </c>
      <c r="AI4" s="162" t="str">
        <f>IF(AG4="","",MAX($AI$2:AI3)+1)</f>
        <v/>
      </c>
      <c r="AJ4" s="162" t="str">
        <f t="shared" ref="AJ4:AJ67" si="4" xml:space="preserve"> IF(AA4&lt;&gt;"",AJ3+1,"")</f>
        <v/>
      </c>
      <c r="AK4" s="162" t="str">
        <f>IF($Z$2="Peso"," ",IFERROR(INDEX(AG4:AI121,MATCH(AJ4,AI4:AI121,0),2),""))</f>
        <v/>
      </c>
      <c r="AL4" s="162" t="str">
        <f t="shared" ref="AL4:AL67" si="5">IF($Z$2="Peso","",IFERROR(INDEX(AG4:AI121,MATCH(AJ4,AI4:AI121,0),1),""))</f>
        <v/>
      </c>
      <c r="AM4" s="162"/>
      <c r="AN4" s="162"/>
      <c r="AO4" s="162"/>
      <c r="AP4" s="162"/>
      <c r="AQ4" s="162"/>
      <c r="AR4" s="162"/>
      <c r="AS4" s="162"/>
      <c r="AT4" s="162"/>
    </row>
    <row r="5" spans="1:46" ht="13" x14ac:dyDescent="0.25">
      <c r="A5" s="162"/>
      <c r="B5" s="162"/>
      <c r="C5" s="168"/>
      <c r="D5" s="163"/>
      <c r="E5" s="168"/>
      <c r="F5" s="168"/>
      <c r="H5" s="303" t="s">
        <v>800</v>
      </c>
      <c r="I5" s="25">
        <f>MAX(E:E)</f>
        <v>0</v>
      </c>
      <c r="J5" s="25" t="e">
        <f>VLOOKUP(I5,E:F,2,FALSE)</f>
        <v>#N/A</v>
      </c>
      <c r="K5" s="562" t="s">
        <v>588</v>
      </c>
      <c r="L5" s="562" t="s">
        <v>588</v>
      </c>
      <c r="AA5" s="162"/>
      <c r="AB5" s="162"/>
      <c r="AC5" s="162" t="str" cm="1">
        <f t="array" ref="AC5">IF(ISNUMBER(SEARCH("Anodo", Auxiliar2!AA5)), "", IFERROR(VALUE(RIGHT(AA5,LEN(AA5)-MIN(FIND({0;1;2;3;4;5;6;7;8;9},AA5&amp;"0123456789"))+1)),""))</f>
        <v/>
      </c>
      <c r="AD5" s="162" t="str">
        <f t="shared" ref="AD5:AD67" si="6" xml:space="preserve"> IF(AA5&lt;&gt;"",AD4+1,"")</f>
        <v/>
      </c>
      <c r="AE5" s="162" t="e">
        <f t="shared" si="0"/>
        <v>#VALUE!</v>
      </c>
      <c r="AF5" s="162">
        <f t="shared" si="1"/>
        <v>0</v>
      </c>
      <c r="AG5" s="162" t="str">
        <f t="shared" si="2"/>
        <v/>
      </c>
      <c r="AH5" s="162" t="str">
        <f t="shared" si="3"/>
        <v/>
      </c>
      <c r="AI5" s="162" t="str">
        <f>IF(AG5="","",MAX($AI$2:AI4)+1)</f>
        <v/>
      </c>
      <c r="AJ5" s="162" t="str">
        <f t="shared" si="4"/>
        <v/>
      </c>
      <c r="AK5" s="162" t="str">
        <f t="shared" ref="AK5:AK67" si="7">IF($Z$2="Peso","",IFERROR(INDEX(AG5:AI122,MATCH(AJ5,AI5:AI122,0),2),""))</f>
        <v/>
      </c>
      <c r="AL5" s="162" t="str">
        <f t="shared" si="5"/>
        <v/>
      </c>
      <c r="AM5" s="162"/>
      <c r="AN5" s="162"/>
      <c r="AO5" s="162"/>
      <c r="AP5" s="162"/>
      <c r="AQ5" s="162"/>
      <c r="AR5" s="162"/>
      <c r="AS5" s="162"/>
      <c r="AT5" s="162"/>
    </row>
    <row r="6" spans="1:46" ht="13" x14ac:dyDescent="0.25">
      <c r="A6" s="162"/>
      <c r="B6" s="162"/>
      <c r="C6" s="168"/>
      <c r="D6" s="163"/>
      <c r="E6" s="168"/>
      <c r="F6" s="168"/>
      <c r="H6" s="303" t="s">
        <v>491</v>
      </c>
      <c r="I6" s="25">
        <f>$I$5-static_position_corc1</f>
        <v>0</v>
      </c>
      <c r="J6" s="562" t="s">
        <v>588</v>
      </c>
      <c r="K6" s="169" t="e">
        <f>VLOOKUP($I$6,$A:$B,2,TRUE)</f>
        <v>#N/A</v>
      </c>
      <c r="L6" s="25" t="e">
        <f>MATCH(K6,B1:B2003,0)</f>
        <v>#N/A</v>
      </c>
      <c r="AA6" s="162"/>
      <c r="AB6" s="162"/>
      <c r="AC6" s="162" t="str" cm="1">
        <f t="array" ref="AC6">IF(ISNUMBER(SEARCH("Anodo", Auxiliar2!AA6)), "", IFERROR(VALUE(RIGHT(AA6,LEN(AA6)-MIN(FIND({0;1;2;3;4;5;6;7;8;9},AA6&amp;"0123456789"))+1)),""))</f>
        <v/>
      </c>
      <c r="AD6" s="162" t="str">
        <f t="shared" si="6"/>
        <v/>
      </c>
      <c r="AE6" s="162" t="e">
        <f t="shared" si="0"/>
        <v>#VALUE!</v>
      </c>
      <c r="AF6" s="162">
        <f t="shared" si="1"/>
        <v>0</v>
      </c>
      <c r="AG6" s="162" t="str">
        <f t="shared" si="2"/>
        <v/>
      </c>
      <c r="AH6" s="162" t="str">
        <f t="shared" si="3"/>
        <v/>
      </c>
      <c r="AI6" s="162" t="str">
        <f>IF(AG6="","",MAX($AI$2:AI5)+1)</f>
        <v/>
      </c>
      <c r="AJ6" s="162" t="str">
        <f t="shared" si="4"/>
        <v/>
      </c>
      <c r="AK6" s="162" t="str">
        <f t="shared" si="7"/>
        <v/>
      </c>
      <c r="AL6" s="162" t="str">
        <f t="shared" si="5"/>
        <v/>
      </c>
      <c r="AM6" s="162"/>
      <c r="AN6" s="162"/>
      <c r="AO6" s="162"/>
      <c r="AP6" s="162"/>
      <c r="AQ6" s="162"/>
      <c r="AR6" s="162"/>
      <c r="AS6" s="162"/>
      <c r="AT6" s="162"/>
    </row>
    <row r="7" spans="1:46" ht="13" x14ac:dyDescent="0.25">
      <c r="A7" s="162"/>
      <c r="B7" s="162"/>
      <c r="C7" s="168"/>
      <c r="D7" s="163"/>
      <c r="E7" s="168"/>
      <c r="F7" s="168"/>
      <c r="H7" s="303" t="s">
        <v>493</v>
      </c>
      <c r="I7" s="25">
        <f>$I$5-static_position_corc2</f>
        <v>0</v>
      </c>
      <c r="J7" s="562" t="s">
        <v>588</v>
      </c>
      <c r="K7" s="169" t="e">
        <f>VLOOKUP($I$7,$A:$B,2,TRUE)</f>
        <v>#N/A</v>
      </c>
      <c r="L7" s="25" t="e">
        <f>MATCH(K7,B1:B2003,0)</f>
        <v>#N/A</v>
      </c>
      <c r="AA7" s="162"/>
      <c r="AB7" s="162"/>
      <c r="AC7" s="162" t="str" cm="1">
        <f t="array" ref="AC7">IF(ISNUMBER(SEARCH("Anodo", Auxiliar2!AA7)), "", IFERROR(VALUE(RIGHT(AA7,LEN(AA7)-MIN(FIND({0;1;2;3;4;5;6;7;8;9},AA7&amp;"0123456789"))+1)),""))</f>
        <v/>
      </c>
      <c r="AD7" s="162" t="str">
        <f t="shared" si="6"/>
        <v/>
      </c>
      <c r="AE7" s="162" t="e">
        <f t="shared" si="0"/>
        <v>#VALUE!</v>
      </c>
      <c r="AF7" s="162">
        <f t="shared" si="1"/>
        <v>0</v>
      </c>
      <c r="AG7" s="162" t="str">
        <f t="shared" si="2"/>
        <v/>
      </c>
      <c r="AH7" s="162" t="str">
        <f t="shared" si="3"/>
        <v/>
      </c>
      <c r="AI7" s="162" t="str">
        <f>IF(AG7="","",MAX($AI$2:AI6)+1)</f>
        <v/>
      </c>
      <c r="AJ7" s="162" t="str">
        <f t="shared" si="4"/>
        <v/>
      </c>
      <c r="AK7" s="162" t="str">
        <f t="shared" si="7"/>
        <v/>
      </c>
      <c r="AL7" s="162" t="str">
        <f t="shared" si="5"/>
        <v/>
      </c>
      <c r="AM7" s="162"/>
      <c r="AN7" s="162"/>
      <c r="AO7" s="162"/>
      <c r="AP7" s="162"/>
      <c r="AQ7" s="162"/>
      <c r="AR7" s="162"/>
      <c r="AS7" s="162"/>
      <c r="AT7" s="162"/>
    </row>
    <row r="8" spans="1:46" ht="13" x14ac:dyDescent="0.25">
      <c r="A8" s="162"/>
      <c r="B8" s="162"/>
      <c r="C8" s="162"/>
      <c r="D8" s="163"/>
      <c r="E8" s="168"/>
      <c r="F8" s="168"/>
      <c r="H8" s="303" t="s">
        <v>801</v>
      </c>
      <c r="I8" s="563" t="s">
        <v>588</v>
      </c>
      <c r="J8" s="563" t="s">
        <v>588</v>
      </c>
      <c r="K8" s="328" t="e">
        <f ca="1">MAX(INDIRECT("B"&amp;L7&amp;":B"&amp;L6))</f>
        <v>#N/A</v>
      </c>
      <c r="L8" s="562" t="s">
        <v>588</v>
      </c>
      <c r="AA8" s="162"/>
      <c r="AB8" s="162"/>
      <c r="AC8" s="162" t="str" cm="1">
        <f t="array" ref="AC8">IF(ISNUMBER(SEARCH("Anodo", Auxiliar2!AA8)), "", IFERROR(VALUE(RIGHT(AA8,LEN(AA8)-MIN(FIND({0;1;2;3;4;5;6;7;8;9},AA8&amp;"0123456789"))+1)),""))</f>
        <v/>
      </c>
      <c r="AD8" s="162" t="str">
        <f t="shared" si="6"/>
        <v/>
      </c>
      <c r="AE8" s="162" t="e">
        <f t="shared" si="0"/>
        <v>#VALUE!</v>
      </c>
      <c r="AF8" s="162">
        <f t="shared" si="1"/>
        <v>0</v>
      </c>
      <c r="AG8" s="162" t="str">
        <f t="shared" si="2"/>
        <v/>
      </c>
      <c r="AH8" s="162" t="str">
        <f t="shared" si="3"/>
        <v/>
      </c>
      <c r="AI8" s="162" t="str">
        <f>IF(AG8="","",MAX($AI$2:AI7)+1)</f>
        <v/>
      </c>
      <c r="AJ8" s="162" t="str">
        <f t="shared" si="4"/>
        <v/>
      </c>
      <c r="AK8" s="162" t="str">
        <f t="shared" si="7"/>
        <v/>
      </c>
      <c r="AL8" s="162" t="str">
        <f t="shared" si="5"/>
        <v/>
      </c>
      <c r="AM8" s="162"/>
      <c r="AN8" s="162"/>
      <c r="AO8" s="162"/>
      <c r="AP8" s="162"/>
      <c r="AQ8" s="162"/>
      <c r="AR8" s="162"/>
      <c r="AS8" s="162"/>
      <c r="AT8" s="162"/>
    </row>
    <row r="9" spans="1:46" ht="13" x14ac:dyDescent="0.25">
      <c r="A9" s="162"/>
      <c r="B9" s="162"/>
      <c r="C9" s="162"/>
      <c r="D9" s="163"/>
      <c r="E9" s="168"/>
      <c r="F9" s="168"/>
      <c r="H9" s="303" t="s">
        <v>481</v>
      </c>
      <c r="I9" s="562" t="s">
        <v>588</v>
      </c>
      <c r="J9" s="562" t="s">
        <v>588</v>
      </c>
      <c r="K9" s="329" t="e">
        <f ca="1">MIN(INDIRECT("B"&amp;$K$13&amp;":B"&amp;$K$14))</f>
        <v>#N/A</v>
      </c>
      <c r="L9" s="562" t="s">
        <v>588</v>
      </c>
      <c r="AA9" s="162"/>
      <c r="AB9" s="162"/>
      <c r="AC9" s="162" t="str" cm="1">
        <f t="array" ref="AC9">IF(ISNUMBER(SEARCH("Anodo", Auxiliar2!AA9)), "", IFERROR(VALUE(RIGHT(AA9,LEN(AA9)-MIN(FIND({0;1;2;3;4;5;6;7;8;9},AA9&amp;"0123456789"))+1)),""))</f>
        <v/>
      </c>
      <c r="AD9" s="162" t="str">
        <f t="shared" si="6"/>
        <v/>
      </c>
      <c r="AE9" s="162" t="e">
        <f t="shared" si="0"/>
        <v>#VALUE!</v>
      </c>
      <c r="AF9" s="162">
        <f t="shared" si="1"/>
        <v>0</v>
      </c>
      <c r="AG9" s="162" t="str">
        <f t="shared" si="2"/>
        <v/>
      </c>
      <c r="AH9" s="162" t="str">
        <f t="shared" si="3"/>
        <v/>
      </c>
      <c r="AI9" s="162" t="str">
        <f>IF(AG9="","",MAX($AI$2:AI8)+1)</f>
        <v/>
      </c>
      <c r="AJ9" s="162" t="str">
        <f t="shared" si="4"/>
        <v/>
      </c>
      <c r="AK9" s="162" t="str">
        <f t="shared" si="7"/>
        <v/>
      </c>
      <c r="AL9" s="162" t="str">
        <f t="shared" si="5"/>
        <v/>
      </c>
      <c r="AM9" s="162"/>
      <c r="AN9" s="162"/>
      <c r="AO9" s="162"/>
      <c r="AP9" s="162"/>
      <c r="AQ9" s="162"/>
      <c r="AR9" s="162"/>
      <c r="AS9" s="162"/>
      <c r="AT9" s="162"/>
    </row>
    <row r="10" spans="1:46" ht="13" x14ac:dyDescent="0.25">
      <c r="A10" s="162"/>
      <c r="B10" s="162"/>
      <c r="C10" s="162"/>
      <c r="D10" s="163"/>
      <c r="E10" s="168"/>
      <c r="F10" s="168"/>
      <c r="H10" s="303" t="s">
        <v>802</v>
      </c>
      <c r="I10" s="562" t="s">
        <v>588</v>
      </c>
      <c r="J10" s="562" t="s">
        <v>588</v>
      </c>
      <c r="K10" s="329" t="e">
        <f ca="1">MIN(INDIRECT("D"&amp;$L$13&amp;":D"&amp;$L$14))</f>
        <v>#N/A</v>
      </c>
      <c r="L10" s="562" t="s">
        <v>588</v>
      </c>
      <c r="AA10" s="162"/>
      <c r="AB10" s="162"/>
      <c r="AC10" s="162" t="str" cm="1">
        <f t="array" ref="AC10">IF(ISNUMBER(SEARCH("Anodo", Auxiliar2!AA10)), "", IFERROR(VALUE(RIGHT(AA10,LEN(AA10)-MIN(FIND({0;1;2;3;4;5;6;7;8;9},AA10&amp;"0123456789"))+1)),""))</f>
        <v/>
      </c>
      <c r="AD10" s="162" t="str">
        <f t="shared" si="6"/>
        <v/>
      </c>
      <c r="AE10" s="162" t="e">
        <f t="shared" si="0"/>
        <v>#VALUE!</v>
      </c>
      <c r="AF10" s="162">
        <f t="shared" si="1"/>
        <v>0</v>
      </c>
      <c r="AG10" s="162" t="str">
        <f t="shared" si="2"/>
        <v/>
      </c>
      <c r="AH10" s="162" t="str">
        <f t="shared" si="3"/>
        <v/>
      </c>
      <c r="AI10" s="162" t="str">
        <f>IF(AG10="","",MAX($AI$2:AI9)+1)</f>
        <v/>
      </c>
      <c r="AJ10" s="162" t="str">
        <f t="shared" si="4"/>
        <v/>
      </c>
      <c r="AK10" s="162" t="str">
        <f t="shared" si="7"/>
        <v/>
      </c>
      <c r="AL10" s="162" t="str">
        <f t="shared" si="5"/>
        <v/>
      </c>
      <c r="AM10" s="162"/>
      <c r="AN10" s="162"/>
      <c r="AO10" s="162"/>
      <c r="AP10" s="162"/>
      <c r="AQ10" s="162"/>
      <c r="AR10" s="162"/>
      <c r="AS10" s="162"/>
      <c r="AT10" s="162"/>
    </row>
    <row r="11" spans="1:46" x14ac:dyDescent="0.25">
      <c r="A11" s="162"/>
      <c r="B11" s="162"/>
      <c r="C11" s="162"/>
      <c r="D11" s="163"/>
      <c r="E11" s="168"/>
      <c r="F11" s="168"/>
      <c r="AA11" s="162"/>
      <c r="AB11" s="162"/>
      <c r="AC11" s="162" t="str" cm="1">
        <f t="array" ref="AC11">IF(ISNUMBER(SEARCH("Anodo", Auxiliar2!AA11)), "", IFERROR(VALUE(RIGHT(AA11,LEN(AA11)-MIN(FIND({0;1;2;3;4;5;6;7;8;9},AA11&amp;"0123456789"))+1)),""))</f>
        <v/>
      </c>
      <c r="AD11" s="162" t="str">
        <f t="shared" si="6"/>
        <v/>
      </c>
      <c r="AE11" s="162" t="e">
        <f t="shared" si="0"/>
        <v>#VALUE!</v>
      </c>
      <c r="AF11" s="162">
        <f t="shared" si="1"/>
        <v>0</v>
      </c>
      <c r="AG11" s="162" t="str">
        <f t="shared" si="2"/>
        <v/>
      </c>
      <c r="AH11" s="162" t="str">
        <f t="shared" si="3"/>
        <v/>
      </c>
      <c r="AI11" s="162" t="str">
        <f>IF(AG11="","",MAX($AI$2:AI10)+1)</f>
        <v/>
      </c>
      <c r="AJ11" s="162" t="str">
        <f t="shared" si="4"/>
        <v/>
      </c>
      <c r="AK11" s="162" t="str">
        <f t="shared" si="7"/>
        <v/>
      </c>
      <c r="AL11" s="162" t="str">
        <f t="shared" si="5"/>
        <v/>
      </c>
      <c r="AM11" s="162"/>
      <c r="AN11" s="162"/>
      <c r="AO11" s="162"/>
      <c r="AP11" s="162"/>
      <c r="AQ11" s="162"/>
      <c r="AR11" s="162"/>
      <c r="AS11" s="162"/>
      <c r="AT11" s="162"/>
    </row>
    <row r="12" spans="1:46" ht="13" x14ac:dyDescent="0.25">
      <c r="A12" s="162"/>
      <c r="B12" s="162"/>
      <c r="C12" s="168"/>
      <c r="D12" s="163"/>
      <c r="E12" s="168"/>
      <c r="F12" s="168"/>
      <c r="H12" s="143" t="s">
        <v>803</v>
      </c>
      <c r="I12" s="80">
        <f>MAX(C3:C476)</f>
        <v>0</v>
      </c>
      <c r="K12" s="143" t="s">
        <v>804</v>
      </c>
      <c r="L12" s="143" t="s">
        <v>805</v>
      </c>
      <c r="AA12" s="162"/>
      <c r="AB12" s="162"/>
      <c r="AC12" s="162" t="str" cm="1">
        <f t="array" ref="AC12">IF(ISNUMBER(SEARCH("Anodo", Auxiliar2!AA12)), "", IFERROR(VALUE(RIGHT(AA12,LEN(AA12)-MIN(FIND({0;1;2;3;4;5;6;7;8;9},AA12&amp;"0123456789"))+1)),""))</f>
        <v/>
      </c>
      <c r="AD12" s="162" t="str">
        <f t="shared" si="6"/>
        <v/>
      </c>
      <c r="AE12" s="162" t="e">
        <f t="shared" si="0"/>
        <v>#VALUE!</v>
      </c>
      <c r="AF12" s="162">
        <f t="shared" si="1"/>
        <v>0</v>
      </c>
      <c r="AG12" s="162" t="str">
        <f t="shared" si="2"/>
        <v/>
      </c>
      <c r="AH12" s="162" t="str">
        <f t="shared" si="3"/>
        <v/>
      </c>
      <c r="AI12" s="162" t="str">
        <f>IF(AG12="","",MAX($AI$2:AI11)+1)</f>
        <v/>
      </c>
      <c r="AJ12" s="162" t="str">
        <f t="shared" si="4"/>
        <v/>
      </c>
      <c r="AK12" s="162" t="str">
        <f t="shared" si="7"/>
        <v/>
      </c>
      <c r="AL12" s="162" t="str">
        <f t="shared" si="5"/>
        <v/>
      </c>
      <c r="AM12" s="162"/>
      <c r="AN12" s="162"/>
      <c r="AO12" s="162"/>
      <c r="AP12" s="162"/>
      <c r="AQ12" s="162"/>
      <c r="AR12" s="162"/>
      <c r="AS12" s="162"/>
      <c r="AT12" s="162"/>
    </row>
    <row r="13" spans="1:46" x14ac:dyDescent="0.25">
      <c r="A13" s="162"/>
      <c r="B13" s="162"/>
      <c r="C13" s="162"/>
      <c r="D13" s="163"/>
      <c r="E13" s="168"/>
      <c r="F13" s="168"/>
      <c r="K13" s="168" t="e">
        <f>MATCH($I$7,$A:$A,1)</f>
        <v>#N/A</v>
      </c>
      <c r="L13" s="169">
        <v>3</v>
      </c>
      <c r="AA13" s="162"/>
      <c r="AB13" s="162"/>
      <c r="AC13" s="162" t="str" cm="1">
        <f t="array" ref="AC13">IF(ISNUMBER(SEARCH("Anodo", Auxiliar2!AA13)), "", IFERROR(VALUE(RIGHT(AA13,LEN(AA13)-MIN(FIND({0;1;2;3;4;5;6;7;8;9},AA13&amp;"0123456789"))+1)),""))</f>
        <v/>
      </c>
      <c r="AD13" s="162" t="str">
        <f t="shared" si="6"/>
        <v/>
      </c>
      <c r="AE13" s="162" t="e">
        <f t="shared" si="0"/>
        <v>#VALUE!</v>
      </c>
      <c r="AF13" s="162">
        <f t="shared" si="1"/>
        <v>0</v>
      </c>
      <c r="AG13" s="162" t="str">
        <f t="shared" si="2"/>
        <v/>
      </c>
      <c r="AH13" s="162" t="str">
        <f t="shared" si="3"/>
        <v/>
      </c>
      <c r="AI13" s="162" t="str">
        <f>IF(AG13="","",MAX($AI$2:AI12)+1)</f>
        <v/>
      </c>
      <c r="AJ13" s="162" t="str">
        <f t="shared" si="4"/>
        <v/>
      </c>
      <c r="AK13" s="162" t="str">
        <f t="shared" si="7"/>
        <v/>
      </c>
      <c r="AL13" s="162" t="str">
        <f t="shared" si="5"/>
        <v/>
      </c>
      <c r="AM13" s="162"/>
      <c r="AN13" s="162"/>
      <c r="AO13" s="162"/>
      <c r="AP13" s="162"/>
      <c r="AQ13" s="162"/>
      <c r="AR13" s="162"/>
      <c r="AS13" s="162"/>
      <c r="AT13" s="162"/>
    </row>
    <row r="14" spans="1:46" ht="12.75" customHeight="1" x14ac:dyDescent="0.25">
      <c r="A14" s="162"/>
      <c r="B14" s="162"/>
      <c r="C14" s="168"/>
      <c r="D14" s="163"/>
      <c r="E14" s="168"/>
      <c r="F14" s="168"/>
      <c r="K14" s="162" t="e">
        <f>MATCH($I$5,$A:$A,0)</f>
        <v>#N/A</v>
      </c>
      <c r="L14" s="162" t="e">
        <f>MATCH(I12,$C:$C,0)</f>
        <v>#N/A</v>
      </c>
      <c r="AA14" s="162"/>
      <c r="AB14" s="162"/>
      <c r="AC14" s="162" t="str" cm="1">
        <f t="array" ref="AC14">IF(ISNUMBER(SEARCH("Anodo", Auxiliar2!AA14)), "", IFERROR(VALUE(RIGHT(AA14,LEN(AA14)-MIN(FIND({0;1;2;3;4;5;6;7;8;9},AA14&amp;"0123456789"))+1)),""))</f>
        <v/>
      </c>
      <c r="AD14" s="162" t="str">
        <f t="shared" si="6"/>
        <v/>
      </c>
      <c r="AE14" s="162" t="e">
        <f t="shared" si="0"/>
        <v>#VALUE!</v>
      </c>
      <c r="AF14" s="162">
        <f t="shared" si="1"/>
        <v>0</v>
      </c>
      <c r="AG14" s="162" t="str">
        <f t="shared" si="2"/>
        <v/>
      </c>
      <c r="AH14" s="162" t="str">
        <f t="shared" si="3"/>
        <v/>
      </c>
      <c r="AI14" s="162" t="str">
        <f>IF(AG14="","",MAX($AI$2:AI13)+1)</f>
        <v/>
      </c>
      <c r="AJ14" s="162" t="str">
        <f t="shared" si="4"/>
        <v/>
      </c>
      <c r="AK14" s="162" t="str">
        <f t="shared" si="7"/>
        <v/>
      </c>
      <c r="AL14" s="162" t="str">
        <f t="shared" si="5"/>
        <v/>
      </c>
      <c r="AM14" s="162"/>
      <c r="AN14" s="162"/>
      <c r="AO14" s="162"/>
      <c r="AP14" s="162"/>
      <c r="AQ14" s="162"/>
      <c r="AR14" s="162"/>
      <c r="AS14" s="162"/>
      <c r="AT14" s="162"/>
    </row>
    <row r="15" spans="1:46" x14ac:dyDescent="0.25">
      <c r="A15" s="162"/>
      <c r="B15" s="162"/>
      <c r="C15" s="162"/>
      <c r="D15" s="163"/>
      <c r="E15" s="168"/>
      <c r="F15" s="168"/>
      <c r="AA15" s="162"/>
      <c r="AB15" s="162"/>
      <c r="AC15" s="162" t="str" cm="1">
        <f t="array" ref="AC15">IF(ISNUMBER(SEARCH("Anodo", Auxiliar2!AA15)), "", IFERROR(VALUE(RIGHT(AA15,LEN(AA15)-MIN(FIND({0;1;2;3;4;5;6;7;8;9},AA15&amp;"0123456789"))+1)),""))</f>
        <v/>
      </c>
      <c r="AD15" s="162" t="str">
        <f t="shared" si="6"/>
        <v/>
      </c>
      <c r="AE15" s="162" t="e">
        <f t="shared" si="0"/>
        <v>#VALUE!</v>
      </c>
      <c r="AF15" s="162">
        <f t="shared" si="1"/>
        <v>0</v>
      </c>
      <c r="AG15" s="162" t="str">
        <f t="shared" si="2"/>
        <v/>
      </c>
      <c r="AH15" s="162" t="str">
        <f t="shared" si="3"/>
        <v/>
      </c>
      <c r="AI15" s="162" t="str">
        <f>IF(AG15="","",MAX($AI$2:AI14)+1)</f>
        <v/>
      </c>
      <c r="AJ15" s="162" t="str">
        <f t="shared" si="4"/>
        <v/>
      </c>
      <c r="AK15" s="162" t="str">
        <f t="shared" si="7"/>
        <v/>
      </c>
      <c r="AL15" s="162" t="str">
        <f t="shared" si="5"/>
        <v/>
      </c>
      <c r="AM15" s="162"/>
      <c r="AN15" s="162"/>
      <c r="AO15" s="162"/>
      <c r="AP15" s="162"/>
      <c r="AQ15" s="162"/>
      <c r="AR15" s="162"/>
      <c r="AS15" s="162"/>
      <c r="AT15" s="162"/>
    </row>
    <row r="16" spans="1:46" x14ac:dyDescent="0.25">
      <c r="A16" s="162"/>
      <c r="B16" s="162"/>
      <c r="C16" s="162"/>
      <c r="D16" s="163"/>
      <c r="E16" s="168"/>
      <c r="F16" s="168"/>
      <c r="AA16" s="162"/>
      <c r="AB16" s="162"/>
      <c r="AC16" s="162" t="str" cm="1">
        <f t="array" ref="AC16">IF(ISNUMBER(SEARCH("Anodo", Auxiliar2!AA16)), "", IFERROR(VALUE(RIGHT(AA16,LEN(AA16)-MIN(FIND({0;1;2;3;4;5;6;7;8;9},AA16&amp;"0123456789"))+1)),""))</f>
        <v/>
      </c>
      <c r="AD16" s="162" t="str">
        <f t="shared" si="6"/>
        <v/>
      </c>
      <c r="AE16" s="162" t="e">
        <f t="shared" si="0"/>
        <v>#VALUE!</v>
      </c>
      <c r="AF16" s="162">
        <f t="shared" si="1"/>
        <v>0</v>
      </c>
      <c r="AG16" s="162" t="str">
        <f t="shared" si="2"/>
        <v/>
      </c>
      <c r="AH16" s="162" t="str">
        <f t="shared" si="3"/>
        <v/>
      </c>
      <c r="AI16" s="162" t="str">
        <f>IF(AG16="","",MAX($AI$2:AI15)+1)</f>
        <v/>
      </c>
      <c r="AJ16" s="162" t="str">
        <f t="shared" si="4"/>
        <v/>
      </c>
      <c r="AK16" s="162" t="str">
        <f t="shared" si="7"/>
        <v/>
      </c>
      <c r="AL16" s="162" t="str">
        <f t="shared" si="5"/>
        <v/>
      </c>
      <c r="AM16" s="162"/>
      <c r="AN16" s="162"/>
      <c r="AO16" s="162"/>
      <c r="AP16" s="162"/>
      <c r="AQ16" s="162"/>
      <c r="AR16" s="162"/>
      <c r="AS16" s="162"/>
      <c r="AT16" s="162"/>
    </row>
    <row r="17" spans="1:46" x14ac:dyDescent="0.25">
      <c r="A17" s="162"/>
      <c r="B17" s="162"/>
      <c r="C17" s="162"/>
      <c r="D17" s="163"/>
      <c r="E17" s="168"/>
      <c r="F17" s="168"/>
      <c r="L17" s="164"/>
      <c r="AA17" s="162"/>
      <c r="AB17" s="162"/>
      <c r="AC17" s="162" t="str" cm="1">
        <f t="array" ref="AC17">IF(ISNUMBER(SEARCH("Anodo", Auxiliar2!AA17)), "", IFERROR(VALUE(RIGHT(AA17,LEN(AA17)-MIN(FIND({0;1;2;3;4;5;6;7;8;9},AA17&amp;"0123456789"))+1)),""))</f>
        <v/>
      </c>
      <c r="AD17" s="162" t="str">
        <f t="shared" si="6"/>
        <v/>
      </c>
      <c r="AE17" s="162" t="e">
        <f t="shared" si="0"/>
        <v>#VALUE!</v>
      </c>
      <c r="AF17" s="162">
        <f t="shared" si="1"/>
        <v>0</v>
      </c>
      <c r="AG17" s="162" t="str">
        <f t="shared" si="2"/>
        <v/>
      </c>
      <c r="AH17" s="162" t="str">
        <f t="shared" si="3"/>
        <v/>
      </c>
      <c r="AI17" s="162" t="str">
        <f>IF(AG17="","",MAX($AI$2:AI16)+1)</f>
        <v/>
      </c>
      <c r="AJ17" s="162" t="str">
        <f t="shared" si="4"/>
        <v/>
      </c>
      <c r="AK17" s="162" t="str">
        <f t="shared" si="7"/>
        <v/>
      </c>
      <c r="AL17" s="162" t="str">
        <f t="shared" si="5"/>
        <v/>
      </c>
      <c r="AM17" s="162"/>
      <c r="AN17" s="162"/>
      <c r="AO17" s="162"/>
      <c r="AP17" s="162"/>
      <c r="AQ17" s="162"/>
      <c r="AR17" s="162"/>
      <c r="AS17" s="162"/>
      <c r="AT17" s="162"/>
    </row>
    <row r="18" spans="1:46" x14ac:dyDescent="0.25">
      <c r="A18" s="162"/>
      <c r="B18" s="162"/>
      <c r="C18" s="162"/>
      <c r="D18" s="163"/>
      <c r="E18" s="168"/>
      <c r="F18" s="168"/>
      <c r="AA18" s="162"/>
      <c r="AB18" s="162"/>
      <c r="AC18" s="162" t="str" cm="1">
        <f t="array" ref="AC18">IF(ISNUMBER(SEARCH("Anodo", Auxiliar2!AA18)), "", IFERROR(VALUE(RIGHT(AA18,LEN(AA18)-MIN(FIND({0;1;2;3;4;5;6;7;8;9},AA18&amp;"0123456789"))+1)),""))</f>
        <v/>
      </c>
      <c r="AD18" s="162" t="str">
        <f t="shared" si="6"/>
        <v/>
      </c>
      <c r="AE18" s="162" t="e">
        <f t="shared" si="0"/>
        <v>#VALUE!</v>
      </c>
      <c r="AF18" s="162">
        <f t="shared" si="1"/>
        <v>0</v>
      </c>
      <c r="AG18" s="162" t="str">
        <f t="shared" si="2"/>
        <v/>
      </c>
      <c r="AH18" s="162" t="str">
        <f t="shared" si="3"/>
        <v/>
      </c>
      <c r="AI18" s="162" t="str">
        <f>IF(AG18="","",MAX($AI$2:AI17)+1)</f>
        <v/>
      </c>
      <c r="AJ18" s="162" t="str">
        <f t="shared" si="4"/>
        <v/>
      </c>
      <c r="AK18" s="162" t="str">
        <f t="shared" si="7"/>
        <v/>
      </c>
      <c r="AL18" s="162" t="str">
        <f t="shared" si="5"/>
        <v/>
      </c>
      <c r="AM18" s="162"/>
      <c r="AN18" s="162"/>
      <c r="AO18" s="162"/>
      <c r="AP18" s="162"/>
      <c r="AQ18" s="162"/>
      <c r="AR18" s="162"/>
      <c r="AS18" s="162"/>
      <c r="AT18" s="162"/>
    </row>
    <row r="19" spans="1:46" x14ac:dyDescent="0.25">
      <c r="A19" s="162"/>
      <c r="B19" s="162"/>
      <c r="C19" s="168"/>
      <c r="D19" s="163"/>
      <c r="E19" s="168"/>
      <c r="F19" s="168"/>
      <c r="AA19" s="162"/>
      <c r="AB19" s="162"/>
      <c r="AC19" s="162" t="str" cm="1">
        <f t="array" ref="AC19">IF(ISNUMBER(SEARCH("Anodo", Auxiliar2!AA19)), "", IFERROR(VALUE(RIGHT(AA19,LEN(AA19)-MIN(FIND({0;1;2;3;4;5;6;7;8;9},AA19&amp;"0123456789"))+1)),""))</f>
        <v/>
      </c>
      <c r="AD19" s="162" t="str">
        <f t="shared" si="6"/>
        <v/>
      </c>
      <c r="AE19" s="162" t="e">
        <f t="shared" si="0"/>
        <v>#VALUE!</v>
      </c>
      <c r="AF19" s="162">
        <f t="shared" si="1"/>
        <v>0</v>
      </c>
      <c r="AG19" s="162" t="str">
        <f t="shared" si="2"/>
        <v/>
      </c>
      <c r="AH19" s="162" t="str">
        <f t="shared" si="3"/>
        <v/>
      </c>
      <c r="AI19" s="162" t="str">
        <f>IF(AG19="","",MAX($AI$2:AI18)+1)</f>
        <v/>
      </c>
      <c r="AJ19" s="162" t="str">
        <f t="shared" si="4"/>
        <v/>
      </c>
      <c r="AK19" s="162" t="str">
        <f t="shared" si="7"/>
        <v/>
      </c>
      <c r="AL19" s="162" t="str">
        <f t="shared" si="5"/>
        <v/>
      </c>
      <c r="AM19" s="162"/>
      <c r="AN19" s="162"/>
      <c r="AO19" s="162"/>
      <c r="AP19" s="162"/>
      <c r="AQ19" s="162"/>
      <c r="AR19" s="162"/>
      <c r="AS19" s="162"/>
      <c r="AT19" s="162"/>
    </row>
    <row r="20" spans="1:46" x14ac:dyDescent="0.25">
      <c r="A20" s="162"/>
      <c r="B20" s="162"/>
      <c r="C20" s="168"/>
      <c r="D20" s="163"/>
      <c r="E20" s="168"/>
      <c r="F20" s="168"/>
      <c r="AA20" s="162"/>
      <c r="AB20" s="162"/>
      <c r="AC20" s="162" t="str" cm="1">
        <f t="array" ref="AC20">IF(ISNUMBER(SEARCH("Anodo", Auxiliar2!AA20)), "", IFERROR(VALUE(RIGHT(AA20,LEN(AA20)-MIN(FIND({0;1;2;3;4;5;6;7;8;9},AA20&amp;"0123456789"))+1)),""))</f>
        <v/>
      </c>
      <c r="AD20" s="162" t="str">
        <f t="shared" si="6"/>
        <v/>
      </c>
      <c r="AE20" s="162" t="e">
        <f t="shared" si="0"/>
        <v>#VALUE!</v>
      </c>
      <c r="AF20" s="162">
        <f t="shared" si="1"/>
        <v>0</v>
      </c>
      <c r="AG20" s="162" t="str">
        <f t="shared" si="2"/>
        <v/>
      </c>
      <c r="AH20" s="162" t="str">
        <f t="shared" si="3"/>
        <v/>
      </c>
      <c r="AI20" s="162" t="str">
        <f>IF(AG20="","",MAX($AI$2:AI19)+1)</f>
        <v/>
      </c>
      <c r="AJ20" s="162" t="str">
        <f t="shared" si="4"/>
        <v/>
      </c>
      <c r="AK20" s="162" t="str">
        <f t="shared" si="7"/>
        <v/>
      </c>
      <c r="AL20" s="162" t="str">
        <f t="shared" si="5"/>
        <v/>
      </c>
      <c r="AM20" s="162"/>
      <c r="AN20" s="162"/>
      <c r="AO20" s="162"/>
      <c r="AP20" s="162"/>
      <c r="AQ20" s="162"/>
      <c r="AR20" s="162"/>
      <c r="AS20" s="162"/>
      <c r="AT20" s="162"/>
    </row>
    <row r="21" spans="1:46" x14ac:dyDescent="0.25">
      <c r="A21" s="162"/>
      <c r="B21" s="162"/>
      <c r="C21" s="162"/>
      <c r="D21" s="163"/>
      <c r="E21" s="168"/>
      <c r="F21" s="168"/>
      <c r="AA21" s="162"/>
      <c r="AB21" s="162"/>
      <c r="AC21" s="162" t="str" cm="1">
        <f t="array" ref="AC21">IF(ISNUMBER(SEARCH("Anodo", Auxiliar2!AA21)), "", IFERROR(VALUE(RIGHT(AA21,LEN(AA21)-MIN(FIND({0;1;2;3;4;5;6;7;8;9},AA21&amp;"0123456789"))+1)),""))</f>
        <v/>
      </c>
      <c r="AD21" s="162" t="str">
        <f t="shared" si="6"/>
        <v/>
      </c>
      <c r="AE21" s="162" t="e">
        <f t="shared" si="0"/>
        <v>#VALUE!</v>
      </c>
      <c r="AF21" s="162">
        <f t="shared" si="1"/>
        <v>0</v>
      </c>
      <c r="AG21" s="162" t="str">
        <f t="shared" si="2"/>
        <v/>
      </c>
      <c r="AH21" s="162" t="str">
        <f t="shared" si="3"/>
        <v/>
      </c>
      <c r="AI21" s="162" t="str">
        <f>IF(AG21="","",MAX($AI$2:AI20)+1)</f>
        <v/>
      </c>
      <c r="AJ21" s="162" t="str">
        <f t="shared" si="4"/>
        <v/>
      </c>
      <c r="AK21" s="162" t="str">
        <f t="shared" si="7"/>
        <v/>
      </c>
      <c r="AL21" s="162" t="str">
        <f t="shared" si="5"/>
        <v/>
      </c>
      <c r="AM21" s="162"/>
      <c r="AN21" s="162"/>
      <c r="AO21" s="162"/>
      <c r="AP21" s="162"/>
      <c r="AQ21" s="162"/>
      <c r="AR21" s="162"/>
      <c r="AS21" s="162"/>
      <c r="AT21" s="162"/>
    </row>
    <row r="22" spans="1:46" x14ac:dyDescent="0.25">
      <c r="A22" s="162"/>
      <c r="B22" s="162"/>
      <c r="C22" s="162"/>
      <c r="D22" s="163"/>
      <c r="E22" s="168"/>
      <c r="F22" s="168"/>
      <c r="AA22" s="162"/>
      <c r="AB22" s="162"/>
      <c r="AC22" s="162" t="str" cm="1">
        <f t="array" ref="AC22">IF(ISNUMBER(SEARCH("Anodo", Auxiliar2!AA22)), "", IFERROR(VALUE(RIGHT(AA22,LEN(AA22)-MIN(FIND({0;1;2;3;4;5;6;7;8;9},AA22&amp;"0123456789"))+1)),""))</f>
        <v/>
      </c>
      <c r="AD22" s="162" t="str">
        <f t="shared" si="6"/>
        <v/>
      </c>
      <c r="AE22" s="162" t="e">
        <f t="shared" si="0"/>
        <v>#VALUE!</v>
      </c>
      <c r="AF22" s="162">
        <f t="shared" si="1"/>
        <v>0</v>
      </c>
      <c r="AG22" s="162" t="str">
        <f t="shared" si="2"/>
        <v/>
      </c>
      <c r="AH22" s="162" t="str">
        <f t="shared" si="3"/>
        <v/>
      </c>
      <c r="AI22" s="162" t="str">
        <f>IF(AG22="","",MAX($AI$2:AI21)+1)</f>
        <v/>
      </c>
      <c r="AJ22" s="162" t="str">
        <f t="shared" si="4"/>
        <v/>
      </c>
      <c r="AK22" s="162" t="str">
        <f t="shared" si="7"/>
        <v/>
      </c>
      <c r="AL22" s="162" t="str">
        <f t="shared" si="5"/>
        <v/>
      </c>
      <c r="AM22" s="162"/>
      <c r="AN22" s="162"/>
      <c r="AO22" s="162"/>
      <c r="AP22" s="162"/>
      <c r="AQ22" s="162"/>
      <c r="AR22" s="162"/>
      <c r="AS22" s="162"/>
      <c r="AT22" s="162"/>
    </row>
    <row r="23" spans="1:46" x14ac:dyDescent="0.25">
      <c r="A23" s="162"/>
      <c r="B23" s="162"/>
      <c r="C23" s="162"/>
      <c r="D23" s="163"/>
      <c r="E23" s="168"/>
      <c r="F23" s="168"/>
      <c r="AA23" s="162"/>
      <c r="AB23" s="162"/>
      <c r="AC23" s="162" t="str" cm="1">
        <f t="array" ref="AC23">IF(ISNUMBER(SEARCH("Anodo", Auxiliar2!AA23)), "", IFERROR(VALUE(RIGHT(AA23,LEN(AA23)-MIN(FIND({0;1;2;3;4;5;6;7;8;9},AA23&amp;"0123456789"))+1)),""))</f>
        <v/>
      </c>
      <c r="AD23" s="162" t="str">
        <f t="shared" si="6"/>
        <v/>
      </c>
      <c r="AE23" s="162" t="e">
        <f t="shared" si="0"/>
        <v>#VALUE!</v>
      </c>
      <c r="AF23" s="162">
        <f t="shared" si="1"/>
        <v>0</v>
      </c>
      <c r="AG23" s="162" t="str">
        <f t="shared" si="2"/>
        <v/>
      </c>
      <c r="AH23" s="162" t="str">
        <f t="shared" si="3"/>
        <v/>
      </c>
      <c r="AI23" s="162" t="str">
        <f>IF(AG23="","",MAX($AI$2:AI22)+1)</f>
        <v/>
      </c>
      <c r="AJ23" s="162" t="str">
        <f t="shared" si="4"/>
        <v/>
      </c>
      <c r="AK23" s="162" t="str">
        <f t="shared" si="7"/>
        <v/>
      </c>
      <c r="AL23" s="162" t="str">
        <f t="shared" si="5"/>
        <v/>
      </c>
      <c r="AM23" s="162"/>
      <c r="AN23" s="162"/>
      <c r="AO23" s="162"/>
      <c r="AP23" s="162"/>
      <c r="AQ23" s="162"/>
      <c r="AR23" s="162"/>
      <c r="AS23" s="162"/>
      <c r="AT23" s="162"/>
    </row>
    <row r="24" spans="1:46" x14ac:dyDescent="0.25">
      <c r="A24" s="162"/>
      <c r="B24" s="162"/>
      <c r="C24" s="162"/>
      <c r="D24" s="163"/>
      <c r="E24" s="168"/>
      <c r="F24" s="168"/>
      <c r="AA24" s="162"/>
      <c r="AB24" s="162"/>
      <c r="AC24" s="162" t="str" cm="1">
        <f t="array" ref="AC24">IF(ISNUMBER(SEARCH("Anodo", Auxiliar2!AA24)), "", IFERROR(VALUE(RIGHT(AA24,LEN(AA24)-MIN(FIND({0;1;2;3;4;5;6;7;8;9},AA24&amp;"0123456789"))+1)),""))</f>
        <v/>
      </c>
      <c r="AD24" s="162" t="str">
        <f t="shared" si="6"/>
        <v/>
      </c>
      <c r="AE24" s="162" t="e">
        <f t="shared" si="0"/>
        <v>#VALUE!</v>
      </c>
      <c r="AF24" s="162">
        <f t="shared" si="1"/>
        <v>0</v>
      </c>
      <c r="AG24" s="162" t="str">
        <f t="shared" si="2"/>
        <v/>
      </c>
      <c r="AH24" s="162" t="str">
        <f t="shared" si="3"/>
        <v/>
      </c>
      <c r="AI24" s="162" t="str">
        <f>IF(AG24="","",MAX($AI$2:AI23)+1)</f>
        <v/>
      </c>
      <c r="AJ24" s="162" t="str">
        <f t="shared" si="4"/>
        <v/>
      </c>
      <c r="AK24" s="162" t="str">
        <f t="shared" si="7"/>
        <v/>
      </c>
      <c r="AL24" s="162" t="str">
        <f t="shared" si="5"/>
        <v/>
      </c>
      <c r="AM24" s="162"/>
      <c r="AN24" s="162"/>
      <c r="AO24" s="162"/>
      <c r="AP24" s="162"/>
      <c r="AQ24" s="162"/>
      <c r="AR24" s="162"/>
      <c r="AS24" s="162"/>
      <c r="AT24" s="162"/>
    </row>
    <row r="25" spans="1:46" x14ac:dyDescent="0.25">
      <c r="A25" s="162"/>
      <c r="B25" s="162"/>
      <c r="C25" s="168"/>
      <c r="D25" s="163"/>
      <c r="E25" s="168"/>
      <c r="F25" s="168"/>
      <c r="H25" s="164"/>
      <c r="I25" s="164"/>
      <c r="L25" s="164"/>
      <c r="AA25" s="162"/>
      <c r="AB25" s="162"/>
      <c r="AC25" s="162" t="str" cm="1">
        <f t="array" ref="AC25">IF(ISNUMBER(SEARCH("Anodo", Auxiliar2!AA25)), "", IFERROR(VALUE(RIGHT(AA25,LEN(AA25)-MIN(FIND({0;1;2;3;4;5;6;7;8;9},AA25&amp;"0123456789"))+1)),""))</f>
        <v/>
      </c>
      <c r="AD25" s="162" t="str">
        <f t="shared" si="6"/>
        <v/>
      </c>
      <c r="AE25" s="162" t="e">
        <f t="shared" si="0"/>
        <v>#VALUE!</v>
      </c>
      <c r="AF25" s="162">
        <f t="shared" si="1"/>
        <v>0</v>
      </c>
      <c r="AG25" s="162" t="str">
        <f t="shared" si="2"/>
        <v/>
      </c>
      <c r="AH25" s="162" t="str">
        <f t="shared" si="3"/>
        <v/>
      </c>
      <c r="AI25" s="162" t="str">
        <f>IF(AG25="","",MAX($AI$2:AI24)+1)</f>
        <v/>
      </c>
      <c r="AJ25" s="162" t="str">
        <f t="shared" si="4"/>
        <v/>
      </c>
      <c r="AK25" s="162" t="str">
        <f t="shared" si="7"/>
        <v/>
      </c>
      <c r="AL25" s="162" t="str">
        <f t="shared" si="5"/>
        <v/>
      </c>
      <c r="AM25" s="162"/>
      <c r="AN25" s="162"/>
      <c r="AO25" s="162"/>
      <c r="AP25" s="162"/>
      <c r="AQ25" s="162"/>
      <c r="AR25" s="162"/>
      <c r="AS25" s="162"/>
      <c r="AT25" s="162"/>
    </row>
    <row r="26" spans="1:46" x14ac:dyDescent="0.25">
      <c r="A26" s="162"/>
      <c r="B26" s="162"/>
      <c r="C26" s="168"/>
      <c r="D26" s="163"/>
      <c r="E26" s="168"/>
      <c r="F26" s="168"/>
      <c r="H26" s="164"/>
      <c r="I26" s="164"/>
      <c r="L26" s="164"/>
      <c r="AA26" s="162"/>
      <c r="AB26" s="162"/>
      <c r="AC26" s="162" t="str" cm="1">
        <f t="array" ref="AC26">IF(ISNUMBER(SEARCH("Anodo", Auxiliar2!AA26)), "", IFERROR(VALUE(RIGHT(AA26,LEN(AA26)-MIN(FIND({0;1;2;3;4;5;6;7;8;9},AA26&amp;"0123456789"))+1)),""))</f>
        <v/>
      </c>
      <c r="AD26" s="162" t="str">
        <f t="shared" si="6"/>
        <v/>
      </c>
      <c r="AE26" s="162" t="e">
        <f t="shared" si="0"/>
        <v>#VALUE!</v>
      </c>
      <c r="AF26" s="162">
        <f t="shared" si="1"/>
        <v>0</v>
      </c>
      <c r="AG26" s="162" t="str">
        <f t="shared" si="2"/>
        <v/>
      </c>
      <c r="AH26" s="162" t="str">
        <f t="shared" si="3"/>
        <v/>
      </c>
      <c r="AI26" s="162" t="str">
        <f>IF(AG26="","",MAX($AI$2:AI25)+1)</f>
        <v/>
      </c>
      <c r="AJ26" s="162" t="str">
        <f t="shared" si="4"/>
        <v/>
      </c>
      <c r="AK26" s="162" t="str">
        <f t="shared" si="7"/>
        <v/>
      </c>
      <c r="AL26" s="162" t="str">
        <f t="shared" si="5"/>
        <v/>
      </c>
      <c r="AM26" s="162"/>
      <c r="AN26" s="162"/>
      <c r="AO26" s="162"/>
      <c r="AP26" s="162"/>
      <c r="AQ26" s="162"/>
      <c r="AR26" s="162"/>
      <c r="AS26" s="162"/>
      <c r="AT26" s="162"/>
    </row>
    <row r="27" spans="1:46" x14ac:dyDescent="0.25">
      <c r="A27" s="162"/>
      <c r="B27" s="162"/>
      <c r="C27" s="168"/>
      <c r="D27" s="163"/>
      <c r="E27" s="168"/>
      <c r="F27" s="168"/>
      <c r="H27" s="164"/>
      <c r="I27" s="164"/>
      <c r="K27" s="164"/>
      <c r="L27" s="164"/>
      <c r="AA27" s="162"/>
      <c r="AB27" s="162"/>
      <c r="AC27" s="162" t="str" cm="1">
        <f t="array" ref="AC27">IF(ISNUMBER(SEARCH("Anodo", Auxiliar2!AA27)), "", IFERROR(VALUE(RIGHT(AA27,LEN(AA27)-MIN(FIND({0;1;2;3;4;5;6;7;8;9},AA27&amp;"0123456789"))+1)),""))</f>
        <v/>
      </c>
      <c r="AD27" s="162" t="str">
        <f t="shared" si="6"/>
        <v/>
      </c>
      <c r="AE27" s="162" t="e">
        <f t="shared" si="0"/>
        <v>#VALUE!</v>
      </c>
      <c r="AF27" s="162">
        <f t="shared" si="1"/>
        <v>0</v>
      </c>
      <c r="AG27" s="162" t="str">
        <f t="shared" si="2"/>
        <v/>
      </c>
      <c r="AH27" s="162" t="str">
        <f t="shared" si="3"/>
        <v/>
      </c>
      <c r="AI27" s="162" t="str">
        <f>IF(AG27="","",MAX($AI$2:AI26)+1)</f>
        <v/>
      </c>
      <c r="AJ27" s="162" t="str">
        <f t="shared" si="4"/>
        <v/>
      </c>
      <c r="AK27" s="162" t="str">
        <f t="shared" si="7"/>
        <v/>
      </c>
      <c r="AL27" s="162" t="str">
        <f t="shared" si="5"/>
        <v/>
      </c>
      <c r="AM27" s="162"/>
      <c r="AN27" s="162"/>
      <c r="AO27" s="162"/>
      <c r="AP27" s="162"/>
      <c r="AQ27" s="162"/>
      <c r="AR27" s="162"/>
      <c r="AS27" s="162"/>
      <c r="AT27" s="162"/>
    </row>
    <row r="28" spans="1:46" x14ac:dyDescent="0.25">
      <c r="A28" s="162"/>
      <c r="B28" s="162"/>
      <c r="C28" s="168"/>
      <c r="D28" s="163"/>
      <c r="E28" s="168"/>
      <c r="F28" s="168"/>
      <c r="K28" s="164"/>
      <c r="L28" s="164"/>
      <c r="AA28" s="162"/>
      <c r="AB28" s="162"/>
      <c r="AC28" s="162" t="str" cm="1">
        <f t="array" ref="AC28">IF(ISNUMBER(SEARCH("Anodo", Auxiliar2!AA28)), "", IFERROR(VALUE(RIGHT(AA28,LEN(AA28)-MIN(FIND({0;1;2;3;4;5;6;7;8;9},AA28&amp;"0123456789"))+1)),""))</f>
        <v/>
      </c>
      <c r="AD28" s="162" t="str">
        <f t="shared" si="6"/>
        <v/>
      </c>
      <c r="AE28" s="162" t="e">
        <f t="shared" si="0"/>
        <v>#VALUE!</v>
      </c>
      <c r="AF28" s="162">
        <f t="shared" si="1"/>
        <v>0</v>
      </c>
      <c r="AG28" s="162" t="str">
        <f t="shared" si="2"/>
        <v/>
      </c>
      <c r="AH28" s="162" t="str">
        <f t="shared" si="3"/>
        <v/>
      </c>
      <c r="AI28" s="162" t="str">
        <f>IF(AG28="","",MAX($AI$2:AI27)+1)</f>
        <v/>
      </c>
      <c r="AJ28" s="162" t="str">
        <f t="shared" si="4"/>
        <v/>
      </c>
      <c r="AK28" s="162" t="str">
        <f t="shared" si="7"/>
        <v/>
      </c>
      <c r="AL28" s="162" t="str">
        <f t="shared" si="5"/>
        <v/>
      </c>
      <c r="AM28" s="162"/>
      <c r="AN28" s="162"/>
      <c r="AO28" s="162"/>
      <c r="AP28" s="162"/>
      <c r="AQ28" s="162"/>
      <c r="AR28" s="162"/>
      <c r="AS28" s="162"/>
      <c r="AT28" s="162"/>
    </row>
    <row r="29" spans="1:46" x14ac:dyDescent="0.25">
      <c r="A29" s="162"/>
      <c r="B29" s="162"/>
      <c r="C29" s="168"/>
      <c r="D29" s="163"/>
      <c r="E29" s="168"/>
      <c r="F29" s="168"/>
      <c r="J29" s="164"/>
      <c r="K29" s="164"/>
      <c r="L29" s="164"/>
      <c r="AA29" s="162"/>
      <c r="AB29" s="162"/>
      <c r="AC29" s="162" t="str" cm="1">
        <f t="array" ref="AC29">IF(ISNUMBER(SEARCH("Anodo", Auxiliar2!AA29)), "", IFERROR(VALUE(RIGHT(AA29,LEN(AA29)-MIN(FIND({0;1;2;3;4;5;6;7;8;9},AA29&amp;"0123456789"))+1)),""))</f>
        <v/>
      </c>
      <c r="AD29" s="162" t="str">
        <f t="shared" si="6"/>
        <v/>
      </c>
      <c r="AE29" s="162" t="e">
        <f t="shared" si="0"/>
        <v>#VALUE!</v>
      </c>
      <c r="AF29" s="162">
        <f t="shared" si="1"/>
        <v>0</v>
      </c>
      <c r="AG29" s="162" t="str">
        <f t="shared" si="2"/>
        <v/>
      </c>
      <c r="AH29" s="162" t="str">
        <f t="shared" si="3"/>
        <v/>
      </c>
      <c r="AI29" s="162" t="str">
        <f>IF(AG29="","",MAX($AI$2:AI28)+1)</f>
        <v/>
      </c>
      <c r="AJ29" s="162" t="str">
        <f t="shared" si="4"/>
        <v/>
      </c>
      <c r="AK29" s="162" t="str">
        <f t="shared" si="7"/>
        <v/>
      </c>
      <c r="AL29" s="162" t="str">
        <f t="shared" si="5"/>
        <v/>
      </c>
      <c r="AM29" s="162"/>
      <c r="AN29" s="162"/>
      <c r="AO29" s="162"/>
      <c r="AP29" s="162"/>
      <c r="AQ29" s="162"/>
      <c r="AR29" s="162"/>
      <c r="AS29" s="162"/>
      <c r="AT29" s="162"/>
    </row>
    <row r="30" spans="1:46" x14ac:dyDescent="0.25">
      <c r="A30" s="162"/>
      <c r="B30" s="162"/>
      <c r="C30" s="168"/>
      <c r="D30" s="163"/>
      <c r="E30" s="168"/>
      <c r="F30" s="168"/>
      <c r="J30" s="164"/>
      <c r="K30" s="164"/>
      <c r="L30" s="164"/>
      <c r="AA30" s="162"/>
      <c r="AB30" s="162"/>
      <c r="AC30" s="162" t="str" cm="1">
        <f t="array" ref="AC30">IF(ISNUMBER(SEARCH("Anodo", Auxiliar2!AA30)), "", IFERROR(VALUE(RIGHT(AA30,LEN(AA30)-MIN(FIND({0;1;2;3;4;5;6;7;8;9},AA30&amp;"0123456789"))+1)),""))</f>
        <v/>
      </c>
      <c r="AD30" s="162" t="str">
        <f t="shared" si="6"/>
        <v/>
      </c>
      <c r="AE30" s="162" t="e">
        <f t="shared" si="0"/>
        <v>#VALUE!</v>
      </c>
      <c r="AF30" s="162">
        <f t="shared" si="1"/>
        <v>0</v>
      </c>
      <c r="AG30" s="162" t="str">
        <f t="shared" si="2"/>
        <v/>
      </c>
      <c r="AH30" s="162" t="str">
        <f t="shared" si="3"/>
        <v/>
      </c>
      <c r="AI30" s="162" t="str">
        <f>IF(AG30="","",MAX($AI$2:AI29)+1)</f>
        <v/>
      </c>
      <c r="AJ30" s="162" t="str">
        <f t="shared" si="4"/>
        <v/>
      </c>
      <c r="AK30" s="162" t="str">
        <f t="shared" si="7"/>
        <v/>
      </c>
      <c r="AL30" s="162" t="str">
        <f t="shared" si="5"/>
        <v/>
      </c>
      <c r="AM30" s="162"/>
      <c r="AN30" s="162"/>
      <c r="AO30" s="162"/>
      <c r="AP30" s="162"/>
      <c r="AQ30" s="162"/>
      <c r="AR30" s="162"/>
      <c r="AS30" s="162"/>
      <c r="AT30" s="162"/>
    </row>
    <row r="31" spans="1:46" x14ac:dyDescent="0.25">
      <c r="A31" s="162"/>
      <c r="B31" s="162"/>
      <c r="C31" s="168"/>
      <c r="D31" s="163"/>
      <c r="E31" s="168"/>
      <c r="F31" s="168"/>
      <c r="J31" s="164"/>
      <c r="K31" s="164"/>
      <c r="L31" s="164"/>
      <c r="AA31" s="162"/>
      <c r="AB31" s="162"/>
      <c r="AC31" s="162" t="str" cm="1">
        <f t="array" ref="AC31">IF(ISNUMBER(SEARCH("Anodo", Auxiliar2!AA31)), "", IFERROR(VALUE(RIGHT(AA31,LEN(AA31)-MIN(FIND({0;1;2;3;4;5;6;7;8;9},AA31&amp;"0123456789"))+1)),""))</f>
        <v/>
      </c>
      <c r="AD31" s="162" t="str">
        <f t="shared" si="6"/>
        <v/>
      </c>
      <c r="AE31" s="162" t="e">
        <f t="shared" si="0"/>
        <v>#VALUE!</v>
      </c>
      <c r="AF31" s="162">
        <f t="shared" si="1"/>
        <v>0</v>
      </c>
      <c r="AG31" s="162" t="str">
        <f t="shared" si="2"/>
        <v/>
      </c>
      <c r="AH31" s="162" t="str">
        <f t="shared" si="3"/>
        <v/>
      </c>
      <c r="AI31" s="162" t="str">
        <f>IF(AG31="","",MAX($AI$2:AI30)+1)</f>
        <v/>
      </c>
      <c r="AJ31" s="162" t="str">
        <f t="shared" si="4"/>
        <v/>
      </c>
      <c r="AK31" s="162" t="str">
        <f t="shared" si="7"/>
        <v/>
      </c>
      <c r="AL31" s="162" t="str">
        <f t="shared" si="5"/>
        <v/>
      </c>
      <c r="AM31" s="162"/>
      <c r="AN31" s="162"/>
      <c r="AO31" s="162"/>
      <c r="AP31" s="162"/>
      <c r="AQ31" s="162"/>
      <c r="AR31" s="162"/>
      <c r="AS31" s="162"/>
      <c r="AT31" s="162"/>
    </row>
    <row r="32" spans="1:46" x14ac:dyDescent="0.25">
      <c r="A32" s="162"/>
      <c r="B32" s="162"/>
      <c r="C32" s="168"/>
      <c r="D32" s="163"/>
      <c r="E32" s="168"/>
      <c r="F32" s="168"/>
      <c r="J32" s="164"/>
      <c r="K32" s="164"/>
      <c r="L32" s="164"/>
      <c r="AA32" s="162"/>
      <c r="AB32" s="162"/>
      <c r="AC32" s="162" t="str" cm="1">
        <f t="array" ref="AC32">IF(ISNUMBER(SEARCH("Anodo", Auxiliar2!AA32)), "", IFERROR(VALUE(RIGHT(AA32,LEN(AA32)-MIN(FIND({0;1;2;3;4;5;6;7;8;9},AA32&amp;"0123456789"))+1)),""))</f>
        <v/>
      </c>
      <c r="AD32" s="162" t="str">
        <f t="shared" si="6"/>
        <v/>
      </c>
      <c r="AE32" s="162" t="e">
        <f t="shared" si="0"/>
        <v>#VALUE!</v>
      </c>
      <c r="AF32" s="162">
        <f t="shared" si="1"/>
        <v>0</v>
      </c>
      <c r="AG32" s="162" t="str">
        <f t="shared" si="2"/>
        <v/>
      </c>
      <c r="AH32" s="162" t="str">
        <f t="shared" si="3"/>
        <v/>
      </c>
      <c r="AI32" s="162" t="str">
        <f>IF(AG32="","",MAX($AI$2:AI31)+1)</f>
        <v/>
      </c>
      <c r="AJ32" s="162" t="str">
        <f t="shared" si="4"/>
        <v/>
      </c>
      <c r="AK32" s="162" t="str">
        <f t="shared" si="7"/>
        <v/>
      </c>
      <c r="AL32" s="162" t="str">
        <f t="shared" si="5"/>
        <v/>
      </c>
      <c r="AM32" s="162"/>
      <c r="AN32" s="162"/>
      <c r="AO32" s="162"/>
      <c r="AP32" s="162"/>
      <c r="AQ32" s="162"/>
      <c r="AR32" s="162"/>
      <c r="AS32" s="162"/>
      <c r="AT32" s="162"/>
    </row>
    <row r="33" spans="1:46" x14ac:dyDescent="0.25">
      <c r="A33" s="16"/>
      <c r="B33" s="16"/>
      <c r="C33" s="165"/>
      <c r="D33" s="170"/>
      <c r="E33" s="165"/>
      <c r="F33" s="165"/>
      <c r="G33" s="164"/>
      <c r="J33" s="164"/>
      <c r="AA33" s="16"/>
      <c r="AB33" s="16"/>
      <c r="AC33" s="162" t="str" cm="1">
        <f t="array" ref="AC33">IF(ISNUMBER(SEARCH("Anodo", Auxiliar2!AA33)), "", IFERROR(VALUE(RIGHT(AA33,LEN(AA33)-MIN(FIND({0;1;2;3;4;5;6;7;8;9},AA33&amp;"0123456789"))+1)),""))</f>
        <v/>
      </c>
      <c r="AD33" s="16" t="str">
        <f t="shared" si="6"/>
        <v/>
      </c>
      <c r="AE33" s="16" t="e">
        <f t="shared" si="0"/>
        <v>#VALUE!</v>
      </c>
      <c r="AF33" s="16">
        <f t="shared" si="1"/>
        <v>0</v>
      </c>
      <c r="AG33" s="16" t="str">
        <f t="shared" si="2"/>
        <v/>
      </c>
      <c r="AH33" s="16" t="str">
        <f t="shared" si="3"/>
        <v/>
      </c>
      <c r="AI33" s="16" t="str">
        <f>IF(AG33="","",MAX($AI$2:AI32)+1)</f>
        <v/>
      </c>
      <c r="AJ33" s="16" t="str">
        <f t="shared" si="4"/>
        <v/>
      </c>
      <c r="AK33" s="16" t="str">
        <f t="shared" si="7"/>
        <v/>
      </c>
      <c r="AL33" s="16" t="str">
        <f t="shared" si="5"/>
        <v/>
      </c>
      <c r="AM33" s="16"/>
      <c r="AN33" s="16"/>
      <c r="AO33" s="16"/>
      <c r="AP33" s="16"/>
      <c r="AQ33" s="16"/>
      <c r="AR33" s="16"/>
      <c r="AS33" s="16"/>
      <c r="AT33" s="16"/>
    </row>
    <row r="34" spans="1:46" x14ac:dyDescent="0.25">
      <c r="A34" s="16"/>
      <c r="B34" s="16"/>
      <c r="C34" s="165"/>
      <c r="D34" s="170"/>
      <c r="E34" s="165"/>
      <c r="F34" s="165"/>
      <c r="G34" s="164"/>
      <c r="J34" s="164"/>
      <c r="AA34" s="16"/>
      <c r="AB34" s="16"/>
      <c r="AC34" s="162" t="str" cm="1">
        <f t="array" ref="AC34">IF(ISNUMBER(SEARCH("Anodo", Auxiliar2!AA34)), "", IFERROR(VALUE(RIGHT(AA34,LEN(AA34)-MIN(FIND({0;1;2;3;4;5;6;7;8;9},AA34&amp;"0123456789"))+1)),""))</f>
        <v/>
      </c>
      <c r="AD34" s="16" t="str">
        <f t="shared" si="6"/>
        <v/>
      </c>
      <c r="AE34" s="16" t="e">
        <f t="shared" ref="AE34:AE65" si="8">SMALL(AB:AB,AD34)</f>
        <v>#VALUE!</v>
      </c>
      <c r="AF34" s="16">
        <f t="shared" ref="AF34:AF65" si="9">SUMIF(AB:AB,AE34,AC:AC)</f>
        <v>0</v>
      </c>
      <c r="AG34" s="16" t="str">
        <f t="shared" si="2"/>
        <v/>
      </c>
      <c r="AH34" s="16" t="str">
        <f t="shared" si="3"/>
        <v/>
      </c>
      <c r="AI34" s="16" t="str">
        <f>IF(AG34="","",MAX($AI$2:AI33)+1)</f>
        <v/>
      </c>
      <c r="AJ34" s="16" t="str">
        <f t="shared" si="4"/>
        <v/>
      </c>
      <c r="AK34" s="16" t="str">
        <f t="shared" si="7"/>
        <v/>
      </c>
      <c r="AL34" s="16" t="str">
        <f t="shared" si="5"/>
        <v/>
      </c>
      <c r="AM34" s="16"/>
      <c r="AN34" s="16"/>
      <c r="AO34" s="16"/>
      <c r="AP34" s="16"/>
      <c r="AQ34" s="16"/>
      <c r="AR34" s="16"/>
      <c r="AS34" s="16"/>
      <c r="AT34" s="16"/>
    </row>
    <row r="35" spans="1:46" x14ac:dyDescent="0.25">
      <c r="A35" s="16"/>
      <c r="B35" s="16"/>
      <c r="C35" s="165"/>
      <c r="D35" s="170"/>
      <c r="E35" s="165"/>
      <c r="F35" s="165"/>
      <c r="G35" s="164"/>
      <c r="J35" s="164"/>
      <c r="AA35" s="16"/>
      <c r="AB35" s="16"/>
      <c r="AC35" s="162" t="str" cm="1">
        <f t="array" ref="AC35">IF(ISNUMBER(SEARCH("Anodo", Auxiliar2!AA35)), "", IFERROR(VALUE(RIGHT(AA35,LEN(AA35)-MIN(FIND({0;1;2;3;4;5;6;7;8;9},AA35&amp;"0123456789"))+1)),""))</f>
        <v/>
      </c>
      <c r="AD35" s="16" t="str">
        <f t="shared" si="6"/>
        <v/>
      </c>
      <c r="AE35" s="16" t="e">
        <f t="shared" si="8"/>
        <v>#VALUE!</v>
      </c>
      <c r="AF35" s="16">
        <f t="shared" si="9"/>
        <v>0</v>
      </c>
      <c r="AG35" s="16" t="str">
        <f t="shared" si="2"/>
        <v/>
      </c>
      <c r="AH35" s="16" t="str">
        <f t="shared" si="3"/>
        <v/>
      </c>
      <c r="AI35" s="16" t="str">
        <f>IF(AG35="","",MAX($AI$2:AI34)+1)</f>
        <v/>
      </c>
      <c r="AJ35" s="16" t="str">
        <f t="shared" si="4"/>
        <v/>
      </c>
      <c r="AK35" s="16" t="str">
        <f t="shared" si="7"/>
        <v/>
      </c>
      <c r="AL35" s="16" t="str">
        <f t="shared" si="5"/>
        <v/>
      </c>
      <c r="AM35" s="16"/>
      <c r="AN35" s="16"/>
      <c r="AO35" s="16"/>
      <c r="AP35" s="16"/>
      <c r="AQ35" s="16"/>
      <c r="AR35" s="16"/>
      <c r="AS35" s="16"/>
      <c r="AT35" s="16"/>
    </row>
    <row r="36" spans="1:46" x14ac:dyDescent="0.25">
      <c r="A36" s="16"/>
      <c r="B36" s="16"/>
      <c r="C36" s="165"/>
      <c r="D36" s="170"/>
      <c r="E36" s="165"/>
      <c r="F36" s="165"/>
      <c r="J36" s="164"/>
      <c r="AA36" s="16"/>
      <c r="AB36" s="16"/>
      <c r="AC36" s="162" t="str" cm="1">
        <f t="array" ref="AC36">IF(ISNUMBER(SEARCH("Anodo", Auxiliar2!AA36)), "", IFERROR(VALUE(RIGHT(AA36,LEN(AA36)-MIN(FIND({0;1;2;3;4;5;6;7;8;9},AA36&amp;"0123456789"))+1)),""))</f>
        <v/>
      </c>
      <c r="AD36" s="16" t="str">
        <f t="shared" si="6"/>
        <v/>
      </c>
      <c r="AE36" s="16" t="e">
        <f t="shared" si="8"/>
        <v>#VALUE!</v>
      </c>
      <c r="AF36" s="16">
        <f t="shared" si="9"/>
        <v>0</v>
      </c>
      <c r="AG36" s="16" t="str">
        <f t="shared" si="2"/>
        <v/>
      </c>
      <c r="AH36" s="16" t="str">
        <f t="shared" si="3"/>
        <v/>
      </c>
      <c r="AI36" s="16" t="str">
        <f>IF(AG36="","",MAX($AI$2:AI35)+1)</f>
        <v/>
      </c>
      <c r="AJ36" s="16" t="str">
        <f t="shared" si="4"/>
        <v/>
      </c>
      <c r="AK36" s="16" t="str">
        <f t="shared" si="7"/>
        <v/>
      </c>
      <c r="AL36" s="16" t="str">
        <f t="shared" si="5"/>
        <v/>
      </c>
      <c r="AM36" s="16"/>
      <c r="AN36" s="16"/>
      <c r="AO36" s="16"/>
      <c r="AP36" s="16"/>
      <c r="AQ36" s="16"/>
      <c r="AR36" s="16"/>
      <c r="AS36" s="16"/>
      <c r="AT36" s="16"/>
    </row>
    <row r="37" spans="1:46" x14ac:dyDescent="0.25">
      <c r="A37" s="16"/>
      <c r="B37" s="16"/>
      <c r="C37" s="165"/>
      <c r="D37" s="170"/>
      <c r="E37" s="165"/>
      <c r="F37" s="165"/>
      <c r="J37" s="164"/>
      <c r="AA37" s="16"/>
      <c r="AB37" s="16"/>
      <c r="AC37" s="162" t="str" cm="1">
        <f t="array" ref="AC37">IF(ISNUMBER(SEARCH("Anodo", Auxiliar2!AA37)), "", IFERROR(VALUE(RIGHT(AA37,LEN(AA37)-MIN(FIND({0;1;2;3;4;5;6;7;8;9},AA37&amp;"0123456789"))+1)),""))</f>
        <v/>
      </c>
      <c r="AD37" s="16" t="str">
        <f t="shared" si="6"/>
        <v/>
      </c>
      <c r="AE37" s="16" t="e">
        <f t="shared" si="8"/>
        <v>#VALUE!</v>
      </c>
      <c r="AF37" s="16">
        <f t="shared" si="9"/>
        <v>0</v>
      </c>
      <c r="AG37" s="16" t="str">
        <f t="shared" si="2"/>
        <v/>
      </c>
      <c r="AH37" s="16" t="str">
        <f t="shared" si="3"/>
        <v/>
      </c>
      <c r="AI37" s="16" t="str">
        <f>IF(AG37="","",MAX($AI$2:AI36)+1)</f>
        <v/>
      </c>
      <c r="AJ37" s="16" t="str">
        <f t="shared" si="4"/>
        <v/>
      </c>
      <c r="AK37" s="16" t="str">
        <f t="shared" si="7"/>
        <v/>
      </c>
      <c r="AL37" s="16" t="str">
        <f t="shared" si="5"/>
        <v/>
      </c>
      <c r="AM37" s="16"/>
      <c r="AN37" s="16"/>
      <c r="AO37" s="16"/>
      <c r="AP37" s="16"/>
      <c r="AQ37" s="16"/>
      <c r="AR37" s="16"/>
      <c r="AS37" s="16"/>
      <c r="AT37" s="16"/>
    </row>
    <row r="38" spans="1:46" x14ac:dyDescent="0.25">
      <c r="A38" s="16"/>
      <c r="B38" s="16"/>
      <c r="C38" s="165"/>
      <c r="D38" s="170"/>
      <c r="E38" s="165"/>
      <c r="F38" s="165"/>
      <c r="J38" s="164"/>
      <c r="AA38" s="16"/>
      <c r="AB38" s="16"/>
      <c r="AC38" s="162" t="str" cm="1">
        <f t="array" ref="AC38">IF(ISNUMBER(SEARCH("Anodo", Auxiliar2!AA38)), "", IFERROR(VALUE(RIGHT(AA38,LEN(AA38)-MIN(FIND({0;1;2;3;4;5;6;7;8;9},AA38&amp;"0123456789"))+1)),""))</f>
        <v/>
      </c>
      <c r="AD38" s="16" t="str">
        <f t="shared" si="6"/>
        <v/>
      </c>
      <c r="AE38" s="16" t="e">
        <f t="shared" si="8"/>
        <v>#VALUE!</v>
      </c>
      <c r="AF38" s="16">
        <f t="shared" si="9"/>
        <v>0</v>
      </c>
      <c r="AG38" s="16" t="str">
        <f t="shared" si="2"/>
        <v/>
      </c>
      <c r="AH38" s="16" t="str">
        <f t="shared" si="3"/>
        <v/>
      </c>
      <c r="AI38" s="16" t="str">
        <f>IF(AG38="","",MAX($AI$2:AI37)+1)</f>
        <v/>
      </c>
      <c r="AJ38" s="16" t="str">
        <f t="shared" si="4"/>
        <v/>
      </c>
      <c r="AK38" s="16" t="str">
        <f t="shared" si="7"/>
        <v/>
      </c>
      <c r="AL38" s="16" t="str">
        <f t="shared" si="5"/>
        <v/>
      </c>
      <c r="AM38" s="16"/>
      <c r="AN38" s="16"/>
      <c r="AO38" s="16"/>
      <c r="AP38" s="16"/>
      <c r="AQ38" s="16"/>
      <c r="AR38" s="16"/>
      <c r="AS38" s="16"/>
      <c r="AT38" s="16"/>
    </row>
    <row r="39" spans="1:46" x14ac:dyDescent="0.25">
      <c r="A39" s="16"/>
      <c r="B39" s="16"/>
      <c r="C39" s="165"/>
      <c r="D39" s="170"/>
      <c r="E39" s="165"/>
      <c r="F39" s="165"/>
      <c r="J39" s="164"/>
      <c r="AA39" s="16"/>
      <c r="AB39" s="16"/>
      <c r="AC39" s="162" t="str" cm="1">
        <f t="array" ref="AC39">IF(ISNUMBER(SEARCH("Anodo", Auxiliar2!AA39)), "", IFERROR(VALUE(RIGHT(AA39,LEN(AA39)-MIN(FIND({0;1;2;3;4;5;6;7;8;9},AA39&amp;"0123456789"))+1)),""))</f>
        <v/>
      </c>
      <c r="AD39" s="16" t="str">
        <f t="shared" si="6"/>
        <v/>
      </c>
      <c r="AE39" s="16" t="e">
        <f t="shared" si="8"/>
        <v>#VALUE!</v>
      </c>
      <c r="AF39" s="16">
        <f t="shared" si="9"/>
        <v>0</v>
      </c>
      <c r="AG39" s="16" t="str">
        <f t="shared" si="2"/>
        <v/>
      </c>
      <c r="AH39" s="16" t="str">
        <f t="shared" si="3"/>
        <v/>
      </c>
      <c r="AI39" s="16" t="str">
        <f>IF(AG39="","",MAX($AI$2:AI38)+1)</f>
        <v/>
      </c>
      <c r="AJ39" s="16" t="str">
        <f t="shared" si="4"/>
        <v/>
      </c>
      <c r="AK39" s="16" t="str">
        <f t="shared" si="7"/>
        <v/>
      </c>
      <c r="AL39" s="16" t="str">
        <f t="shared" si="5"/>
        <v/>
      </c>
      <c r="AM39" s="16"/>
      <c r="AN39" s="16"/>
      <c r="AO39" s="16"/>
      <c r="AP39" s="16"/>
      <c r="AQ39" s="16"/>
      <c r="AR39" s="16"/>
      <c r="AS39" s="16"/>
      <c r="AT39" s="16"/>
    </row>
    <row r="40" spans="1:46" x14ac:dyDescent="0.25">
      <c r="A40" s="16"/>
      <c r="B40" s="16"/>
      <c r="C40" s="165"/>
      <c r="D40" s="170"/>
      <c r="E40" s="165"/>
      <c r="F40" s="165"/>
      <c r="J40" s="164"/>
      <c r="AA40" s="16"/>
      <c r="AB40" s="16"/>
      <c r="AC40" s="162" t="str" cm="1">
        <f t="array" ref="AC40">IF(ISNUMBER(SEARCH("Anodo", Auxiliar2!AA40)), "", IFERROR(VALUE(RIGHT(AA40,LEN(AA40)-MIN(FIND({0;1;2;3;4;5;6;7;8;9},AA40&amp;"0123456789"))+1)),""))</f>
        <v/>
      </c>
      <c r="AD40" s="16" t="str">
        <f t="shared" si="6"/>
        <v/>
      </c>
      <c r="AE40" s="16" t="e">
        <f t="shared" si="8"/>
        <v>#VALUE!</v>
      </c>
      <c r="AF40" s="16">
        <f t="shared" si="9"/>
        <v>0</v>
      </c>
      <c r="AG40" s="16" t="str">
        <f t="shared" si="2"/>
        <v/>
      </c>
      <c r="AH40" s="16" t="str">
        <f t="shared" si="3"/>
        <v/>
      </c>
      <c r="AI40" s="16" t="str">
        <f>IF(AG40="","",MAX($AI$2:AI39)+1)</f>
        <v/>
      </c>
      <c r="AJ40" s="16" t="str">
        <f t="shared" si="4"/>
        <v/>
      </c>
      <c r="AK40" s="16" t="str">
        <f t="shared" si="7"/>
        <v/>
      </c>
      <c r="AL40" s="16" t="str">
        <f t="shared" si="5"/>
        <v/>
      </c>
      <c r="AM40" s="16"/>
      <c r="AN40" s="16"/>
      <c r="AO40" s="16"/>
      <c r="AP40" s="16"/>
      <c r="AQ40" s="16"/>
      <c r="AR40" s="16"/>
      <c r="AS40" s="16"/>
      <c r="AT40" s="16"/>
    </row>
    <row r="41" spans="1:46" x14ac:dyDescent="0.25">
      <c r="A41" s="16"/>
      <c r="B41" s="16"/>
      <c r="C41" s="165"/>
      <c r="D41" s="170"/>
      <c r="E41" s="165"/>
      <c r="F41" s="165"/>
      <c r="J41" s="164"/>
      <c r="AA41" s="16"/>
      <c r="AB41" s="16"/>
      <c r="AC41" s="162" t="str" cm="1">
        <f t="array" ref="AC41">IF(ISNUMBER(SEARCH("Anodo", Auxiliar2!AA41)), "", IFERROR(VALUE(RIGHT(AA41,LEN(AA41)-MIN(FIND({0;1;2;3;4;5;6;7;8;9},AA41&amp;"0123456789"))+1)),""))</f>
        <v/>
      </c>
      <c r="AD41" s="16" t="str">
        <f t="shared" si="6"/>
        <v/>
      </c>
      <c r="AE41" s="16" t="e">
        <f t="shared" si="8"/>
        <v>#VALUE!</v>
      </c>
      <c r="AF41" s="16">
        <f t="shared" si="9"/>
        <v>0</v>
      </c>
      <c r="AG41" s="16" t="str">
        <f t="shared" si="2"/>
        <v/>
      </c>
      <c r="AH41" s="16" t="str">
        <f t="shared" si="3"/>
        <v/>
      </c>
      <c r="AI41" s="16" t="str">
        <f>IF(AG41="","",MAX($AI$2:AI40)+1)</f>
        <v/>
      </c>
      <c r="AJ41" s="16" t="str">
        <f t="shared" si="4"/>
        <v/>
      </c>
      <c r="AK41" s="16" t="str">
        <f t="shared" si="7"/>
        <v/>
      </c>
      <c r="AL41" s="16" t="str">
        <f t="shared" si="5"/>
        <v/>
      </c>
      <c r="AM41" s="16"/>
      <c r="AN41" s="16"/>
      <c r="AO41" s="16"/>
      <c r="AP41" s="16"/>
      <c r="AQ41" s="16"/>
      <c r="AR41" s="16"/>
      <c r="AS41" s="16"/>
      <c r="AT41" s="16"/>
    </row>
    <row r="42" spans="1:46" x14ac:dyDescent="0.25">
      <c r="A42" s="16"/>
      <c r="B42" s="16"/>
      <c r="C42" s="165"/>
      <c r="D42" s="170"/>
      <c r="E42" s="165"/>
      <c r="F42" s="165"/>
      <c r="J42" s="164"/>
      <c r="AA42" s="16"/>
      <c r="AB42" s="16"/>
      <c r="AC42" s="162" t="str" cm="1">
        <f t="array" ref="AC42">IF(ISNUMBER(SEARCH("Anodo", Auxiliar2!AA42)), "", IFERROR(VALUE(RIGHT(AA42,LEN(AA42)-MIN(FIND({0;1;2;3;4;5;6;7;8;9},AA42&amp;"0123456789"))+1)),""))</f>
        <v/>
      </c>
      <c r="AD42" s="16" t="str">
        <f t="shared" si="6"/>
        <v/>
      </c>
      <c r="AE42" s="16" t="e">
        <f t="shared" si="8"/>
        <v>#VALUE!</v>
      </c>
      <c r="AF42" s="16">
        <f t="shared" si="9"/>
        <v>0</v>
      </c>
      <c r="AG42" s="16" t="str">
        <f t="shared" si="2"/>
        <v/>
      </c>
      <c r="AH42" s="16" t="str">
        <f t="shared" si="3"/>
        <v/>
      </c>
      <c r="AI42" s="16" t="str">
        <f>IF(AG42="","",MAX($AI$2:AI41)+1)</f>
        <v/>
      </c>
      <c r="AJ42" s="16" t="str">
        <f t="shared" si="4"/>
        <v/>
      </c>
      <c r="AK42" s="16" t="str">
        <f t="shared" si="7"/>
        <v/>
      </c>
      <c r="AL42" s="16" t="str">
        <f t="shared" si="5"/>
        <v/>
      </c>
      <c r="AM42" s="16"/>
      <c r="AN42" s="16"/>
      <c r="AO42" s="16"/>
      <c r="AP42" s="16"/>
      <c r="AQ42" s="16"/>
      <c r="AR42" s="16"/>
      <c r="AS42" s="16"/>
      <c r="AT42" s="16"/>
    </row>
    <row r="43" spans="1:46" x14ac:dyDescent="0.25">
      <c r="A43" s="16"/>
      <c r="B43" s="16"/>
      <c r="C43" s="165"/>
      <c r="D43" s="170"/>
      <c r="E43" s="165"/>
      <c r="F43" s="165"/>
      <c r="H43" s="164"/>
      <c r="I43" s="164"/>
      <c r="J43" s="164"/>
      <c r="AA43" s="16"/>
      <c r="AB43" s="16"/>
      <c r="AC43" s="162" t="str" cm="1">
        <f t="array" ref="AC43">IF(ISNUMBER(SEARCH("Anodo", Auxiliar2!AA43)), "", IFERROR(VALUE(RIGHT(AA43,LEN(AA43)-MIN(FIND({0;1;2;3;4;5;6;7;8;9},AA43&amp;"0123456789"))+1)),""))</f>
        <v/>
      </c>
      <c r="AD43" s="16" t="str">
        <f t="shared" si="6"/>
        <v/>
      </c>
      <c r="AE43" s="16" t="e">
        <f t="shared" si="8"/>
        <v>#VALUE!</v>
      </c>
      <c r="AF43" s="16">
        <f t="shared" si="9"/>
        <v>0</v>
      </c>
      <c r="AG43" s="16" t="str">
        <f t="shared" si="2"/>
        <v/>
      </c>
      <c r="AH43" s="16" t="str">
        <f t="shared" si="3"/>
        <v/>
      </c>
      <c r="AI43" s="16" t="str">
        <f>IF(AG43="","",MAX($AI$2:AI42)+1)</f>
        <v/>
      </c>
      <c r="AJ43" s="16" t="str">
        <f t="shared" si="4"/>
        <v/>
      </c>
      <c r="AK43" s="16" t="str">
        <f t="shared" si="7"/>
        <v/>
      </c>
      <c r="AL43" s="16" t="str">
        <f t="shared" si="5"/>
        <v/>
      </c>
      <c r="AM43" s="16"/>
      <c r="AN43" s="16"/>
      <c r="AO43" s="16"/>
      <c r="AP43" s="16"/>
      <c r="AQ43" s="16"/>
      <c r="AR43" s="16"/>
      <c r="AS43" s="16"/>
      <c r="AT43" s="16"/>
    </row>
    <row r="44" spans="1:46" ht="13" x14ac:dyDescent="0.25">
      <c r="A44" s="16"/>
      <c r="B44" s="147"/>
      <c r="C44" s="165"/>
      <c r="D44" s="170"/>
      <c r="E44" s="165"/>
      <c r="F44" s="165"/>
      <c r="H44" s="164"/>
      <c r="I44" s="164"/>
      <c r="J44" s="164"/>
      <c r="AA44" s="16"/>
      <c r="AB44" s="16"/>
      <c r="AC44" s="162" t="str" cm="1">
        <f t="array" ref="AC44">IF(ISNUMBER(SEARCH("Anodo", Auxiliar2!AA44)), "", IFERROR(VALUE(RIGHT(AA44,LEN(AA44)-MIN(FIND({0;1;2;3;4;5;6;7;8;9},AA44&amp;"0123456789"))+1)),""))</f>
        <v/>
      </c>
      <c r="AD44" s="16" t="str">
        <f t="shared" si="6"/>
        <v/>
      </c>
      <c r="AE44" s="16" t="e">
        <f t="shared" si="8"/>
        <v>#VALUE!</v>
      </c>
      <c r="AF44" s="16">
        <f t="shared" si="9"/>
        <v>0</v>
      </c>
      <c r="AG44" s="16" t="str">
        <f t="shared" si="2"/>
        <v/>
      </c>
      <c r="AH44" s="16" t="str">
        <f t="shared" si="3"/>
        <v/>
      </c>
      <c r="AI44" s="16" t="str">
        <f>IF(AG44="","",MAX($AI$2:AI43)+1)</f>
        <v/>
      </c>
      <c r="AJ44" s="16" t="str">
        <f t="shared" si="4"/>
        <v/>
      </c>
      <c r="AK44" s="16" t="str">
        <f t="shared" si="7"/>
        <v/>
      </c>
      <c r="AL44" s="16" t="str">
        <f t="shared" si="5"/>
        <v/>
      </c>
      <c r="AM44" s="16"/>
      <c r="AN44" s="16"/>
      <c r="AO44" s="16"/>
      <c r="AP44" s="16"/>
      <c r="AQ44" s="16"/>
      <c r="AR44" s="16"/>
      <c r="AS44" s="16"/>
      <c r="AT44" s="16"/>
    </row>
    <row r="45" spans="1:46" x14ac:dyDescent="0.25">
      <c r="A45" s="16"/>
      <c r="B45" s="16"/>
      <c r="C45" s="165"/>
      <c r="D45" s="170"/>
      <c r="E45" s="165"/>
      <c r="F45" s="165"/>
      <c r="H45" s="164"/>
      <c r="I45" s="164"/>
      <c r="J45" s="164"/>
      <c r="AA45" s="16"/>
      <c r="AB45" s="16"/>
      <c r="AC45" s="162" t="str" cm="1">
        <f t="array" ref="AC45">IF(ISNUMBER(SEARCH("Anodo", Auxiliar2!AA45)), "", IFERROR(VALUE(RIGHT(AA45,LEN(AA45)-MIN(FIND({0;1;2;3;4;5;6;7;8;9},AA45&amp;"0123456789"))+1)),""))</f>
        <v/>
      </c>
      <c r="AD45" s="16" t="str">
        <f t="shared" si="6"/>
        <v/>
      </c>
      <c r="AE45" s="16" t="e">
        <f t="shared" si="8"/>
        <v>#VALUE!</v>
      </c>
      <c r="AF45" s="16">
        <f t="shared" si="9"/>
        <v>0</v>
      </c>
      <c r="AG45" s="16" t="str">
        <f t="shared" si="2"/>
        <v/>
      </c>
      <c r="AH45" s="16" t="str">
        <f t="shared" si="3"/>
        <v/>
      </c>
      <c r="AI45" s="16" t="str">
        <f>IF(AG45="","",MAX($AI$2:AI44)+1)</f>
        <v/>
      </c>
      <c r="AJ45" s="16" t="str">
        <f t="shared" si="4"/>
        <v/>
      </c>
      <c r="AK45" s="16" t="str">
        <f t="shared" si="7"/>
        <v/>
      </c>
      <c r="AL45" s="16" t="str">
        <f t="shared" si="5"/>
        <v/>
      </c>
      <c r="AM45" s="16"/>
      <c r="AN45" s="16"/>
      <c r="AO45" s="16"/>
      <c r="AP45" s="16"/>
      <c r="AQ45" s="16"/>
      <c r="AR45" s="16"/>
      <c r="AS45" s="16"/>
      <c r="AT45" s="16"/>
    </row>
    <row r="46" spans="1:46" x14ac:dyDescent="0.25">
      <c r="A46" s="16"/>
      <c r="B46" s="16"/>
      <c r="C46" s="165"/>
      <c r="D46" s="170"/>
      <c r="E46" s="165"/>
      <c r="F46" s="165"/>
      <c r="H46" s="164"/>
      <c r="I46" s="164"/>
      <c r="J46" s="164"/>
      <c r="AA46" s="16"/>
      <c r="AB46" s="16"/>
      <c r="AC46" s="162" t="str" cm="1">
        <f t="array" ref="AC46">IF(ISNUMBER(SEARCH("Anodo", Auxiliar2!AA46)), "", IFERROR(VALUE(RIGHT(AA46,LEN(AA46)-MIN(FIND({0;1;2;3;4;5;6;7;8;9},AA46&amp;"0123456789"))+1)),""))</f>
        <v/>
      </c>
      <c r="AD46" s="16" t="str">
        <f t="shared" si="6"/>
        <v/>
      </c>
      <c r="AE46" s="16" t="e">
        <f t="shared" si="8"/>
        <v>#VALUE!</v>
      </c>
      <c r="AF46" s="16">
        <f t="shared" si="9"/>
        <v>0</v>
      </c>
      <c r="AG46" s="16" t="str">
        <f t="shared" si="2"/>
        <v/>
      </c>
      <c r="AH46" s="16" t="str">
        <f t="shared" si="3"/>
        <v/>
      </c>
      <c r="AI46" s="16" t="str">
        <f>IF(AG46="","",MAX($AI$2:AI45)+1)</f>
        <v/>
      </c>
      <c r="AJ46" s="16" t="str">
        <f t="shared" si="4"/>
        <v/>
      </c>
      <c r="AK46" s="16" t="str">
        <f t="shared" si="7"/>
        <v/>
      </c>
      <c r="AL46" s="16" t="str">
        <f t="shared" si="5"/>
        <v/>
      </c>
      <c r="AM46" s="16"/>
      <c r="AN46" s="16"/>
      <c r="AO46" s="16"/>
      <c r="AP46" s="16"/>
      <c r="AQ46" s="16"/>
      <c r="AR46" s="16"/>
      <c r="AS46" s="16"/>
      <c r="AT46" s="16"/>
    </row>
    <row r="47" spans="1:46" x14ac:dyDescent="0.25">
      <c r="A47" s="16"/>
      <c r="B47" s="16"/>
      <c r="C47" s="165"/>
      <c r="D47" s="170"/>
      <c r="E47" s="165"/>
      <c r="F47" s="165"/>
      <c r="H47" s="164"/>
      <c r="I47" s="164"/>
      <c r="J47" s="164"/>
      <c r="AA47" s="16"/>
      <c r="AB47" s="16"/>
      <c r="AC47" s="162" t="str" cm="1">
        <f t="array" ref="AC47">IF(ISNUMBER(SEARCH("Anodo", Auxiliar2!AA47)), "", IFERROR(VALUE(RIGHT(AA47,LEN(AA47)-MIN(FIND({0;1;2;3;4;5;6;7;8;9},AA47&amp;"0123456789"))+1)),""))</f>
        <v/>
      </c>
      <c r="AD47" s="16" t="str">
        <f t="shared" si="6"/>
        <v/>
      </c>
      <c r="AE47" s="16" t="e">
        <f t="shared" si="8"/>
        <v>#VALUE!</v>
      </c>
      <c r="AF47" s="16">
        <f t="shared" si="9"/>
        <v>0</v>
      </c>
      <c r="AG47" s="16" t="str">
        <f t="shared" si="2"/>
        <v/>
      </c>
      <c r="AH47" s="16" t="str">
        <f t="shared" si="3"/>
        <v/>
      </c>
      <c r="AI47" s="16" t="str">
        <f>IF(AG47="","",MAX($AI$2:AI46)+1)</f>
        <v/>
      </c>
      <c r="AJ47" s="16" t="str">
        <f t="shared" si="4"/>
        <v/>
      </c>
      <c r="AK47" s="16" t="str">
        <f t="shared" si="7"/>
        <v/>
      </c>
      <c r="AL47" s="16" t="str">
        <f t="shared" si="5"/>
        <v/>
      </c>
      <c r="AM47" s="16"/>
      <c r="AN47" s="16"/>
      <c r="AO47" s="16"/>
      <c r="AP47" s="16"/>
      <c r="AQ47" s="16"/>
      <c r="AR47" s="16"/>
      <c r="AS47" s="16"/>
      <c r="AT47" s="16"/>
    </row>
    <row r="48" spans="1:46" x14ac:dyDescent="0.25">
      <c r="A48" s="16"/>
      <c r="B48" s="16"/>
      <c r="C48" s="165"/>
      <c r="D48" s="170"/>
      <c r="E48" s="165"/>
      <c r="F48" s="165"/>
      <c r="H48" s="164"/>
      <c r="I48" s="164"/>
      <c r="J48" s="164"/>
      <c r="AA48" s="16"/>
      <c r="AB48" s="16"/>
      <c r="AC48" s="162" t="str" cm="1">
        <f t="array" ref="AC48">IF(ISNUMBER(SEARCH("Anodo", Auxiliar2!AA48)), "", IFERROR(VALUE(RIGHT(AA48,LEN(AA48)-MIN(FIND({0;1;2;3;4;5;6;7;8;9},AA48&amp;"0123456789"))+1)),""))</f>
        <v/>
      </c>
      <c r="AD48" s="16" t="str">
        <f t="shared" si="6"/>
        <v/>
      </c>
      <c r="AE48" s="16" t="e">
        <f t="shared" si="8"/>
        <v>#VALUE!</v>
      </c>
      <c r="AF48" s="16">
        <f t="shared" si="9"/>
        <v>0</v>
      </c>
      <c r="AG48" s="16" t="str">
        <f t="shared" si="2"/>
        <v/>
      </c>
      <c r="AH48" s="16" t="str">
        <f t="shared" si="3"/>
        <v/>
      </c>
      <c r="AI48" s="16" t="str">
        <f>IF(AG48="","",MAX($AI$2:AI47)+1)</f>
        <v/>
      </c>
      <c r="AJ48" s="16" t="str">
        <f t="shared" si="4"/>
        <v/>
      </c>
      <c r="AK48" s="16" t="str">
        <f t="shared" si="7"/>
        <v/>
      </c>
      <c r="AL48" s="16" t="str">
        <f t="shared" si="5"/>
        <v/>
      </c>
      <c r="AM48" s="16"/>
      <c r="AN48" s="16"/>
      <c r="AO48" s="16"/>
      <c r="AP48" s="16"/>
      <c r="AQ48" s="16"/>
      <c r="AR48" s="16"/>
      <c r="AS48" s="16"/>
      <c r="AT48" s="16"/>
    </row>
    <row r="49" spans="1:46" x14ac:dyDescent="0.25">
      <c r="A49" s="16"/>
      <c r="B49" s="16"/>
      <c r="C49" s="165"/>
      <c r="D49" s="170"/>
      <c r="E49" s="165"/>
      <c r="F49" s="165"/>
      <c r="H49" s="164"/>
      <c r="I49" s="164"/>
      <c r="J49" s="164"/>
      <c r="AA49" s="16"/>
      <c r="AB49" s="16"/>
      <c r="AC49" s="162" t="str" cm="1">
        <f t="array" ref="AC49">IF(ISNUMBER(SEARCH("Anodo", Auxiliar2!AA49)), "", IFERROR(VALUE(RIGHT(AA49,LEN(AA49)-MIN(FIND({0;1;2;3;4;5;6;7;8;9},AA49&amp;"0123456789"))+1)),""))</f>
        <v/>
      </c>
      <c r="AD49" s="16" t="str">
        <f t="shared" si="6"/>
        <v/>
      </c>
      <c r="AE49" s="16" t="e">
        <f t="shared" si="8"/>
        <v>#VALUE!</v>
      </c>
      <c r="AF49" s="16">
        <f t="shared" si="9"/>
        <v>0</v>
      </c>
      <c r="AG49" s="16" t="str">
        <f t="shared" si="2"/>
        <v/>
      </c>
      <c r="AH49" s="16" t="str">
        <f t="shared" si="3"/>
        <v/>
      </c>
      <c r="AI49" s="16" t="str">
        <f>IF(AG49="","",MAX($AI$2:AI48)+1)</f>
        <v/>
      </c>
      <c r="AJ49" s="16" t="str">
        <f t="shared" si="4"/>
        <v/>
      </c>
      <c r="AK49" s="16" t="str">
        <f t="shared" si="7"/>
        <v/>
      </c>
      <c r="AL49" s="16" t="str">
        <f t="shared" si="5"/>
        <v/>
      </c>
      <c r="AM49" s="16"/>
      <c r="AN49" s="16"/>
      <c r="AO49" s="16"/>
      <c r="AP49" s="16"/>
      <c r="AQ49" s="16"/>
      <c r="AR49" s="16"/>
      <c r="AS49" s="16"/>
      <c r="AT49" s="16"/>
    </row>
    <row r="50" spans="1:46" x14ac:dyDescent="0.25">
      <c r="A50" s="16"/>
      <c r="B50" s="16"/>
      <c r="C50" s="165"/>
      <c r="D50" s="165"/>
      <c r="E50" s="165"/>
      <c r="F50" s="165"/>
      <c r="H50" s="164"/>
      <c r="I50" s="164"/>
      <c r="J50" s="164"/>
      <c r="AA50" s="16"/>
      <c r="AB50" s="16"/>
      <c r="AC50" s="162" t="str" cm="1">
        <f t="array" ref="AC50">IF(ISNUMBER(SEARCH("Anodo", Auxiliar2!AA50)), "", IFERROR(VALUE(RIGHT(AA50,LEN(AA50)-MIN(FIND({0;1;2;3;4;5;6;7;8;9},AA50&amp;"0123456789"))+1)),""))</f>
        <v/>
      </c>
      <c r="AD50" s="16" t="str">
        <f t="shared" si="6"/>
        <v/>
      </c>
      <c r="AE50" s="16" t="e">
        <f t="shared" si="8"/>
        <v>#VALUE!</v>
      </c>
      <c r="AF50" s="16">
        <f t="shared" si="9"/>
        <v>0</v>
      </c>
      <c r="AG50" s="16" t="str">
        <f t="shared" si="2"/>
        <v/>
      </c>
      <c r="AH50" s="16" t="str">
        <f t="shared" si="3"/>
        <v/>
      </c>
      <c r="AI50" s="16" t="str">
        <f>IF(AG50="","",MAX($AI$2:AI49)+1)</f>
        <v/>
      </c>
      <c r="AJ50" s="16" t="str">
        <f t="shared" si="4"/>
        <v/>
      </c>
      <c r="AK50" s="16" t="str">
        <f t="shared" si="7"/>
        <v/>
      </c>
      <c r="AL50" s="16" t="str">
        <f t="shared" si="5"/>
        <v/>
      </c>
      <c r="AM50" s="16"/>
      <c r="AN50" s="16"/>
      <c r="AO50" s="16"/>
      <c r="AP50" s="16"/>
      <c r="AQ50" s="16"/>
      <c r="AR50" s="16"/>
      <c r="AS50" s="16"/>
      <c r="AT50" s="16"/>
    </row>
    <row r="51" spans="1:46" x14ac:dyDescent="0.25">
      <c r="A51" s="16"/>
      <c r="B51" s="16"/>
      <c r="C51" s="165"/>
      <c r="D51" s="165"/>
      <c r="E51" s="165"/>
      <c r="F51" s="165"/>
      <c r="G51" s="164"/>
      <c r="H51" s="164"/>
      <c r="I51" s="164"/>
      <c r="J51" s="164"/>
      <c r="AA51" s="16"/>
      <c r="AB51" s="16"/>
      <c r="AC51" s="162" t="str" cm="1">
        <f t="array" ref="AC51">IF(ISNUMBER(SEARCH("Anodo", Auxiliar2!AA51)), "", IFERROR(VALUE(RIGHT(AA51,LEN(AA51)-MIN(FIND({0;1;2;3;4;5;6;7;8;9},AA51&amp;"0123456789"))+1)),""))</f>
        <v/>
      </c>
      <c r="AD51" s="16" t="str">
        <f t="shared" si="6"/>
        <v/>
      </c>
      <c r="AE51" s="16" t="e">
        <f t="shared" si="8"/>
        <v>#VALUE!</v>
      </c>
      <c r="AF51" s="16">
        <f t="shared" si="9"/>
        <v>0</v>
      </c>
      <c r="AG51" s="16" t="str">
        <f t="shared" si="2"/>
        <v/>
      </c>
      <c r="AH51" s="16" t="str">
        <f t="shared" si="3"/>
        <v/>
      </c>
      <c r="AI51" s="16" t="str">
        <f>IF(AG51="","",MAX($AI$2:AI50)+1)</f>
        <v/>
      </c>
      <c r="AJ51" s="16" t="str">
        <f t="shared" si="4"/>
        <v/>
      </c>
      <c r="AK51" s="16" t="str">
        <f t="shared" si="7"/>
        <v/>
      </c>
      <c r="AL51" s="16" t="str">
        <f t="shared" si="5"/>
        <v/>
      </c>
      <c r="AM51" s="16"/>
      <c r="AN51" s="16"/>
      <c r="AO51" s="16"/>
      <c r="AP51" s="16"/>
      <c r="AQ51" s="16"/>
      <c r="AR51" s="16"/>
      <c r="AS51" s="16"/>
      <c r="AT51" s="16"/>
    </row>
    <row r="52" spans="1:46" x14ac:dyDescent="0.25">
      <c r="A52" s="16"/>
      <c r="B52" s="16"/>
      <c r="C52" s="165"/>
      <c r="D52" s="165"/>
      <c r="E52" s="165"/>
      <c r="F52" s="165"/>
      <c r="G52" s="164"/>
      <c r="H52" s="164"/>
      <c r="I52" s="164"/>
      <c r="J52" s="164"/>
      <c r="AA52" s="16"/>
      <c r="AB52" s="16"/>
      <c r="AC52" s="162" t="str" cm="1">
        <f t="array" ref="AC52">IF(ISNUMBER(SEARCH("Anodo", Auxiliar2!AA52)), "", IFERROR(VALUE(RIGHT(AA52,LEN(AA52)-MIN(FIND({0;1;2;3;4;5;6;7;8;9},AA52&amp;"0123456789"))+1)),""))</f>
        <v/>
      </c>
      <c r="AD52" s="16" t="str">
        <f t="shared" si="6"/>
        <v/>
      </c>
      <c r="AE52" s="16" t="e">
        <f t="shared" si="8"/>
        <v>#VALUE!</v>
      </c>
      <c r="AF52" s="16">
        <f t="shared" si="9"/>
        <v>0</v>
      </c>
      <c r="AG52" s="16" t="str">
        <f t="shared" si="2"/>
        <v/>
      </c>
      <c r="AH52" s="16" t="str">
        <f t="shared" si="3"/>
        <v/>
      </c>
      <c r="AI52" s="16" t="str">
        <f>IF(AG52="","",MAX($AI$2:AI51)+1)</f>
        <v/>
      </c>
      <c r="AJ52" s="16" t="str">
        <f t="shared" si="4"/>
        <v/>
      </c>
      <c r="AK52" s="16" t="str">
        <f t="shared" si="7"/>
        <v/>
      </c>
      <c r="AL52" s="16" t="str">
        <f t="shared" si="5"/>
        <v/>
      </c>
      <c r="AM52" s="16"/>
      <c r="AN52" s="16"/>
      <c r="AO52" s="16"/>
      <c r="AP52" s="16"/>
      <c r="AQ52" s="16"/>
      <c r="AR52" s="16"/>
      <c r="AS52" s="16"/>
      <c r="AT52" s="16"/>
    </row>
    <row r="53" spans="1:46" x14ac:dyDescent="0.25">
      <c r="A53" s="16"/>
      <c r="B53" s="16"/>
      <c r="C53" s="165"/>
      <c r="D53" s="165"/>
      <c r="E53" s="165"/>
      <c r="F53" s="165"/>
      <c r="G53" s="164"/>
      <c r="H53" s="164"/>
      <c r="I53" s="164"/>
      <c r="J53" s="164"/>
      <c r="AA53" s="16"/>
      <c r="AB53" s="16"/>
      <c r="AC53" s="162" t="str" cm="1">
        <f t="array" ref="AC53">IF(ISNUMBER(SEARCH("Anodo", Auxiliar2!AA53)), "", IFERROR(VALUE(RIGHT(AA53,LEN(AA53)-MIN(FIND({0;1;2;3;4;5;6;7;8;9},AA53&amp;"0123456789"))+1)),""))</f>
        <v/>
      </c>
      <c r="AD53" s="16" t="str">
        <f t="shared" si="6"/>
        <v/>
      </c>
      <c r="AE53" s="16" t="e">
        <f t="shared" si="8"/>
        <v>#VALUE!</v>
      </c>
      <c r="AF53" s="16">
        <f t="shared" si="9"/>
        <v>0</v>
      </c>
      <c r="AG53" s="16" t="str">
        <f t="shared" si="2"/>
        <v/>
      </c>
      <c r="AH53" s="16" t="str">
        <f t="shared" si="3"/>
        <v/>
      </c>
      <c r="AI53" s="16" t="str">
        <f>IF(AG53="","",MAX($AI$2:AI52)+1)</f>
        <v/>
      </c>
      <c r="AJ53" s="16" t="str">
        <f t="shared" si="4"/>
        <v/>
      </c>
      <c r="AK53" s="16" t="str">
        <f t="shared" si="7"/>
        <v/>
      </c>
      <c r="AL53" s="16" t="str">
        <f t="shared" si="5"/>
        <v/>
      </c>
      <c r="AM53" s="16"/>
      <c r="AN53" s="16"/>
      <c r="AO53" s="16"/>
      <c r="AP53" s="16"/>
      <c r="AQ53" s="16"/>
      <c r="AR53" s="16"/>
      <c r="AS53" s="16"/>
      <c r="AT53" s="16"/>
    </row>
    <row r="54" spans="1:46" x14ac:dyDescent="0.25">
      <c r="A54" s="16"/>
      <c r="B54" s="16"/>
      <c r="C54" s="165"/>
      <c r="D54" s="165"/>
      <c r="E54" s="165"/>
      <c r="F54" s="165"/>
      <c r="G54" s="164"/>
      <c r="H54" s="164"/>
      <c r="I54" s="164"/>
      <c r="J54" s="164"/>
      <c r="AA54" s="16"/>
      <c r="AB54" s="16"/>
      <c r="AC54" s="162" t="str" cm="1">
        <f t="array" ref="AC54">IF(ISNUMBER(SEARCH("Anodo", Auxiliar2!AA54)), "", IFERROR(VALUE(RIGHT(AA54,LEN(AA54)-MIN(FIND({0;1;2;3;4;5;6;7;8;9},AA54&amp;"0123456789"))+1)),""))</f>
        <v/>
      </c>
      <c r="AD54" s="16" t="str">
        <f t="shared" si="6"/>
        <v/>
      </c>
      <c r="AE54" s="16" t="e">
        <f t="shared" si="8"/>
        <v>#VALUE!</v>
      </c>
      <c r="AF54" s="16">
        <f t="shared" si="9"/>
        <v>0</v>
      </c>
      <c r="AG54" s="16" t="str">
        <f t="shared" si="2"/>
        <v/>
      </c>
      <c r="AH54" s="16" t="str">
        <f t="shared" si="3"/>
        <v/>
      </c>
      <c r="AI54" s="16" t="str">
        <f>IF(AG54="","",MAX($AI$2:AI53)+1)</f>
        <v/>
      </c>
      <c r="AJ54" s="16" t="str">
        <f t="shared" si="4"/>
        <v/>
      </c>
      <c r="AK54" s="16" t="str">
        <f t="shared" si="7"/>
        <v/>
      </c>
      <c r="AL54" s="16" t="str">
        <f t="shared" si="5"/>
        <v/>
      </c>
      <c r="AM54" s="16"/>
      <c r="AN54" s="16"/>
      <c r="AO54" s="16"/>
      <c r="AP54" s="16"/>
      <c r="AQ54" s="16"/>
      <c r="AR54" s="16"/>
      <c r="AS54" s="16"/>
      <c r="AT54" s="16"/>
    </row>
    <row r="55" spans="1:46" ht="13" x14ac:dyDescent="0.25">
      <c r="A55" s="16"/>
      <c r="B55" s="147"/>
      <c r="C55" s="165"/>
      <c r="D55" s="214"/>
      <c r="E55" s="165"/>
      <c r="F55" s="165"/>
      <c r="G55" s="164"/>
      <c r="H55" s="164"/>
      <c r="I55" s="164"/>
      <c r="J55" s="164"/>
      <c r="AA55" s="16"/>
      <c r="AB55" s="16"/>
      <c r="AC55" s="162" t="str" cm="1">
        <f t="array" ref="AC55">IF(ISNUMBER(SEARCH("Anodo", Auxiliar2!AA55)), "", IFERROR(VALUE(RIGHT(AA55,LEN(AA55)-MIN(FIND({0;1;2;3;4;5;6;7;8;9},AA55&amp;"0123456789"))+1)),""))</f>
        <v/>
      </c>
      <c r="AD55" s="16" t="str">
        <f t="shared" si="6"/>
        <v/>
      </c>
      <c r="AE55" s="16" t="e">
        <f t="shared" si="8"/>
        <v>#VALUE!</v>
      </c>
      <c r="AF55" s="16">
        <f t="shared" si="9"/>
        <v>0</v>
      </c>
      <c r="AG55" s="16" t="str">
        <f t="shared" si="2"/>
        <v/>
      </c>
      <c r="AH55" s="16" t="str">
        <f t="shared" si="3"/>
        <v/>
      </c>
      <c r="AI55" s="16" t="str">
        <f>IF(AG55="","",MAX($AI$2:AI54)+1)</f>
        <v/>
      </c>
      <c r="AJ55" s="16" t="str">
        <f t="shared" si="4"/>
        <v/>
      </c>
      <c r="AK55" s="16" t="str">
        <f t="shared" si="7"/>
        <v/>
      </c>
      <c r="AL55" s="16" t="str">
        <f t="shared" si="5"/>
        <v/>
      </c>
      <c r="AM55" s="16"/>
      <c r="AN55" s="16"/>
      <c r="AO55" s="16"/>
      <c r="AP55" s="16"/>
      <c r="AQ55" s="16"/>
      <c r="AR55" s="16"/>
      <c r="AS55" s="16"/>
      <c r="AT55" s="16"/>
    </row>
    <row r="56" spans="1:46" ht="13" x14ac:dyDescent="0.25">
      <c r="A56" s="16"/>
      <c r="B56" s="147"/>
      <c r="C56" s="165"/>
      <c r="D56" s="214"/>
      <c r="E56" s="165"/>
      <c r="F56" s="165"/>
      <c r="G56" s="164"/>
      <c r="H56" s="164"/>
      <c r="I56" s="164"/>
      <c r="J56" s="164"/>
      <c r="AA56" s="16"/>
      <c r="AB56" s="16"/>
      <c r="AC56" s="162" t="str" cm="1">
        <f t="array" ref="AC56">IF(ISNUMBER(SEARCH("Anodo", Auxiliar2!AA56)), "", IFERROR(VALUE(RIGHT(AA56,LEN(AA56)-MIN(FIND({0;1;2;3;4;5;6;7;8;9},AA56&amp;"0123456789"))+1)),""))</f>
        <v/>
      </c>
      <c r="AD56" s="16" t="str">
        <f t="shared" si="6"/>
        <v/>
      </c>
      <c r="AE56" s="16" t="e">
        <f t="shared" si="8"/>
        <v>#VALUE!</v>
      </c>
      <c r="AF56" s="16">
        <f t="shared" si="9"/>
        <v>0</v>
      </c>
      <c r="AG56" s="16" t="str">
        <f t="shared" si="2"/>
        <v/>
      </c>
      <c r="AH56" s="16" t="str">
        <f t="shared" si="3"/>
        <v/>
      </c>
      <c r="AI56" s="16" t="str">
        <f>IF(AG56="","",MAX($AI$2:AI55)+1)</f>
        <v/>
      </c>
      <c r="AJ56" s="16" t="str">
        <f t="shared" si="4"/>
        <v/>
      </c>
      <c r="AK56" s="16" t="str">
        <f t="shared" si="7"/>
        <v/>
      </c>
      <c r="AL56" s="16" t="str">
        <f t="shared" si="5"/>
        <v/>
      </c>
      <c r="AM56" s="16"/>
      <c r="AN56" s="16"/>
      <c r="AO56" s="16"/>
      <c r="AP56" s="16"/>
      <c r="AQ56" s="16"/>
      <c r="AR56" s="16"/>
      <c r="AS56" s="16"/>
      <c r="AT56" s="16"/>
    </row>
    <row r="57" spans="1:46" ht="13" x14ac:dyDescent="0.25">
      <c r="A57" s="16"/>
      <c r="B57" s="147"/>
      <c r="C57" s="165"/>
      <c r="D57" s="165"/>
      <c r="E57" s="214"/>
      <c r="F57" s="165"/>
      <c r="G57" s="164"/>
      <c r="H57" s="164"/>
      <c r="I57" s="164"/>
      <c r="J57" s="164"/>
      <c r="AA57" s="16"/>
      <c r="AB57" s="16"/>
      <c r="AC57" s="162" t="str" cm="1">
        <f t="array" ref="AC57">IF(ISNUMBER(SEARCH("Anodo", Auxiliar2!AA57)), "", IFERROR(VALUE(RIGHT(AA57,LEN(AA57)-MIN(FIND({0;1;2;3;4;5;6;7;8;9},AA57&amp;"0123456789"))+1)),""))</f>
        <v/>
      </c>
      <c r="AD57" s="16" t="str">
        <f t="shared" si="6"/>
        <v/>
      </c>
      <c r="AE57" s="16" t="e">
        <f t="shared" si="8"/>
        <v>#VALUE!</v>
      </c>
      <c r="AF57" s="16">
        <f t="shared" si="9"/>
        <v>0</v>
      </c>
      <c r="AG57" s="16" t="str">
        <f t="shared" si="2"/>
        <v/>
      </c>
      <c r="AH57" s="16" t="str">
        <f t="shared" si="3"/>
        <v/>
      </c>
      <c r="AI57" s="16" t="str">
        <f>IF(AG57="","",MAX($AI$2:AI56)+1)</f>
        <v/>
      </c>
      <c r="AJ57" s="16" t="str">
        <f t="shared" si="4"/>
        <v/>
      </c>
      <c r="AK57" s="16" t="str">
        <f t="shared" si="7"/>
        <v/>
      </c>
      <c r="AL57" s="16" t="str">
        <f t="shared" si="5"/>
        <v/>
      </c>
      <c r="AM57" s="16"/>
      <c r="AN57" s="16"/>
      <c r="AO57" s="16"/>
      <c r="AP57" s="16"/>
      <c r="AQ57" s="16"/>
      <c r="AR57" s="16"/>
      <c r="AS57" s="16"/>
      <c r="AT57" s="16"/>
    </row>
    <row r="58" spans="1:46" ht="13" x14ac:dyDescent="0.25">
      <c r="A58" s="16"/>
      <c r="B58" s="147"/>
      <c r="C58" s="165"/>
      <c r="D58" s="165"/>
      <c r="E58" s="214"/>
      <c r="F58" s="165"/>
      <c r="G58" s="164"/>
      <c r="H58" s="164"/>
      <c r="I58" s="164"/>
      <c r="J58" s="164"/>
      <c r="AA58" s="16"/>
      <c r="AB58" s="16"/>
      <c r="AC58" s="162" t="str" cm="1">
        <f t="array" ref="AC58">IF(ISNUMBER(SEARCH("Anodo", Auxiliar2!AA58)), "", IFERROR(VALUE(RIGHT(AA58,LEN(AA58)-MIN(FIND({0;1;2;3;4;5;6;7;8;9},AA58&amp;"0123456789"))+1)),""))</f>
        <v/>
      </c>
      <c r="AD58" s="16" t="str">
        <f t="shared" si="6"/>
        <v/>
      </c>
      <c r="AE58" s="16" t="e">
        <f t="shared" si="8"/>
        <v>#VALUE!</v>
      </c>
      <c r="AF58" s="16">
        <f t="shared" si="9"/>
        <v>0</v>
      </c>
      <c r="AG58" s="16" t="str">
        <f t="shared" si="2"/>
        <v/>
      </c>
      <c r="AH58" s="16" t="str">
        <f t="shared" si="3"/>
        <v/>
      </c>
      <c r="AI58" s="16" t="str">
        <f>IF(AG58="","",MAX($AI$2:AI57)+1)</f>
        <v/>
      </c>
      <c r="AJ58" s="16" t="str">
        <f t="shared" si="4"/>
        <v/>
      </c>
      <c r="AK58" s="16" t="str">
        <f t="shared" si="7"/>
        <v/>
      </c>
      <c r="AL58" s="16" t="str">
        <f t="shared" si="5"/>
        <v/>
      </c>
      <c r="AM58" s="16"/>
      <c r="AN58" s="16"/>
      <c r="AO58" s="16"/>
      <c r="AP58" s="16"/>
      <c r="AQ58" s="16"/>
      <c r="AR58" s="16"/>
      <c r="AS58" s="16"/>
      <c r="AT58" s="16"/>
    </row>
    <row r="59" spans="1:46" ht="13" x14ac:dyDescent="0.25">
      <c r="A59" s="16"/>
      <c r="B59" s="147"/>
      <c r="C59" s="165"/>
      <c r="D59" s="165"/>
      <c r="E59" s="165"/>
      <c r="F59" s="214"/>
      <c r="G59" s="164"/>
      <c r="H59" s="164"/>
      <c r="I59" s="164"/>
      <c r="J59" s="164"/>
      <c r="AA59" s="16"/>
      <c r="AB59" s="16"/>
      <c r="AC59" s="162" t="str" cm="1">
        <f t="array" ref="AC59">IF(ISNUMBER(SEARCH("Anodo", Auxiliar2!AA59)), "", IFERROR(VALUE(RIGHT(AA59,LEN(AA59)-MIN(FIND({0;1;2;3;4;5;6;7;8;9},AA59&amp;"0123456789"))+1)),""))</f>
        <v/>
      </c>
      <c r="AD59" s="16" t="str">
        <f t="shared" si="6"/>
        <v/>
      </c>
      <c r="AE59" s="16" t="e">
        <f t="shared" si="8"/>
        <v>#VALUE!</v>
      </c>
      <c r="AF59" s="16">
        <f t="shared" si="9"/>
        <v>0</v>
      </c>
      <c r="AG59" s="16" t="str">
        <f t="shared" si="2"/>
        <v/>
      </c>
      <c r="AH59" s="16" t="str">
        <f t="shared" si="3"/>
        <v/>
      </c>
      <c r="AI59" s="16" t="str">
        <f>IF(AG59="","",MAX($AI$2:AI58)+1)</f>
        <v/>
      </c>
      <c r="AJ59" s="16" t="str">
        <f t="shared" si="4"/>
        <v/>
      </c>
      <c r="AK59" s="16" t="str">
        <f t="shared" si="7"/>
        <v/>
      </c>
      <c r="AL59" s="16" t="str">
        <f t="shared" si="5"/>
        <v/>
      </c>
      <c r="AM59" s="16"/>
      <c r="AN59" s="16"/>
      <c r="AO59" s="16"/>
      <c r="AP59" s="16"/>
      <c r="AQ59" s="16"/>
      <c r="AR59" s="16"/>
      <c r="AS59" s="16"/>
      <c r="AT59" s="16"/>
    </row>
    <row r="60" spans="1:46" ht="13" x14ac:dyDescent="0.25">
      <c r="A60" s="16"/>
      <c r="B60" s="147"/>
      <c r="C60" s="165"/>
      <c r="D60" s="165"/>
      <c r="E60" s="165"/>
      <c r="F60" s="214"/>
      <c r="G60" s="164"/>
      <c r="H60" s="164"/>
      <c r="I60" s="164"/>
      <c r="J60" s="164"/>
      <c r="AA60" s="16"/>
      <c r="AB60" s="16"/>
      <c r="AC60" s="162" t="str" cm="1">
        <f t="array" ref="AC60">IF(ISNUMBER(SEARCH("Anodo", Auxiliar2!AA60)), "", IFERROR(VALUE(RIGHT(AA60,LEN(AA60)-MIN(FIND({0;1;2;3;4;5;6;7;8;9},AA60&amp;"0123456789"))+1)),""))</f>
        <v/>
      </c>
      <c r="AD60" s="16" t="str">
        <f t="shared" si="6"/>
        <v/>
      </c>
      <c r="AE60" s="16" t="e">
        <f t="shared" si="8"/>
        <v>#VALUE!</v>
      </c>
      <c r="AF60" s="16">
        <f t="shared" si="9"/>
        <v>0</v>
      </c>
      <c r="AG60" s="16" t="str">
        <f t="shared" si="2"/>
        <v/>
      </c>
      <c r="AH60" s="16" t="str">
        <f t="shared" si="3"/>
        <v/>
      </c>
      <c r="AI60" s="16" t="str">
        <f>IF(AG60="","",MAX($AI$2:AI59)+1)</f>
        <v/>
      </c>
      <c r="AJ60" s="16" t="str">
        <f t="shared" si="4"/>
        <v/>
      </c>
      <c r="AK60" s="16" t="str">
        <f t="shared" si="7"/>
        <v/>
      </c>
      <c r="AL60" s="16" t="str">
        <f t="shared" si="5"/>
        <v/>
      </c>
      <c r="AM60" s="16"/>
      <c r="AN60" s="16"/>
      <c r="AO60" s="16"/>
      <c r="AP60" s="16"/>
      <c r="AQ60" s="16"/>
      <c r="AR60" s="16"/>
      <c r="AS60" s="16"/>
      <c r="AT60" s="16"/>
    </row>
    <row r="61" spans="1:46" x14ac:dyDescent="0.25">
      <c r="A61" s="16"/>
      <c r="B61" s="16"/>
      <c r="C61" s="165"/>
      <c r="D61" s="165"/>
      <c r="E61" s="165"/>
      <c r="F61" s="165"/>
      <c r="G61" s="164"/>
      <c r="H61" s="164"/>
      <c r="I61" s="164"/>
      <c r="J61" s="164"/>
      <c r="AA61" s="16"/>
      <c r="AB61" s="16"/>
      <c r="AC61" s="162" t="str" cm="1">
        <f t="array" ref="AC61">IF(ISNUMBER(SEARCH("Anodo", Auxiliar2!AA61)), "", IFERROR(VALUE(RIGHT(AA61,LEN(AA61)-MIN(FIND({0;1;2;3;4;5;6;7;8;9},AA61&amp;"0123456789"))+1)),""))</f>
        <v/>
      </c>
      <c r="AD61" s="16" t="str">
        <f t="shared" si="6"/>
        <v/>
      </c>
      <c r="AE61" s="16" t="e">
        <f t="shared" si="8"/>
        <v>#VALUE!</v>
      </c>
      <c r="AF61" s="16">
        <f t="shared" si="9"/>
        <v>0</v>
      </c>
      <c r="AG61" s="16" t="str">
        <f t="shared" si="2"/>
        <v/>
      </c>
      <c r="AH61" s="16" t="str">
        <f t="shared" si="3"/>
        <v/>
      </c>
      <c r="AI61" s="16" t="str">
        <f>IF(AG61="","",MAX($AI$2:AI60)+1)</f>
        <v/>
      </c>
      <c r="AJ61" s="16" t="str">
        <f t="shared" si="4"/>
        <v/>
      </c>
      <c r="AK61" s="16" t="str">
        <f t="shared" si="7"/>
        <v/>
      </c>
      <c r="AL61" s="16" t="str">
        <f t="shared" si="5"/>
        <v/>
      </c>
      <c r="AM61" s="16"/>
      <c r="AN61" s="16"/>
      <c r="AO61" s="16"/>
      <c r="AP61" s="16"/>
      <c r="AQ61" s="16"/>
      <c r="AR61" s="16"/>
      <c r="AS61" s="16"/>
      <c r="AT61" s="16"/>
    </row>
    <row r="62" spans="1:46" x14ac:dyDescent="0.25">
      <c r="A62" s="16"/>
      <c r="B62" s="16"/>
      <c r="C62" s="165"/>
      <c r="D62" s="165"/>
      <c r="E62" s="165"/>
      <c r="F62" s="165"/>
      <c r="G62" s="164"/>
      <c r="H62" s="164"/>
      <c r="I62" s="164"/>
      <c r="J62" s="164"/>
      <c r="AA62" s="16"/>
      <c r="AB62" s="16"/>
      <c r="AC62" s="162" t="str" cm="1">
        <f t="array" ref="AC62">IF(ISNUMBER(SEARCH("Anodo", Auxiliar2!AA62)), "", IFERROR(VALUE(RIGHT(AA62,LEN(AA62)-MIN(FIND({0;1;2;3;4;5;6;7;8;9},AA62&amp;"0123456789"))+1)),""))</f>
        <v/>
      </c>
      <c r="AD62" s="16" t="str">
        <f t="shared" si="6"/>
        <v/>
      </c>
      <c r="AE62" s="16" t="e">
        <f t="shared" si="8"/>
        <v>#VALUE!</v>
      </c>
      <c r="AF62" s="16">
        <f t="shared" si="9"/>
        <v>0</v>
      </c>
      <c r="AG62" s="16" t="str">
        <f t="shared" si="2"/>
        <v/>
      </c>
      <c r="AH62" s="16" t="str">
        <f t="shared" si="3"/>
        <v/>
      </c>
      <c r="AI62" s="16" t="str">
        <f>IF(AG62="","",MAX($AI$2:AI61)+1)</f>
        <v/>
      </c>
      <c r="AJ62" s="16" t="str">
        <f t="shared" si="4"/>
        <v/>
      </c>
      <c r="AK62" s="16" t="str">
        <f t="shared" si="7"/>
        <v/>
      </c>
      <c r="AL62" s="16" t="str">
        <f t="shared" si="5"/>
        <v/>
      </c>
      <c r="AM62" s="16"/>
      <c r="AN62" s="16"/>
      <c r="AO62" s="16"/>
      <c r="AP62" s="16"/>
      <c r="AQ62" s="16"/>
      <c r="AR62" s="16"/>
      <c r="AS62" s="16"/>
      <c r="AT62" s="16"/>
    </row>
    <row r="63" spans="1:46" x14ac:dyDescent="0.25">
      <c r="A63" s="16"/>
      <c r="B63" s="16"/>
      <c r="C63" s="165"/>
      <c r="D63" s="165"/>
      <c r="E63" s="165"/>
      <c r="F63" s="165"/>
      <c r="G63" s="164"/>
      <c r="H63" s="164"/>
      <c r="I63" s="164"/>
      <c r="J63" s="164"/>
      <c r="AA63" s="16"/>
      <c r="AB63" s="16"/>
      <c r="AC63" s="162" t="str" cm="1">
        <f t="array" ref="AC63">IF(ISNUMBER(SEARCH("Anodo", Auxiliar2!AA63)), "", IFERROR(VALUE(RIGHT(AA63,LEN(AA63)-MIN(FIND({0;1;2;3;4;5;6;7;8;9},AA63&amp;"0123456789"))+1)),""))</f>
        <v/>
      </c>
      <c r="AD63" s="16" t="str">
        <f t="shared" si="6"/>
        <v/>
      </c>
      <c r="AE63" s="16" t="e">
        <f t="shared" si="8"/>
        <v>#VALUE!</v>
      </c>
      <c r="AF63" s="16">
        <f t="shared" si="9"/>
        <v>0</v>
      </c>
      <c r="AG63" s="16" t="str">
        <f t="shared" si="2"/>
        <v/>
      </c>
      <c r="AH63" s="16" t="str">
        <f t="shared" si="3"/>
        <v/>
      </c>
      <c r="AI63" s="16" t="str">
        <f>IF(AG63="","",MAX($AI$2:AI62)+1)</f>
        <v/>
      </c>
      <c r="AJ63" s="16" t="str">
        <f t="shared" si="4"/>
        <v/>
      </c>
      <c r="AK63" s="16" t="str">
        <f t="shared" si="7"/>
        <v/>
      </c>
      <c r="AL63" s="16" t="str">
        <f t="shared" si="5"/>
        <v/>
      </c>
      <c r="AM63" s="16"/>
      <c r="AN63" s="16"/>
      <c r="AO63" s="16"/>
      <c r="AP63" s="16"/>
      <c r="AQ63" s="16"/>
      <c r="AR63" s="16"/>
      <c r="AS63" s="16"/>
      <c r="AT63" s="16"/>
    </row>
    <row r="64" spans="1:46" x14ac:dyDescent="0.25">
      <c r="A64" s="16"/>
      <c r="B64" s="16"/>
      <c r="C64" s="165"/>
      <c r="D64" s="165"/>
      <c r="E64" s="165"/>
      <c r="F64" s="165"/>
      <c r="G64" s="164"/>
      <c r="H64" s="164"/>
      <c r="I64" s="164"/>
      <c r="J64" s="164"/>
      <c r="AA64" s="16"/>
      <c r="AB64" s="16"/>
      <c r="AC64" s="162" t="str" cm="1">
        <f t="array" ref="AC64">IF(ISNUMBER(SEARCH("Anodo", Auxiliar2!AA64)), "", IFERROR(VALUE(RIGHT(AA64,LEN(AA64)-MIN(FIND({0;1;2;3;4;5;6;7;8;9},AA64&amp;"0123456789"))+1)),""))</f>
        <v/>
      </c>
      <c r="AD64" s="16" t="str">
        <f t="shared" si="6"/>
        <v/>
      </c>
      <c r="AE64" s="16" t="e">
        <f t="shared" si="8"/>
        <v>#VALUE!</v>
      </c>
      <c r="AF64" s="16">
        <f t="shared" si="9"/>
        <v>0</v>
      </c>
      <c r="AG64" s="16" t="str">
        <f t="shared" si="2"/>
        <v/>
      </c>
      <c r="AH64" s="16" t="str">
        <f t="shared" si="3"/>
        <v/>
      </c>
      <c r="AI64" s="16" t="str">
        <f>IF(AG64="","",MAX($AI$2:AI63)+1)</f>
        <v/>
      </c>
      <c r="AJ64" s="16" t="str">
        <f t="shared" si="4"/>
        <v/>
      </c>
      <c r="AK64" s="16" t="str">
        <f t="shared" si="7"/>
        <v/>
      </c>
      <c r="AL64" s="16" t="str">
        <f t="shared" si="5"/>
        <v/>
      </c>
      <c r="AM64" s="16"/>
      <c r="AN64" s="16"/>
      <c r="AO64" s="16"/>
      <c r="AP64" s="16"/>
      <c r="AQ64" s="16"/>
      <c r="AR64" s="16"/>
      <c r="AS64" s="16"/>
      <c r="AT64" s="16"/>
    </row>
    <row r="65" spans="1:46" x14ac:dyDescent="0.25">
      <c r="A65" s="16"/>
      <c r="B65" s="16"/>
      <c r="C65" s="165"/>
      <c r="D65" s="165"/>
      <c r="E65" s="165"/>
      <c r="F65" s="165"/>
      <c r="G65" s="164"/>
      <c r="H65" s="164"/>
      <c r="I65" s="164"/>
      <c r="J65" s="164"/>
      <c r="AA65" s="16"/>
      <c r="AB65" s="16"/>
      <c r="AC65" s="162" t="str" cm="1">
        <f t="array" ref="AC65">IF(ISNUMBER(SEARCH("Anodo", Auxiliar2!AA65)), "", IFERROR(VALUE(RIGHT(AA65,LEN(AA65)-MIN(FIND({0;1;2;3;4;5;6;7;8;9},AA65&amp;"0123456789"))+1)),""))</f>
        <v/>
      </c>
      <c r="AD65" s="16" t="str">
        <f t="shared" si="6"/>
        <v/>
      </c>
      <c r="AE65" s="16" t="e">
        <f t="shared" si="8"/>
        <v>#VALUE!</v>
      </c>
      <c r="AF65" s="16">
        <f t="shared" si="9"/>
        <v>0</v>
      </c>
      <c r="AG65" s="16" t="str">
        <f t="shared" si="2"/>
        <v/>
      </c>
      <c r="AH65" s="16" t="str">
        <f t="shared" si="3"/>
        <v/>
      </c>
      <c r="AI65" s="16" t="str">
        <f>IF(AG65="","",MAX($AI$2:AI64)+1)</f>
        <v/>
      </c>
      <c r="AJ65" s="16" t="str">
        <f t="shared" si="4"/>
        <v/>
      </c>
      <c r="AK65" s="16" t="str">
        <f t="shared" si="7"/>
        <v/>
      </c>
      <c r="AL65" s="16" t="str">
        <f t="shared" si="5"/>
        <v/>
      </c>
      <c r="AM65" s="16"/>
      <c r="AN65" s="16"/>
      <c r="AO65" s="16"/>
      <c r="AP65" s="16"/>
      <c r="AQ65" s="16"/>
      <c r="AR65" s="16"/>
      <c r="AS65" s="16"/>
      <c r="AT65" s="16"/>
    </row>
    <row r="66" spans="1:46" x14ac:dyDescent="0.25">
      <c r="A66" s="16"/>
      <c r="B66" s="16"/>
      <c r="C66" s="165"/>
      <c r="D66" s="165"/>
      <c r="E66" s="165"/>
      <c r="F66" s="165"/>
      <c r="G66" s="164"/>
      <c r="H66" s="164"/>
      <c r="I66" s="164"/>
      <c r="J66" s="164"/>
      <c r="AA66" s="16"/>
      <c r="AB66" s="16"/>
      <c r="AC66" s="162" t="str" cm="1">
        <f t="array" ref="AC66">IF(ISNUMBER(SEARCH("Anodo", Auxiliar2!AA66)), "", IFERROR(VALUE(RIGHT(AA66,LEN(AA66)-MIN(FIND({0;1;2;3;4;5;6;7;8;9},AA66&amp;"0123456789"))+1)),""))</f>
        <v/>
      </c>
      <c r="AD66" s="16" t="str">
        <f t="shared" si="6"/>
        <v/>
      </c>
      <c r="AE66" s="16" t="e">
        <f t="shared" ref="AE66:AE78" si="10">SMALL(AB:AB,AD66)</f>
        <v>#VALUE!</v>
      </c>
      <c r="AF66" s="16">
        <f t="shared" ref="AF66:AF78" si="11">SUMIF(AB:AB,AE66,AC:AC)</f>
        <v>0</v>
      </c>
      <c r="AG66" s="16" t="str">
        <f t="shared" si="2"/>
        <v/>
      </c>
      <c r="AH66" s="16" t="str">
        <f t="shared" si="3"/>
        <v/>
      </c>
      <c r="AI66" s="16" t="str">
        <f>IF(AG66="","",MAX($AI$2:AI65)+1)</f>
        <v/>
      </c>
      <c r="AJ66" s="16" t="str">
        <f t="shared" si="4"/>
        <v/>
      </c>
      <c r="AK66" s="16" t="str">
        <f t="shared" si="7"/>
        <v/>
      </c>
      <c r="AL66" s="16" t="str">
        <f t="shared" si="5"/>
        <v/>
      </c>
      <c r="AM66" s="16"/>
      <c r="AN66" s="16"/>
      <c r="AO66" s="16"/>
      <c r="AP66" s="16"/>
      <c r="AQ66" s="16"/>
      <c r="AR66" s="16"/>
      <c r="AS66" s="16"/>
      <c r="AT66" s="16"/>
    </row>
    <row r="67" spans="1:46" x14ac:dyDescent="0.25">
      <c r="A67" s="16"/>
      <c r="B67" s="16"/>
      <c r="C67" s="165"/>
      <c r="D67" s="165"/>
      <c r="E67" s="165"/>
      <c r="F67" s="165"/>
      <c r="G67" s="164"/>
      <c r="H67" s="164"/>
      <c r="I67" s="164"/>
      <c r="J67" s="164"/>
      <c r="AA67" s="16"/>
      <c r="AB67" s="16"/>
      <c r="AC67" s="162" t="str" cm="1">
        <f t="array" ref="AC67">IF(ISNUMBER(SEARCH("Anodo", Auxiliar2!AA67)), "", IFERROR(VALUE(RIGHT(AA67,LEN(AA67)-MIN(FIND({0;1;2;3;4;5;6;7;8;9},AA67&amp;"0123456789"))+1)),""))</f>
        <v/>
      </c>
      <c r="AD67" s="16" t="str">
        <f t="shared" si="6"/>
        <v/>
      </c>
      <c r="AE67" s="16" t="e">
        <f t="shared" si="10"/>
        <v>#VALUE!</v>
      </c>
      <c r="AF67" s="16">
        <f t="shared" si="11"/>
        <v>0</v>
      </c>
      <c r="AG67" s="16" t="str">
        <f t="shared" ref="AG67:AG78" si="12">IFERROR(IF(AF67=0,"",IF(AND(AE67=AE66,AF67=AF66),"",AE67)),"")</f>
        <v/>
      </c>
      <c r="AH67" s="16" t="str">
        <f t="shared" ref="AH67:AH78" si="13">IF(AF67=0,"",AF67)</f>
        <v/>
      </c>
      <c r="AI67" s="16" t="str">
        <f>IF(AG67="","",MAX($AI$2:AI66)+1)</f>
        <v/>
      </c>
      <c r="AJ67" s="16" t="str">
        <f t="shared" si="4"/>
        <v/>
      </c>
      <c r="AK67" s="16" t="str">
        <f t="shared" si="7"/>
        <v/>
      </c>
      <c r="AL67" s="16" t="str">
        <f t="shared" si="5"/>
        <v/>
      </c>
      <c r="AM67" s="16"/>
      <c r="AN67" s="16"/>
      <c r="AO67" s="16"/>
      <c r="AP67" s="16"/>
      <c r="AQ67" s="16"/>
      <c r="AR67" s="16"/>
      <c r="AS67" s="16"/>
      <c r="AT67" s="16"/>
    </row>
    <row r="68" spans="1:46" x14ac:dyDescent="0.25">
      <c r="A68" s="16"/>
      <c r="B68" s="16"/>
      <c r="C68" s="165"/>
      <c r="D68" s="165"/>
      <c r="E68" s="165"/>
      <c r="F68" s="165"/>
      <c r="G68" s="164"/>
      <c r="H68" s="164"/>
      <c r="I68" s="164"/>
      <c r="J68" s="164"/>
      <c r="AA68" s="16"/>
      <c r="AB68" s="16"/>
      <c r="AC68" s="162" t="str" cm="1">
        <f t="array" ref="AC68">IF(ISNUMBER(SEARCH("Anodo", Auxiliar2!AA68)), "", IFERROR(VALUE(RIGHT(AA68,LEN(AA68)-MIN(FIND({0;1;2;3;4;5;6;7;8;9},AA68&amp;"0123456789"))+1)),""))</f>
        <v/>
      </c>
      <c r="AD68" s="16" t="str">
        <f t="shared" ref="AD68:AD78" si="14" xml:space="preserve"> IF(AA68&lt;&gt;"",AD67+1,"")</f>
        <v/>
      </c>
      <c r="AE68" s="16" t="e">
        <f t="shared" si="10"/>
        <v>#VALUE!</v>
      </c>
      <c r="AF68" s="16">
        <f t="shared" si="11"/>
        <v>0</v>
      </c>
      <c r="AG68" s="16" t="str">
        <f t="shared" si="12"/>
        <v/>
      </c>
      <c r="AH68" s="16" t="str">
        <f t="shared" si="13"/>
        <v/>
      </c>
      <c r="AI68" s="16" t="str">
        <f>IF(AG68="","",MAX($AI$2:AI67)+1)</f>
        <v/>
      </c>
      <c r="AJ68" s="16" t="str">
        <f t="shared" ref="AJ68:AJ78" si="15" xml:space="preserve"> IF(AA68&lt;&gt;"",AJ67+1,"")</f>
        <v/>
      </c>
      <c r="AK68" s="16" t="str">
        <f t="shared" ref="AK68:AK78" si="16">IF($Z$2="Peso","",IFERROR(INDEX(AG68:AI185,MATCH(AJ68,AI68:AI185,0),2),""))</f>
        <v/>
      </c>
      <c r="AL68" s="16" t="str">
        <f t="shared" ref="AL68:AL78" si="17">IF($Z$2="Peso","",IFERROR(INDEX(AG68:AI185,MATCH(AJ68,AI68:AI185,0),1),""))</f>
        <v/>
      </c>
      <c r="AM68" s="16"/>
      <c r="AN68" s="16"/>
      <c r="AO68" s="16"/>
      <c r="AP68" s="16"/>
      <c r="AQ68" s="16"/>
      <c r="AR68" s="16"/>
      <c r="AS68" s="16"/>
      <c r="AT68" s="16"/>
    </row>
    <row r="69" spans="1:46" x14ac:dyDescent="0.25">
      <c r="A69" s="16"/>
      <c r="B69" s="16"/>
      <c r="C69" s="165"/>
      <c r="D69" s="165"/>
      <c r="E69" s="165"/>
      <c r="F69" s="165"/>
      <c r="G69" s="164"/>
      <c r="H69" s="164"/>
      <c r="I69" s="164"/>
      <c r="J69" s="164"/>
      <c r="AA69" s="16"/>
      <c r="AB69" s="16"/>
      <c r="AC69" s="162" t="str" cm="1">
        <f t="array" ref="AC69">IF(ISNUMBER(SEARCH("Anodo", Auxiliar2!AA69)), "", IFERROR(VALUE(RIGHT(AA69,LEN(AA69)-MIN(FIND({0;1;2;3;4;5;6;7;8;9},AA69&amp;"0123456789"))+1)),""))</f>
        <v/>
      </c>
      <c r="AD69" s="16" t="str">
        <f t="shared" si="14"/>
        <v/>
      </c>
      <c r="AE69" s="16" t="e">
        <f t="shared" si="10"/>
        <v>#VALUE!</v>
      </c>
      <c r="AF69" s="16">
        <f t="shared" si="11"/>
        <v>0</v>
      </c>
      <c r="AG69" s="16" t="str">
        <f t="shared" si="12"/>
        <v/>
      </c>
      <c r="AH69" s="16" t="str">
        <f t="shared" si="13"/>
        <v/>
      </c>
      <c r="AI69" s="16" t="str">
        <f>IF(AG69="","",MAX($AI$2:AI68)+1)</f>
        <v/>
      </c>
      <c r="AJ69" s="16" t="str">
        <f t="shared" si="15"/>
        <v/>
      </c>
      <c r="AK69" s="16" t="str">
        <f t="shared" si="16"/>
        <v/>
      </c>
      <c r="AL69" s="16" t="str">
        <f t="shared" si="17"/>
        <v/>
      </c>
      <c r="AM69" s="16"/>
      <c r="AN69" s="16"/>
      <c r="AO69" s="16"/>
      <c r="AP69" s="16"/>
      <c r="AQ69" s="16"/>
      <c r="AR69" s="16"/>
      <c r="AS69" s="16"/>
      <c r="AT69" s="16"/>
    </row>
    <row r="70" spans="1:46" x14ac:dyDescent="0.25">
      <c r="A70" s="16"/>
      <c r="B70" s="16"/>
      <c r="C70" s="165"/>
      <c r="D70" s="165"/>
      <c r="E70" s="165"/>
      <c r="F70" s="165"/>
      <c r="G70" s="164"/>
      <c r="H70" s="164"/>
      <c r="I70" s="164"/>
      <c r="J70" s="164"/>
      <c r="AA70" s="16"/>
      <c r="AB70" s="16"/>
      <c r="AC70" s="162" t="str" cm="1">
        <f t="array" ref="AC70">IF(ISNUMBER(SEARCH("Anodo", Auxiliar2!AA70)), "", IFERROR(VALUE(RIGHT(AA70,LEN(AA70)-MIN(FIND({0;1;2;3;4;5;6;7;8;9},AA70&amp;"0123456789"))+1)),""))</f>
        <v/>
      </c>
      <c r="AD70" s="16" t="str">
        <f t="shared" si="14"/>
        <v/>
      </c>
      <c r="AE70" s="16" t="e">
        <f t="shared" si="10"/>
        <v>#VALUE!</v>
      </c>
      <c r="AF70" s="16">
        <f t="shared" si="11"/>
        <v>0</v>
      </c>
      <c r="AG70" s="16" t="str">
        <f t="shared" si="12"/>
        <v/>
      </c>
      <c r="AH70" s="16" t="str">
        <f t="shared" si="13"/>
        <v/>
      </c>
      <c r="AI70" s="16" t="str">
        <f>IF(AG70="","",MAX($AI$2:AI69)+1)</f>
        <v/>
      </c>
      <c r="AJ70" s="16" t="str">
        <f t="shared" si="15"/>
        <v/>
      </c>
      <c r="AK70" s="16" t="str">
        <f t="shared" si="16"/>
        <v/>
      </c>
      <c r="AL70" s="16" t="str">
        <f t="shared" si="17"/>
        <v/>
      </c>
      <c r="AM70" s="16"/>
      <c r="AN70" s="16"/>
      <c r="AO70" s="16"/>
      <c r="AP70" s="16"/>
      <c r="AQ70" s="16"/>
      <c r="AR70" s="16"/>
      <c r="AS70" s="16"/>
      <c r="AT70" s="16"/>
    </row>
    <row r="71" spans="1:46" x14ac:dyDescent="0.25">
      <c r="A71" s="16"/>
      <c r="B71" s="16"/>
      <c r="C71" s="165"/>
      <c r="D71" s="165"/>
      <c r="E71" s="165"/>
      <c r="F71" s="165"/>
      <c r="G71" s="164"/>
      <c r="H71" s="164"/>
      <c r="I71" s="164"/>
      <c r="J71" s="164"/>
      <c r="AA71" s="16"/>
      <c r="AB71" s="16"/>
      <c r="AC71" s="162" t="str" cm="1">
        <f t="array" ref="AC71">IF(ISNUMBER(SEARCH("Anodo", Auxiliar2!AA71)), "", IFERROR(VALUE(RIGHT(AA71,LEN(AA71)-MIN(FIND({0;1;2;3;4;5;6;7;8;9},AA71&amp;"0123456789"))+1)),""))</f>
        <v/>
      </c>
      <c r="AD71" s="16" t="str">
        <f t="shared" si="14"/>
        <v/>
      </c>
      <c r="AE71" s="16" t="e">
        <f t="shared" si="10"/>
        <v>#VALUE!</v>
      </c>
      <c r="AF71" s="16">
        <f t="shared" si="11"/>
        <v>0</v>
      </c>
      <c r="AG71" s="16" t="str">
        <f t="shared" si="12"/>
        <v/>
      </c>
      <c r="AH71" s="16" t="str">
        <f t="shared" si="13"/>
        <v/>
      </c>
      <c r="AI71" s="16" t="str">
        <f>IF(AG71="","",MAX($AI$2:AI70)+1)</f>
        <v/>
      </c>
      <c r="AJ71" s="16" t="str">
        <f t="shared" si="15"/>
        <v/>
      </c>
      <c r="AK71" s="16" t="str">
        <f t="shared" si="16"/>
        <v/>
      </c>
      <c r="AL71" s="16" t="str">
        <f t="shared" si="17"/>
        <v/>
      </c>
      <c r="AM71" s="16"/>
      <c r="AN71" s="16"/>
      <c r="AO71" s="16"/>
      <c r="AP71" s="16"/>
      <c r="AQ71" s="16"/>
      <c r="AR71" s="16"/>
      <c r="AS71" s="16"/>
      <c r="AT71" s="16"/>
    </row>
    <row r="72" spans="1:46" x14ac:dyDescent="0.25">
      <c r="A72" s="16"/>
      <c r="B72" s="16"/>
      <c r="C72" s="165"/>
      <c r="D72" s="165"/>
      <c r="E72" s="165"/>
      <c r="F72" s="165"/>
      <c r="G72" s="164"/>
      <c r="H72" s="164"/>
      <c r="I72" s="164"/>
      <c r="J72" s="164"/>
      <c r="AA72" s="16"/>
      <c r="AB72" s="16"/>
      <c r="AC72" s="162" t="str" cm="1">
        <f t="array" ref="AC72">IF(ISNUMBER(SEARCH("Anodo", Auxiliar2!AA72)), "", IFERROR(VALUE(RIGHT(AA72,LEN(AA72)-MIN(FIND({0;1;2;3;4;5;6;7;8;9},AA72&amp;"0123456789"))+1)),""))</f>
        <v/>
      </c>
      <c r="AD72" s="16" t="str">
        <f t="shared" si="14"/>
        <v/>
      </c>
      <c r="AE72" s="16" t="e">
        <f t="shared" si="10"/>
        <v>#VALUE!</v>
      </c>
      <c r="AF72" s="16">
        <f t="shared" si="11"/>
        <v>0</v>
      </c>
      <c r="AG72" s="16" t="str">
        <f t="shared" si="12"/>
        <v/>
      </c>
      <c r="AH72" s="16" t="str">
        <f t="shared" si="13"/>
        <v/>
      </c>
      <c r="AI72" s="16" t="str">
        <f>IF(AG72="","",MAX($AI$2:AI71)+1)</f>
        <v/>
      </c>
      <c r="AJ72" s="16" t="str">
        <f t="shared" si="15"/>
        <v/>
      </c>
      <c r="AK72" s="16" t="str">
        <f t="shared" si="16"/>
        <v/>
      </c>
      <c r="AL72" s="16" t="str">
        <f t="shared" si="17"/>
        <v/>
      </c>
      <c r="AM72" s="16"/>
      <c r="AN72" s="16"/>
      <c r="AO72" s="16"/>
      <c r="AP72" s="16"/>
      <c r="AQ72" s="16"/>
      <c r="AR72" s="16"/>
      <c r="AS72" s="16"/>
      <c r="AT72" s="16"/>
    </row>
    <row r="73" spans="1:46" x14ac:dyDescent="0.25">
      <c r="A73" s="16"/>
      <c r="B73" s="16"/>
      <c r="C73" s="165"/>
      <c r="D73" s="165"/>
      <c r="E73" s="165"/>
      <c r="F73" s="165"/>
      <c r="G73" s="164"/>
      <c r="H73" s="164"/>
      <c r="I73" s="164"/>
      <c r="J73" s="164"/>
      <c r="AA73" s="16"/>
      <c r="AB73" s="16"/>
      <c r="AC73" s="162" t="str" cm="1">
        <f t="array" ref="AC73">IF(ISNUMBER(SEARCH("Anodo", Auxiliar2!AA73)), "", IFERROR(VALUE(RIGHT(AA73,LEN(AA73)-MIN(FIND({0;1;2;3;4;5;6;7;8;9},AA73&amp;"0123456789"))+1)),""))</f>
        <v/>
      </c>
      <c r="AD73" s="16" t="str">
        <f t="shared" si="14"/>
        <v/>
      </c>
      <c r="AE73" s="16" t="e">
        <f t="shared" si="10"/>
        <v>#VALUE!</v>
      </c>
      <c r="AF73" s="16">
        <f t="shared" si="11"/>
        <v>0</v>
      </c>
      <c r="AG73" s="16" t="str">
        <f t="shared" si="12"/>
        <v/>
      </c>
      <c r="AH73" s="16" t="str">
        <f t="shared" si="13"/>
        <v/>
      </c>
      <c r="AI73" s="16" t="str">
        <f>IF(AG73="","",MAX($AI$2:AI72)+1)</f>
        <v/>
      </c>
      <c r="AJ73" s="16" t="str">
        <f t="shared" si="15"/>
        <v/>
      </c>
      <c r="AK73" s="16" t="str">
        <f t="shared" si="16"/>
        <v/>
      </c>
      <c r="AL73" s="16" t="str">
        <f t="shared" si="17"/>
        <v/>
      </c>
      <c r="AM73" s="16"/>
      <c r="AN73" s="16"/>
      <c r="AO73" s="16"/>
      <c r="AP73" s="16"/>
      <c r="AQ73" s="16"/>
      <c r="AR73" s="16"/>
      <c r="AS73" s="16"/>
      <c r="AT73" s="16"/>
    </row>
    <row r="74" spans="1:46" x14ac:dyDescent="0.25">
      <c r="A74" s="16"/>
      <c r="B74" s="16"/>
      <c r="C74" s="165"/>
      <c r="D74" s="165"/>
      <c r="E74" s="165"/>
      <c r="F74" s="165"/>
      <c r="G74" s="164"/>
      <c r="H74" s="164"/>
      <c r="I74" s="164"/>
      <c r="J74" s="164"/>
      <c r="AA74" s="16"/>
      <c r="AB74" s="16"/>
      <c r="AC74" s="162" t="str" cm="1">
        <f t="array" ref="AC74">IF(ISNUMBER(SEARCH("Anodo", Auxiliar2!AA74)), "", IFERROR(VALUE(RIGHT(AA74,LEN(AA74)-MIN(FIND({0;1;2;3;4;5;6;7;8;9},AA74&amp;"0123456789"))+1)),""))</f>
        <v/>
      </c>
      <c r="AD74" s="16" t="str">
        <f t="shared" si="14"/>
        <v/>
      </c>
      <c r="AE74" s="16" t="e">
        <f t="shared" si="10"/>
        <v>#VALUE!</v>
      </c>
      <c r="AF74" s="16">
        <f t="shared" si="11"/>
        <v>0</v>
      </c>
      <c r="AG74" s="16" t="str">
        <f t="shared" si="12"/>
        <v/>
      </c>
      <c r="AH74" s="16" t="str">
        <f t="shared" si="13"/>
        <v/>
      </c>
      <c r="AI74" s="16" t="str">
        <f>IF(AG74="","",MAX($AI$2:AI73)+1)</f>
        <v/>
      </c>
      <c r="AJ74" s="16" t="str">
        <f t="shared" si="15"/>
        <v/>
      </c>
      <c r="AK74" s="16" t="str">
        <f t="shared" si="16"/>
        <v/>
      </c>
      <c r="AL74" s="16" t="str">
        <f t="shared" si="17"/>
        <v/>
      </c>
      <c r="AM74" s="16"/>
      <c r="AN74" s="16"/>
      <c r="AO74" s="16"/>
      <c r="AP74" s="16"/>
      <c r="AQ74" s="16"/>
      <c r="AR74" s="16"/>
      <c r="AS74" s="16"/>
      <c r="AT74" s="16"/>
    </row>
    <row r="75" spans="1:46" x14ac:dyDescent="0.25">
      <c r="A75" s="16"/>
      <c r="B75" s="16"/>
      <c r="C75" s="165"/>
      <c r="D75" s="165"/>
      <c r="E75" s="165"/>
      <c r="F75" s="165"/>
      <c r="G75" s="164"/>
      <c r="H75" s="164"/>
      <c r="I75" s="164"/>
      <c r="J75" s="164"/>
      <c r="AA75" s="16"/>
      <c r="AB75" s="16"/>
      <c r="AC75" s="162" t="str" cm="1">
        <f t="array" ref="AC75">IF(ISNUMBER(SEARCH("Anodo", Auxiliar2!AA75)), "", IFERROR(VALUE(RIGHT(AA75,LEN(AA75)-MIN(FIND({0;1;2;3;4;5;6;7;8;9},AA75&amp;"0123456789"))+1)),""))</f>
        <v/>
      </c>
      <c r="AD75" s="16" t="str">
        <f t="shared" si="14"/>
        <v/>
      </c>
      <c r="AE75" s="16" t="e">
        <f t="shared" si="10"/>
        <v>#VALUE!</v>
      </c>
      <c r="AF75" s="16">
        <f t="shared" si="11"/>
        <v>0</v>
      </c>
      <c r="AG75" s="16" t="str">
        <f t="shared" si="12"/>
        <v/>
      </c>
      <c r="AH75" s="16" t="str">
        <f t="shared" si="13"/>
        <v/>
      </c>
      <c r="AI75" s="16" t="str">
        <f>IF(AG75="","",MAX($AI$2:AI74)+1)</f>
        <v/>
      </c>
      <c r="AJ75" s="16" t="str">
        <f t="shared" si="15"/>
        <v/>
      </c>
      <c r="AK75" s="16" t="str">
        <f t="shared" si="16"/>
        <v/>
      </c>
      <c r="AL75" s="16" t="str">
        <f t="shared" si="17"/>
        <v/>
      </c>
      <c r="AM75" s="16"/>
      <c r="AN75" s="16"/>
      <c r="AO75" s="16"/>
      <c r="AP75" s="16"/>
      <c r="AQ75" s="16"/>
      <c r="AR75" s="16"/>
      <c r="AS75" s="16"/>
      <c r="AT75" s="16"/>
    </row>
    <row r="76" spans="1:46" x14ac:dyDescent="0.25">
      <c r="A76" s="16"/>
      <c r="B76" s="16"/>
      <c r="C76" s="165"/>
      <c r="D76" s="165"/>
      <c r="E76" s="165"/>
      <c r="F76" s="165"/>
      <c r="G76" s="164"/>
      <c r="H76" s="164"/>
      <c r="I76" s="164"/>
      <c r="J76" s="164"/>
      <c r="AA76" s="16"/>
      <c r="AB76" s="16"/>
      <c r="AC76" s="162" t="str" cm="1">
        <f t="array" ref="AC76">IF(ISNUMBER(SEARCH("Anodo", Auxiliar2!AA76)), "", IFERROR(VALUE(RIGHT(AA76,LEN(AA76)-MIN(FIND({0;1;2;3;4;5;6;7;8;9},AA76&amp;"0123456789"))+1)),""))</f>
        <v/>
      </c>
      <c r="AD76" s="16" t="str">
        <f t="shared" si="14"/>
        <v/>
      </c>
      <c r="AE76" s="16" t="e">
        <f t="shared" si="10"/>
        <v>#VALUE!</v>
      </c>
      <c r="AF76" s="16">
        <f t="shared" si="11"/>
        <v>0</v>
      </c>
      <c r="AG76" s="16" t="str">
        <f t="shared" si="12"/>
        <v/>
      </c>
      <c r="AH76" s="16" t="str">
        <f t="shared" si="13"/>
        <v/>
      </c>
      <c r="AI76" s="16" t="str">
        <f>IF(AG76="","",MAX($AI$2:AI75)+1)</f>
        <v/>
      </c>
      <c r="AJ76" s="16" t="str">
        <f t="shared" si="15"/>
        <v/>
      </c>
      <c r="AK76" s="16" t="str">
        <f t="shared" si="16"/>
        <v/>
      </c>
      <c r="AL76" s="16" t="str">
        <f t="shared" si="17"/>
        <v/>
      </c>
      <c r="AM76" s="16"/>
      <c r="AN76" s="16"/>
      <c r="AO76" s="16"/>
      <c r="AP76" s="16"/>
      <c r="AQ76" s="16"/>
      <c r="AR76" s="16"/>
      <c r="AS76" s="16"/>
      <c r="AT76" s="16"/>
    </row>
    <row r="77" spans="1:46" x14ac:dyDescent="0.25">
      <c r="A77" s="16"/>
      <c r="B77" s="16"/>
      <c r="C77" s="165"/>
      <c r="D77" s="165"/>
      <c r="E77" s="165"/>
      <c r="F77" s="165"/>
      <c r="G77" s="164"/>
      <c r="H77" s="164"/>
      <c r="I77" s="164"/>
      <c r="J77" s="164"/>
      <c r="AA77" s="16"/>
      <c r="AB77" s="16"/>
      <c r="AC77" s="162" t="str" cm="1">
        <f t="array" ref="AC77">IF(ISNUMBER(SEARCH("Anodo", Auxiliar2!AA77)), "", IFERROR(VALUE(RIGHT(AA77,LEN(AA77)-MIN(FIND({0;1;2;3;4;5;6;7;8;9},AA77&amp;"0123456789"))+1)),""))</f>
        <v/>
      </c>
      <c r="AD77" s="16" t="str">
        <f t="shared" si="14"/>
        <v/>
      </c>
      <c r="AE77" s="16" t="e">
        <f t="shared" si="10"/>
        <v>#VALUE!</v>
      </c>
      <c r="AF77" s="16">
        <f t="shared" si="11"/>
        <v>0</v>
      </c>
      <c r="AG77" s="16" t="str">
        <f t="shared" si="12"/>
        <v/>
      </c>
      <c r="AH77" s="16" t="str">
        <f t="shared" si="13"/>
        <v/>
      </c>
      <c r="AI77" s="16" t="str">
        <f>IF(AG77="","",MAX($AI$2:AI76)+1)</f>
        <v/>
      </c>
      <c r="AJ77" s="16" t="str">
        <f t="shared" si="15"/>
        <v/>
      </c>
      <c r="AK77" s="16" t="str">
        <f t="shared" si="16"/>
        <v/>
      </c>
      <c r="AL77" s="16" t="str">
        <f t="shared" si="17"/>
        <v/>
      </c>
      <c r="AM77" s="16"/>
      <c r="AN77" s="16"/>
      <c r="AO77" s="16"/>
      <c r="AP77" s="16"/>
      <c r="AQ77" s="16"/>
      <c r="AR77" s="16"/>
      <c r="AS77" s="16"/>
      <c r="AT77" s="16"/>
    </row>
    <row r="78" spans="1:46" x14ac:dyDescent="0.25">
      <c r="A78" s="16"/>
      <c r="B78" s="16"/>
      <c r="C78" s="165"/>
      <c r="D78" s="165"/>
      <c r="E78" s="165"/>
      <c r="F78" s="165"/>
      <c r="G78" s="164"/>
      <c r="H78" s="164"/>
      <c r="I78" s="164"/>
      <c r="J78" s="164"/>
      <c r="AA78" s="16"/>
      <c r="AB78" s="16"/>
      <c r="AC78" s="162" t="str" cm="1">
        <f t="array" ref="AC78">IF(ISNUMBER(SEARCH("Anodo", Auxiliar2!AA78)), "", IFERROR(VALUE(RIGHT(AA78,LEN(AA78)-MIN(FIND({0;1;2;3;4;5;6;7;8;9},AA78&amp;"0123456789"))+1)),""))</f>
        <v/>
      </c>
      <c r="AD78" s="16" t="str">
        <f t="shared" si="14"/>
        <v/>
      </c>
      <c r="AE78" s="16" t="e">
        <f t="shared" si="10"/>
        <v>#VALUE!</v>
      </c>
      <c r="AF78" s="16">
        <f t="shared" si="11"/>
        <v>0</v>
      </c>
      <c r="AG78" s="16" t="str">
        <f t="shared" si="12"/>
        <v/>
      </c>
      <c r="AH78" s="16" t="str">
        <f t="shared" si="13"/>
        <v/>
      </c>
      <c r="AI78" s="16" t="str">
        <f>IF(AG78="","",MAX($AI$2:AI77)+1)</f>
        <v/>
      </c>
      <c r="AJ78" s="16" t="str">
        <f t="shared" si="15"/>
        <v/>
      </c>
      <c r="AK78" s="16" t="str">
        <f t="shared" si="16"/>
        <v/>
      </c>
      <c r="AL78" s="16" t="str">
        <f t="shared" si="17"/>
        <v/>
      </c>
      <c r="AM78" s="16"/>
      <c r="AN78" s="16"/>
      <c r="AO78" s="16"/>
      <c r="AP78" s="16"/>
      <c r="AQ78" s="16"/>
      <c r="AR78" s="16"/>
      <c r="AS78" s="16"/>
      <c r="AT78" s="16"/>
    </row>
    <row r="79" spans="1:46" x14ac:dyDescent="0.25">
      <c r="A79" s="16"/>
      <c r="B79" s="16"/>
      <c r="C79" s="165"/>
      <c r="D79" s="165"/>
      <c r="E79" s="165"/>
      <c r="F79" s="165"/>
      <c r="G79" s="164"/>
      <c r="H79" s="164"/>
      <c r="I79" s="164"/>
      <c r="J79" s="164"/>
    </row>
    <row r="80" spans="1:46" x14ac:dyDescent="0.25">
      <c r="A80" s="16"/>
      <c r="B80" s="16"/>
      <c r="C80" s="165"/>
      <c r="D80" s="165"/>
      <c r="E80" s="165"/>
      <c r="F80" s="165"/>
      <c r="G80" s="164"/>
      <c r="H80" s="164"/>
      <c r="I80" s="164"/>
      <c r="J80" s="164"/>
    </row>
    <row r="81" spans="1:10" x14ac:dyDescent="0.25">
      <c r="A81" s="16"/>
      <c r="B81" s="16"/>
      <c r="C81" s="165"/>
      <c r="D81" s="165"/>
      <c r="E81" s="165"/>
      <c r="F81" s="165"/>
      <c r="G81" s="164"/>
      <c r="H81" s="164"/>
      <c r="I81" s="164"/>
      <c r="J81" s="164"/>
    </row>
    <row r="82" spans="1:10" x14ac:dyDescent="0.25">
      <c r="A82" s="16"/>
      <c r="B82" s="16"/>
      <c r="C82" s="165"/>
      <c r="D82" s="165"/>
      <c r="E82" s="165"/>
      <c r="F82" s="165"/>
      <c r="G82" s="164"/>
      <c r="H82" s="164"/>
      <c r="I82" s="164"/>
      <c r="J82" s="164"/>
    </row>
    <row r="83" spans="1:10" x14ac:dyDescent="0.25">
      <c r="A83" s="16"/>
      <c r="B83" s="16"/>
      <c r="C83" s="165"/>
      <c r="D83" s="165"/>
      <c r="E83" s="165"/>
      <c r="F83" s="165"/>
      <c r="G83" s="164"/>
      <c r="H83" s="164"/>
      <c r="I83" s="164"/>
      <c r="J83" s="164"/>
    </row>
    <row r="84" spans="1:10" x14ac:dyDescent="0.25">
      <c r="A84" s="16"/>
      <c r="B84" s="16"/>
      <c r="C84" s="165"/>
      <c r="D84" s="165"/>
      <c r="E84" s="165"/>
      <c r="F84" s="165"/>
      <c r="G84" s="164"/>
      <c r="H84" s="164"/>
      <c r="I84" s="164"/>
      <c r="J84" s="164"/>
    </row>
    <row r="85" spans="1:10" x14ac:dyDescent="0.25">
      <c r="A85" s="16"/>
      <c r="B85" s="16"/>
      <c r="C85" s="165"/>
      <c r="D85" s="165"/>
      <c r="E85" s="165"/>
      <c r="F85" s="165"/>
      <c r="G85" s="164"/>
      <c r="H85" s="164"/>
      <c r="I85" s="164"/>
      <c r="J85" s="164"/>
    </row>
    <row r="86" spans="1:10" x14ac:dyDescent="0.25">
      <c r="A86" s="16"/>
      <c r="B86" s="16"/>
      <c r="C86" s="165"/>
      <c r="D86" s="165"/>
      <c r="E86" s="165"/>
      <c r="F86" s="165"/>
      <c r="G86" s="164"/>
      <c r="H86" s="164"/>
      <c r="I86" s="164"/>
      <c r="J86" s="164"/>
    </row>
    <row r="87" spans="1:10" x14ac:dyDescent="0.25">
      <c r="A87" s="16"/>
      <c r="B87" s="16"/>
      <c r="C87" s="165"/>
      <c r="D87" s="165"/>
      <c r="E87" s="165"/>
      <c r="F87" s="165"/>
      <c r="G87" s="164"/>
      <c r="H87" s="164"/>
      <c r="I87" s="164"/>
      <c r="J87" s="164"/>
    </row>
    <row r="88" spans="1:10" x14ac:dyDescent="0.25">
      <c r="A88" s="16"/>
      <c r="B88" s="16"/>
      <c r="C88" s="165"/>
      <c r="D88" s="165"/>
      <c r="E88" s="165"/>
      <c r="F88" s="165"/>
      <c r="G88" s="164"/>
      <c r="H88" s="164"/>
      <c r="I88" s="164"/>
      <c r="J88" s="164"/>
    </row>
    <row r="89" spans="1:10" x14ac:dyDescent="0.25">
      <c r="A89" s="16"/>
      <c r="B89" s="16"/>
      <c r="C89" s="165"/>
      <c r="D89" s="165"/>
      <c r="E89" s="165"/>
      <c r="F89" s="165"/>
      <c r="G89" s="164"/>
      <c r="H89" s="164"/>
      <c r="I89" s="164"/>
      <c r="J89" s="164"/>
    </row>
    <row r="90" spans="1:10" x14ac:dyDescent="0.25">
      <c r="A90" s="16"/>
      <c r="B90" s="16"/>
      <c r="C90" s="165"/>
      <c r="D90" s="165"/>
      <c r="E90" s="165"/>
      <c r="F90" s="165"/>
      <c r="G90" s="164"/>
      <c r="H90" s="164"/>
      <c r="I90" s="164"/>
      <c r="J90" s="164"/>
    </row>
    <row r="91" spans="1:10" x14ac:dyDescent="0.25">
      <c r="A91" s="16"/>
      <c r="B91" s="16"/>
      <c r="C91" s="165"/>
      <c r="D91" s="165"/>
      <c r="E91" s="165"/>
      <c r="F91" s="165"/>
      <c r="G91" s="164"/>
      <c r="H91" s="164"/>
      <c r="I91" s="164"/>
      <c r="J91" s="164"/>
    </row>
    <row r="92" spans="1:10" x14ac:dyDescent="0.25">
      <c r="A92" s="16"/>
      <c r="B92" s="16"/>
      <c r="C92" s="165"/>
      <c r="D92" s="165"/>
      <c r="E92" s="165"/>
      <c r="F92" s="165"/>
      <c r="G92" s="164"/>
      <c r="H92" s="164"/>
      <c r="I92" s="164"/>
      <c r="J92" s="164"/>
    </row>
    <row r="93" spans="1:10" x14ac:dyDescent="0.25">
      <c r="A93" s="16"/>
      <c r="B93" s="16"/>
      <c r="C93" s="165"/>
      <c r="D93" s="165"/>
      <c r="E93" s="165"/>
      <c r="F93" s="165"/>
      <c r="G93" s="164"/>
      <c r="H93" s="164"/>
      <c r="I93" s="164"/>
      <c r="J93" s="164"/>
    </row>
    <row r="94" spans="1:10" x14ac:dyDescent="0.25">
      <c r="A94" s="16"/>
      <c r="B94" s="16"/>
      <c r="C94" s="165"/>
      <c r="D94" s="165"/>
      <c r="E94" s="165"/>
      <c r="F94" s="165"/>
      <c r="G94" s="164"/>
      <c r="H94" s="164"/>
      <c r="I94" s="164"/>
      <c r="J94" s="164"/>
    </row>
    <row r="95" spans="1:10" x14ac:dyDescent="0.25">
      <c r="A95" s="16"/>
      <c r="B95" s="16"/>
      <c r="C95" s="165"/>
      <c r="D95" s="165"/>
      <c r="E95" s="165"/>
      <c r="F95" s="165"/>
      <c r="G95" s="164"/>
      <c r="H95" s="164"/>
      <c r="I95" s="164"/>
      <c r="J95" s="164"/>
    </row>
    <row r="96" spans="1:10" x14ac:dyDescent="0.25">
      <c r="A96" s="16"/>
      <c r="B96" s="16"/>
      <c r="C96" s="165"/>
      <c r="D96" s="165"/>
      <c r="E96" s="165"/>
      <c r="F96" s="165"/>
      <c r="G96" s="164"/>
      <c r="H96" s="164"/>
      <c r="I96" s="164"/>
      <c r="J96" s="164"/>
    </row>
    <row r="97" spans="1:10" x14ac:dyDescent="0.25">
      <c r="A97" s="16"/>
      <c r="B97" s="16"/>
      <c r="C97" s="165"/>
      <c r="D97" s="165"/>
      <c r="E97" s="165"/>
      <c r="F97" s="165"/>
      <c r="G97" s="164"/>
      <c r="H97" s="164"/>
      <c r="I97" s="164"/>
      <c r="J97" s="164"/>
    </row>
    <row r="98" spans="1:10" x14ac:dyDescent="0.25">
      <c r="A98" s="16"/>
      <c r="B98" s="16"/>
      <c r="C98" s="165"/>
      <c r="D98" s="165"/>
      <c r="E98" s="165"/>
      <c r="F98" s="165"/>
      <c r="G98" s="164"/>
      <c r="H98" s="164"/>
      <c r="I98" s="164"/>
      <c r="J98" s="164"/>
    </row>
    <row r="99" spans="1:10" x14ac:dyDescent="0.25">
      <c r="A99" s="16"/>
      <c r="B99" s="16"/>
      <c r="C99" s="165"/>
      <c r="D99" s="165"/>
      <c r="E99" s="165"/>
      <c r="F99" s="165"/>
      <c r="G99" s="164"/>
      <c r="H99" s="164"/>
      <c r="I99" s="164"/>
      <c r="J99" s="164"/>
    </row>
    <row r="100" spans="1:10" x14ac:dyDescent="0.25">
      <c r="A100" s="16"/>
      <c r="B100" s="16"/>
      <c r="C100" s="165"/>
      <c r="D100" s="165"/>
      <c r="E100" s="165"/>
      <c r="F100" s="165"/>
      <c r="G100" s="164"/>
      <c r="H100" s="164"/>
      <c r="I100" s="164"/>
      <c r="J100" s="164"/>
    </row>
    <row r="101" spans="1:10" x14ac:dyDescent="0.25">
      <c r="A101" s="16"/>
      <c r="B101" s="16"/>
      <c r="C101" s="165"/>
      <c r="D101" s="165"/>
      <c r="E101" s="165"/>
      <c r="F101" s="165"/>
      <c r="G101" s="164"/>
      <c r="H101" s="164"/>
      <c r="I101" s="164"/>
      <c r="J101" s="164"/>
    </row>
    <row r="102" spans="1:10" x14ac:dyDescent="0.25">
      <c r="A102" s="16"/>
      <c r="B102" s="16"/>
      <c r="C102" s="165"/>
      <c r="D102" s="165"/>
      <c r="E102" s="165"/>
      <c r="F102" s="165"/>
      <c r="G102" s="164"/>
      <c r="H102" s="164"/>
      <c r="I102" s="164"/>
      <c r="J102" s="164"/>
    </row>
    <row r="103" spans="1:10" x14ac:dyDescent="0.25">
      <c r="A103" s="16"/>
      <c r="B103" s="16"/>
      <c r="C103" s="165"/>
      <c r="D103" s="165"/>
      <c r="E103" s="165"/>
      <c r="F103" s="165"/>
      <c r="G103" s="164"/>
      <c r="H103" s="164"/>
      <c r="I103" s="164"/>
      <c r="J103" s="164"/>
    </row>
    <row r="104" spans="1:10" x14ac:dyDescent="0.25">
      <c r="A104" s="16"/>
      <c r="B104" s="16"/>
      <c r="C104" s="165"/>
      <c r="D104" s="165"/>
      <c r="E104" s="165"/>
      <c r="F104" s="165"/>
      <c r="G104" s="164"/>
      <c r="H104" s="164"/>
      <c r="I104" s="164"/>
      <c r="J104" s="164"/>
    </row>
    <row r="105" spans="1:10" x14ac:dyDescent="0.25">
      <c r="A105" s="16"/>
      <c r="B105" s="16"/>
      <c r="C105" s="165"/>
      <c r="D105" s="165"/>
      <c r="E105" s="165"/>
      <c r="F105" s="165"/>
      <c r="G105" s="164"/>
      <c r="H105" s="164"/>
      <c r="I105" s="164"/>
      <c r="J105" s="164"/>
    </row>
    <row r="106" spans="1:10" x14ac:dyDescent="0.25">
      <c r="A106" s="16"/>
      <c r="B106" s="16"/>
      <c r="C106" s="165"/>
      <c r="D106" s="165"/>
      <c r="E106" s="165"/>
      <c r="F106" s="165"/>
      <c r="G106" s="164"/>
      <c r="H106" s="164"/>
      <c r="I106" s="164"/>
      <c r="J106" s="164"/>
    </row>
    <row r="107" spans="1:10" x14ac:dyDescent="0.25">
      <c r="A107" s="16"/>
      <c r="B107" s="16"/>
      <c r="C107" s="165"/>
      <c r="D107" s="165"/>
      <c r="E107" s="165"/>
      <c r="F107" s="165"/>
      <c r="G107" s="164"/>
      <c r="H107" s="164"/>
      <c r="I107" s="164"/>
      <c r="J107" s="164"/>
    </row>
    <row r="108" spans="1:10" x14ac:dyDescent="0.25">
      <c r="A108" s="16"/>
      <c r="B108" s="16"/>
      <c r="C108" s="165"/>
      <c r="D108" s="165"/>
      <c r="E108" s="165"/>
      <c r="F108" s="165"/>
      <c r="G108" s="164"/>
      <c r="H108" s="164"/>
      <c r="I108" s="164"/>
      <c r="J108" s="164"/>
    </row>
    <row r="109" spans="1:10" x14ac:dyDescent="0.25">
      <c r="A109" s="16"/>
      <c r="B109" s="16"/>
      <c r="C109" s="165"/>
      <c r="D109" s="165"/>
      <c r="E109" s="165"/>
      <c r="F109" s="165"/>
      <c r="G109" s="164"/>
      <c r="H109" s="164"/>
      <c r="I109" s="164"/>
      <c r="J109" s="164"/>
    </row>
    <row r="110" spans="1:10" x14ac:dyDescent="0.25">
      <c r="A110" s="16"/>
      <c r="B110" s="16"/>
      <c r="C110" s="165"/>
      <c r="D110" s="165"/>
      <c r="E110" s="165"/>
      <c r="F110" s="165"/>
      <c r="G110" s="164"/>
      <c r="H110" s="164"/>
      <c r="I110" s="164"/>
      <c r="J110" s="164"/>
    </row>
    <row r="111" spans="1:10" x14ac:dyDescent="0.25">
      <c r="A111" s="16"/>
      <c r="B111" s="16"/>
      <c r="C111" s="165"/>
      <c r="D111" s="165"/>
      <c r="E111" s="165"/>
      <c r="F111" s="165"/>
      <c r="G111" s="164"/>
      <c r="H111" s="164"/>
      <c r="I111" s="164"/>
      <c r="J111" s="164"/>
    </row>
    <row r="112" spans="1:10" x14ac:dyDescent="0.25">
      <c r="A112" s="16"/>
      <c r="B112" s="16"/>
      <c r="C112" s="165"/>
      <c r="D112" s="165"/>
      <c r="E112" s="165"/>
      <c r="F112" s="165"/>
      <c r="G112" s="164"/>
      <c r="H112" s="164"/>
      <c r="I112" s="164"/>
      <c r="J112" s="164"/>
    </row>
    <row r="113" spans="1:10" x14ac:dyDescent="0.25">
      <c r="A113" s="16"/>
      <c r="B113" s="16"/>
      <c r="C113" s="165"/>
      <c r="D113" s="165"/>
      <c r="E113" s="165"/>
      <c r="F113" s="165"/>
      <c r="G113" s="164"/>
      <c r="H113" s="164"/>
      <c r="I113" s="164"/>
      <c r="J113" s="164"/>
    </row>
    <row r="114" spans="1:10" x14ac:dyDescent="0.25">
      <c r="A114" s="16"/>
      <c r="B114" s="16"/>
      <c r="C114" s="165"/>
      <c r="D114" s="165"/>
      <c r="E114" s="165"/>
      <c r="F114" s="165"/>
      <c r="G114" s="164"/>
      <c r="H114" s="164"/>
      <c r="I114" s="164"/>
      <c r="J114" s="164"/>
    </row>
    <row r="115" spans="1:10" x14ac:dyDescent="0.25">
      <c r="A115" s="16"/>
      <c r="B115" s="16"/>
      <c r="C115" s="165"/>
      <c r="D115" s="165"/>
      <c r="E115" s="165"/>
      <c r="F115" s="165"/>
      <c r="G115" s="164"/>
      <c r="H115" s="164"/>
      <c r="I115" s="164"/>
      <c r="J115" s="164"/>
    </row>
    <row r="116" spans="1:10" x14ac:dyDescent="0.25">
      <c r="A116" s="16"/>
      <c r="B116" s="16"/>
      <c r="C116" s="165"/>
      <c r="D116" s="165"/>
      <c r="E116" s="165"/>
      <c r="F116" s="165"/>
      <c r="G116" s="164"/>
      <c r="H116" s="164"/>
      <c r="I116" s="164"/>
      <c r="J116" s="164"/>
    </row>
    <row r="117" spans="1:10" x14ac:dyDescent="0.25">
      <c r="A117" s="16"/>
      <c r="B117" s="16"/>
      <c r="C117" s="165"/>
      <c r="D117" s="165"/>
      <c r="E117" s="165"/>
      <c r="F117" s="165"/>
      <c r="G117" s="164"/>
      <c r="H117" s="164"/>
      <c r="I117" s="164"/>
      <c r="J117" s="164"/>
    </row>
    <row r="118" spans="1:10" x14ac:dyDescent="0.25">
      <c r="A118" s="16"/>
      <c r="B118" s="16"/>
      <c r="C118" s="165"/>
      <c r="D118" s="165"/>
      <c r="E118" s="165"/>
      <c r="F118" s="165"/>
      <c r="G118" s="164"/>
      <c r="H118" s="164"/>
      <c r="I118" s="164"/>
      <c r="J118" s="164"/>
    </row>
    <row r="119" spans="1:10" x14ac:dyDescent="0.25">
      <c r="A119" s="16"/>
      <c r="B119" s="16"/>
      <c r="C119" s="165"/>
      <c r="D119" s="165"/>
      <c r="E119" s="165"/>
      <c r="F119" s="165"/>
      <c r="G119" s="164"/>
      <c r="H119" s="164"/>
      <c r="I119" s="164"/>
      <c r="J119" s="164"/>
    </row>
    <row r="120" spans="1:10" x14ac:dyDescent="0.25">
      <c r="A120" s="16"/>
      <c r="B120" s="16"/>
      <c r="C120" s="165"/>
      <c r="D120" s="165"/>
      <c r="E120" s="165"/>
      <c r="F120" s="165"/>
      <c r="G120" s="164"/>
      <c r="H120" s="164"/>
      <c r="I120" s="164"/>
      <c r="J120" s="164"/>
    </row>
    <row r="121" spans="1:10" x14ac:dyDescent="0.25">
      <c r="A121" s="16"/>
      <c r="B121" s="16"/>
      <c r="C121" s="165"/>
      <c r="D121" s="165"/>
      <c r="E121" s="165"/>
      <c r="F121" s="165"/>
      <c r="G121" s="164"/>
      <c r="H121" s="164"/>
      <c r="I121" s="164"/>
      <c r="J121" s="164"/>
    </row>
    <row r="122" spans="1:10" x14ac:dyDescent="0.25">
      <c r="A122" s="16"/>
      <c r="B122" s="16"/>
      <c r="C122" s="165"/>
      <c r="D122" s="165"/>
      <c r="E122" s="165"/>
      <c r="F122" s="165"/>
      <c r="G122" s="164"/>
      <c r="H122" s="164"/>
      <c r="I122" s="164"/>
      <c r="J122" s="164"/>
    </row>
    <row r="123" spans="1:10" x14ac:dyDescent="0.25">
      <c r="A123" s="16"/>
      <c r="B123" s="16"/>
      <c r="C123" s="165"/>
      <c r="D123" s="165"/>
      <c r="E123" s="165"/>
      <c r="F123" s="165"/>
      <c r="G123" s="164"/>
      <c r="H123" s="164"/>
      <c r="I123" s="164"/>
      <c r="J123" s="164"/>
    </row>
    <row r="124" spans="1:10" x14ac:dyDescent="0.25">
      <c r="A124" s="16"/>
      <c r="B124" s="16"/>
      <c r="C124" s="165"/>
      <c r="D124" s="165"/>
      <c r="E124" s="165"/>
      <c r="F124" s="165"/>
      <c r="G124" s="164"/>
      <c r="H124" s="164"/>
      <c r="I124" s="164"/>
      <c r="J124" s="164"/>
    </row>
    <row r="125" spans="1:10" x14ac:dyDescent="0.25">
      <c r="A125" s="16"/>
      <c r="B125" s="16"/>
      <c r="C125" s="165"/>
      <c r="D125" s="165"/>
      <c r="E125" s="165"/>
      <c r="F125" s="165"/>
      <c r="G125" s="164"/>
      <c r="H125" s="164"/>
      <c r="I125" s="164"/>
      <c r="J125" s="164"/>
    </row>
    <row r="126" spans="1:10" x14ac:dyDescent="0.25">
      <c r="A126" s="16"/>
      <c r="B126" s="16"/>
      <c r="C126" s="165"/>
      <c r="D126" s="165"/>
      <c r="E126" s="165"/>
      <c r="F126" s="165"/>
      <c r="G126" s="164"/>
      <c r="H126" s="164"/>
      <c r="I126" s="164"/>
      <c r="J126" s="164"/>
    </row>
    <row r="127" spans="1:10" x14ac:dyDescent="0.25">
      <c r="A127" s="16"/>
      <c r="B127" s="16"/>
      <c r="C127" s="165"/>
      <c r="D127" s="165"/>
      <c r="E127" s="165"/>
      <c r="F127" s="165"/>
      <c r="G127" s="164"/>
      <c r="H127" s="164"/>
      <c r="I127" s="164"/>
      <c r="J127" s="164"/>
    </row>
    <row r="128" spans="1:10" x14ac:dyDescent="0.25">
      <c r="A128" s="16"/>
      <c r="B128" s="16"/>
      <c r="C128" s="165"/>
      <c r="D128" s="165"/>
      <c r="E128" s="165"/>
      <c r="F128" s="165"/>
      <c r="G128" s="164"/>
      <c r="H128" s="164"/>
      <c r="I128" s="164"/>
      <c r="J128" s="164"/>
    </row>
    <row r="129" spans="1:10" x14ac:dyDescent="0.25">
      <c r="A129" s="16"/>
      <c r="B129" s="16"/>
      <c r="C129" s="165"/>
      <c r="D129" s="165"/>
      <c r="E129" s="165"/>
      <c r="F129" s="165"/>
      <c r="G129" s="164"/>
      <c r="H129" s="164"/>
      <c r="I129" s="164"/>
      <c r="J129" s="164"/>
    </row>
    <row r="130" spans="1:10" x14ac:dyDescent="0.25">
      <c r="A130" s="16"/>
      <c r="B130" s="16"/>
      <c r="C130" s="165"/>
      <c r="D130" s="165"/>
      <c r="E130" s="165"/>
      <c r="F130" s="165"/>
      <c r="G130" s="164"/>
      <c r="H130" s="164"/>
      <c r="I130" s="164"/>
      <c r="J130" s="164"/>
    </row>
    <row r="131" spans="1:10" x14ac:dyDescent="0.25">
      <c r="A131" s="16"/>
      <c r="B131" s="16"/>
      <c r="C131" s="165"/>
      <c r="D131" s="165"/>
      <c r="E131" s="165"/>
      <c r="F131" s="165"/>
      <c r="G131" s="164"/>
      <c r="H131" s="164"/>
      <c r="I131" s="164"/>
      <c r="J131" s="164"/>
    </row>
    <row r="132" spans="1:10" x14ac:dyDescent="0.25">
      <c r="A132" s="16"/>
      <c r="B132" s="16"/>
      <c r="C132" s="165"/>
      <c r="D132" s="165"/>
      <c r="E132" s="165"/>
      <c r="F132" s="165"/>
      <c r="G132" s="164"/>
      <c r="H132" s="164"/>
      <c r="I132" s="164"/>
      <c r="J132" s="164"/>
    </row>
    <row r="133" spans="1:10" x14ac:dyDescent="0.25">
      <c r="A133" s="16"/>
      <c r="B133" s="16"/>
      <c r="C133" s="165"/>
      <c r="D133" s="165"/>
      <c r="E133" s="165"/>
      <c r="F133" s="165"/>
      <c r="G133" s="164"/>
      <c r="H133" s="164"/>
      <c r="I133" s="164"/>
      <c r="J133" s="164"/>
    </row>
    <row r="134" spans="1:10" x14ac:dyDescent="0.25">
      <c r="A134" s="16"/>
      <c r="B134" s="16"/>
      <c r="C134" s="165"/>
      <c r="D134" s="165"/>
      <c r="E134" s="165"/>
      <c r="F134" s="165"/>
      <c r="G134" s="164"/>
      <c r="H134" s="164"/>
      <c r="I134" s="164"/>
      <c r="J134" s="164"/>
    </row>
    <row r="135" spans="1:10" x14ac:dyDescent="0.25">
      <c r="A135" s="16"/>
      <c r="B135" s="16"/>
      <c r="C135" s="165"/>
      <c r="D135" s="165"/>
      <c r="E135" s="165"/>
      <c r="F135" s="165"/>
      <c r="G135" s="164"/>
      <c r="H135" s="164"/>
      <c r="I135" s="164"/>
      <c r="J135" s="164"/>
    </row>
    <row r="136" spans="1:10" x14ac:dyDescent="0.25">
      <c r="A136" s="16"/>
      <c r="B136" s="16"/>
      <c r="C136" s="165"/>
      <c r="D136" s="165"/>
      <c r="E136" s="165"/>
      <c r="F136" s="165"/>
      <c r="G136" s="164"/>
      <c r="H136" s="164"/>
      <c r="I136" s="164"/>
      <c r="J136" s="164"/>
    </row>
    <row r="137" spans="1:10" x14ac:dyDescent="0.25">
      <c r="A137" s="16"/>
      <c r="B137" s="16"/>
      <c r="C137" s="165"/>
      <c r="D137" s="165"/>
      <c r="E137" s="165"/>
      <c r="F137" s="165"/>
      <c r="G137" s="164"/>
      <c r="H137" s="164"/>
      <c r="I137" s="164"/>
      <c r="J137" s="164"/>
    </row>
    <row r="138" spans="1:10" x14ac:dyDescent="0.25">
      <c r="A138" s="16"/>
      <c r="B138" s="16"/>
      <c r="C138" s="165"/>
      <c r="D138" s="165"/>
      <c r="E138" s="165"/>
      <c r="F138" s="165"/>
      <c r="G138" s="164"/>
      <c r="H138" s="164"/>
      <c r="I138" s="164"/>
      <c r="J138" s="164"/>
    </row>
    <row r="139" spans="1:10" x14ac:dyDescent="0.25">
      <c r="A139" s="16"/>
      <c r="B139" s="16"/>
      <c r="C139" s="165"/>
      <c r="D139" s="165"/>
      <c r="E139" s="165"/>
      <c r="F139" s="165"/>
      <c r="G139" s="164"/>
      <c r="H139" s="164"/>
      <c r="I139" s="164"/>
      <c r="J139" s="164"/>
    </row>
    <row r="140" spans="1:10" x14ac:dyDescent="0.25">
      <c r="A140" s="16"/>
      <c r="B140" s="16"/>
      <c r="C140" s="165"/>
      <c r="D140" s="165"/>
      <c r="E140" s="165"/>
      <c r="F140" s="165"/>
      <c r="G140" s="164"/>
      <c r="H140" s="164"/>
      <c r="I140" s="164"/>
      <c r="J140" s="164"/>
    </row>
    <row r="141" spans="1:10" x14ac:dyDescent="0.25">
      <c r="A141" s="16"/>
      <c r="B141" s="16"/>
      <c r="C141" s="165"/>
      <c r="D141" s="165"/>
      <c r="E141" s="165"/>
      <c r="F141" s="165"/>
      <c r="G141" s="164"/>
      <c r="H141" s="164"/>
      <c r="I141" s="164"/>
      <c r="J141" s="164"/>
    </row>
    <row r="142" spans="1:10" x14ac:dyDescent="0.25">
      <c r="A142" s="16"/>
      <c r="B142" s="16"/>
      <c r="C142" s="165"/>
      <c r="D142" s="165"/>
      <c r="E142" s="165"/>
      <c r="F142" s="165"/>
      <c r="G142" s="164"/>
      <c r="H142" s="164"/>
      <c r="I142" s="164"/>
      <c r="J142" s="164"/>
    </row>
    <row r="143" spans="1:10" x14ac:dyDescent="0.25">
      <c r="A143" s="16"/>
      <c r="B143" s="16"/>
      <c r="C143" s="165"/>
      <c r="D143" s="165"/>
      <c r="E143" s="165"/>
      <c r="F143" s="165"/>
      <c r="G143" s="164"/>
      <c r="H143" s="164"/>
      <c r="I143" s="164"/>
      <c r="J143" s="164"/>
    </row>
    <row r="144" spans="1:10" x14ac:dyDescent="0.25">
      <c r="A144" s="16"/>
      <c r="B144" s="16"/>
      <c r="C144" s="165"/>
      <c r="D144" s="165"/>
      <c r="E144" s="165"/>
      <c r="F144" s="165"/>
      <c r="G144" s="164"/>
      <c r="H144" s="164"/>
      <c r="I144" s="164"/>
      <c r="J144" s="164"/>
    </row>
    <row r="145" spans="1:10" x14ac:dyDescent="0.25">
      <c r="A145" s="16"/>
      <c r="B145" s="16"/>
      <c r="C145" s="165"/>
      <c r="D145" s="165"/>
      <c r="E145" s="165"/>
      <c r="F145" s="165"/>
      <c r="G145" s="164"/>
      <c r="H145" s="164"/>
      <c r="I145" s="164"/>
      <c r="J145" s="164"/>
    </row>
    <row r="146" spans="1:10" x14ac:dyDescent="0.25">
      <c r="A146" s="16"/>
      <c r="B146" s="16"/>
      <c r="C146" s="165"/>
      <c r="D146" s="165"/>
      <c r="E146" s="165"/>
      <c r="F146" s="165"/>
      <c r="G146" s="164"/>
      <c r="H146" s="164"/>
      <c r="I146" s="164"/>
      <c r="J146" s="164"/>
    </row>
    <row r="147" spans="1:10" x14ac:dyDescent="0.25">
      <c r="A147" s="16"/>
      <c r="B147" s="16"/>
      <c r="C147" s="165"/>
      <c r="D147" s="165"/>
      <c r="E147" s="165"/>
      <c r="F147" s="165"/>
      <c r="G147" s="164"/>
      <c r="H147" s="164"/>
      <c r="I147" s="164"/>
      <c r="J147" s="164"/>
    </row>
    <row r="148" spans="1:10" x14ac:dyDescent="0.25">
      <c r="A148" s="16"/>
      <c r="B148" s="16"/>
      <c r="C148" s="165"/>
      <c r="D148" s="165"/>
      <c r="E148" s="165"/>
      <c r="F148" s="165"/>
      <c r="G148" s="164"/>
      <c r="H148" s="164"/>
      <c r="I148" s="164"/>
      <c r="J148" s="164"/>
    </row>
    <row r="149" spans="1:10" x14ac:dyDescent="0.25">
      <c r="A149" s="16"/>
      <c r="B149" s="16"/>
      <c r="C149" s="165"/>
      <c r="D149" s="165"/>
      <c r="E149" s="165"/>
      <c r="F149" s="165"/>
      <c r="G149" s="164"/>
      <c r="H149" s="164"/>
      <c r="I149" s="164"/>
      <c r="J149" s="164"/>
    </row>
    <row r="150" spans="1:10" x14ac:dyDescent="0.25">
      <c r="A150" s="16"/>
      <c r="B150" s="16"/>
      <c r="C150" s="165"/>
      <c r="D150" s="165"/>
      <c r="E150" s="165"/>
      <c r="F150" s="165"/>
      <c r="G150" s="164"/>
      <c r="H150" s="164"/>
      <c r="I150" s="164"/>
      <c r="J150" s="164"/>
    </row>
    <row r="151" spans="1:10" x14ac:dyDescent="0.25">
      <c r="A151" s="16"/>
      <c r="B151" s="16"/>
      <c r="C151" s="165"/>
      <c r="D151" s="165"/>
      <c r="E151" s="165"/>
      <c r="F151" s="165"/>
      <c r="G151" s="164"/>
      <c r="H151" s="164"/>
      <c r="I151" s="164"/>
      <c r="J151" s="164"/>
    </row>
    <row r="152" spans="1:10" x14ac:dyDescent="0.25">
      <c r="A152" s="16"/>
      <c r="B152" s="16"/>
      <c r="C152" s="165"/>
      <c r="D152" s="165"/>
      <c r="E152" s="165"/>
      <c r="F152" s="165"/>
      <c r="G152" s="164"/>
      <c r="H152" s="164"/>
      <c r="I152" s="164"/>
      <c r="J152" s="164"/>
    </row>
    <row r="153" spans="1:10" x14ac:dyDescent="0.25">
      <c r="A153" s="16"/>
      <c r="B153" s="16"/>
      <c r="C153" s="165"/>
      <c r="D153" s="165"/>
      <c r="E153" s="165"/>
      <c r="F153" s="165"/>
      <c r="G153" s="164"/>
      <c r="H153" s="164"/>
      <c r="I153" s="164"/>
      <c r="J153" s="164"/>
    </row>
    <row r="154" spans="1:10" x14ac:dyDescent="0.25">
      <c r="A154" s="16"/>
      <c r="B154" s="16"/>
      <c r="C154" s="165"/>
      <c r="D154" s="165"/>
      <c r="E154" s="165"/>
      <c r="F154" s="165"/>
      <c r="G154" s="164"/>
      <c r="H154" s="164"/>
      <c r="I154" s="164"/>
      <c r="J154" s="164"/>
    </row>
    <row r="155" spans="1:10" x14ac:dyDescent="0.25">
      <c r="A155" s="16"/>
      <c r="B155" s="16"/>
      <c r="C155" s="165"/>
      <c r="D155" s="165"/>
      <c r="E155" s="165"/>
      <c r="F155" s="165"/>
      <c r="G155" s="164"/>
      <c r="H155" s="164"/>
      <c r="I155" s="164"/>
      <c r="J155" s="164"/>
    </row>
    <row r="156" spans="1:10" x14ac:dyDescent="0.25">
      <c r="A156" s="16"/>
      <c r="B156" s="16"/>
      <c r="C156" s="165"/>
      <c r="D156" s="165"/>
      <c r="E156" s="165"/>
      <c r="F156" s="165"/>
      <c r="G156" s="164"/>
      <c r="H156" s="164"/>
      <c r="I156" s="164"/>
      <c r="J156" s="164"/>
    </row>
    <row r="157" spans="1:10" x14ac:dyDescent="0.25">
      <c r="A157" s="16"/>
      <c r="B157" s="16"/>
      <c r="C157" s="165"/>
      <c r="D157" s="165"/>
      <c r="E157" s="165"/>
      <c r="F157" s="165"/>
      <c r="G157" s="164"/>
      <c r="H157" s="164"/>
      <c r="I157" s="164"/>
      <c r="J157" s="164"/>
    </row>
    <row r="158" spans="1:10" x14ac:dyDescent="0.25">
      <c r="A158" s="16"/>
      <c r="B158" s="16"/>
      <c r="C158" s="165"/>
      <c r="D158" s="165"/>
      <c r="E158" s="165"/>
      <c r="F158" s="165"/>
      <c r="G158" s="164"/>
      <c r="H158" s="164"/>
      <c r="I158" s="164"/>
      <c r="J158" s="164"/>
    </row>
    <row r="159" spans="1:10" x14ac:dyDescent="0.25">
      <c r="A159" s="16"/>
      <c r="B159" s="16"/>
      <c r="C159" s="165"/>
      <c r="D159" s="165"/>
      <c r="E159" s="165"/>
      <c r="F159" s="165"/>
      <c r="G159" s="164"/>
      <c r="H159" s="164"/>
      <c r="I159" s="164"/>
      <c r="J159" s="164"/>
    </row>
    <row r="160" spans="1:10" x14ac:dyDescent="0.25">
      <c r="A160" s="16"/>
      <c r="B160" s="16"/>
      <c r="C160" s="165"/>
      <c r="D160" s="165"/>
      <c r="E160" s="165"/>
      <c r="F160" s="165"/>
      <c r="G160" s="164"/>
      <c r="H160" s="164"/>
      <c r="I160" s="164"/>
      <c r="J160" s="164"/>
    </row>
    <row r="161" spans="1:10" x14ac:dyDescent="0.25">
      <c r="A161" s="16"/>
      <c r="B161" s="16"/>
      <c r="C161" s="165"/>
      <c r="D161" s="165"/>
      <c r="E161" s="165"/>
      <c r="F161" s="165"/>
      <c r="G161" s="164"/>
      <c r="H161" s="164"/>
      <c r="I161" s="164"/>
      <c r="J161" s="164"/>
    </row>
    <row r="162" spans="1:10" x14ac:dyDescent="0.25">
      <c r="A162" s="16"/>
      <c r="B162" s="16"/>
      <c r="C162" s="165"/>
      <c r="D162" s="165"/>
      <c r="E162" s="165"/>
      <c r="F162" s="165"/>
      <c r="G162" s="164"/>
      <c r="H162" s="164"/>
      <c r="I162" s="164"/>
      <c r="J162" s="164"/>
    </row>
    <row r="163" spans="1:10" x14ac:dyDescent="0.25">
      <c r="A163" s="16"/>
      <c r="B163" s="16"/>
      <c r="C163" s="165"/>
      <c r="D163" s="165"/>
      <c r="E163" s="165"/>
      <c r="F163" s="165"/>
      <c r="G163" s="164"/>
      <c r="H163" s="164"/>
      <c r="I163" s="164"/>
      <c r="J163" s="164"/>
    </row>
    <row r="164" spans="1:10" x14ac:dyDescent="0.25">
      <c r="A164" s="16"/>
      <c r="B164" s="16"/>
      <c r="C164" s="165"/>
      <c r="D164" s="165"/>
      <c r="E164" s="165"/>
      <c r="F164" s="165"/>
      <c r="G164" s="164"/>
      <c r="H164" s="164"/>
      <c r="I164" s="164"/>
      <c r="J164" s="164"/>
    </row>
    <row r="165" spans="1:10" x14ac:dyDescent="0.25">
      <c r="A165" s="16"/>
      <c r="B165" s="16"/>
      <c r="C165" s="165"/>
      <c r="D165" s="165"/>
      <c r="E165" s="165"/>
      <c r="F165" s="165"/>
      <c r="G165" s="164"/>
      <c r="H165" s="164"/>
      <c r="I165" s="164"/>
      <c r="J165" s="164"/>
    </row>
    <row r="166" spans="1:10" x14ac:dyDescent="0.25">
      <c r="A166" s="16"/>
      <c r="B166" s="16"/>
      <c r="C166" s="165"/>
      <c r="D166" s="165"/>
      <c r="E166" s="165"/>
      <c r="F166" s="165"/>
      <c r="G166" s="164"/>
      <c r="H166" s="164"/>
      <c r="I166" s="164"/>
      <c r="J166" s="164"/>
    </row>
    <row r="167" spans="1:10" x14ac:dyDescent="0.25">
      <c r="A167" s="16"/>
      <c r="B167" s="16"/>
      <c r="C167" s="165"/>
      <c r="D167" s="165"/>
      <c r="E167" s="165"/>
      <c r="F167" s="165"/>
      <c r="G167" s="164"/>
      <c r="H167" s="164"/>
      <c r="I167" s="164"/>
      <c r="J167" s="164"/>
    </row>
    <row r="168" spans="1:10" x14ac:dyDescent="0.25">
      <c r="A168" s="16"/>
      <c r="B168" s="16"/>
      <c r="C168" s="165"/>
      <c r="D168" s="165"/>
      <c r="E168" s="165"/>
      <c r="F168" s="165"/>
      <c r="G168" s="164"/>
      <c r="H168" s="164"/>
      <c r="I168" s="164"/>
      <c r="J168" s="164"/>
    </row>
    <row r="169" spans="1:10" x14ac:dyDescent="0.25">
      <c r="A169" s="16"/>
      <c r="B169" s="16"/>
      <c r="C169" s="165"/>
      <c r="D169" s="165"/>
      <c r="E169" s="165"/>
      <c r="F169" s="165"/>
      <c r="G169" s="164"/>
      <c r="H169" s="164"/>
      <c r="I169" s="164"/>
      <c r="J169" s="164"/>
    </row>
    <row r="170" spans="1:10" x14ac:dyDescent="0.25">
      <c r="A170" s="16"/>
      <c r="B170" s="16"/>
      <c r="C170" s="165"/>
      <c r="D170" s="165"/>
      <c r="E170" s="165"/>
      <c r="F170" s="165"/>
      <c r="G170" s="164"/>
      <c r="H170" s="164"/>
      <c r="I170" s="164"/>
      <c r="J170" s="164"/>
    </row>
    <row r="171" spans="1:10" x14ac:dyDescent="0.25">
      <c r="A171" s="16"/>
      <c r="B171" s="16"/>
      <c r="C171" s="165"/>
      <c r="D171" s="165"/>
      <c r="E171" s="165"/>
      <c r="F171" s="165"/>
      <c r="G171" s="164"/>
      <c r="H171" s="164"/>
      <c r="I171" s="164"/>
      <c r="J171" s="164"/>
    </row>
    <row r="172" spans="1:10" x14ac:dyDescent="0.25">
      <c r="A172" s="16"/>
      <c r="B172" s="16"/>
      <c r="C172" s="165"/>
      <c r="D172" s="165"/>
      <c r="E172" s="165"/>
      <c r="F172" s="165"/>
      <c r="G172" s="164"/>
      <c r="H172" s="164"/>
      <c r="I172" s="164"/>
      <c r="J172" s="164"/>
    </row>
    <row r="173" spans="1:10" x14ac:dyDescent="0.25">
      <c r="A173" s="16"/>
      <c r="B173" s="16"/>
      <c r="C173" s="165"/>
      <c r="D173" s="165"/>
      <c r="E173" s="165"/>
      <c r="F173" s="165"/>
      <c r="G173" s="164"/>
      <c r="H173" s="164"/>
      <c r="I173" s="164"/>
      <c r="J173" s="164"/>
    </row>
    <row r="174" spans="1:10" x14ac:dyDescent="0.25">
      <c r="A174" s="16"/>
      <c r="B174" s="16"/>
      <c r="C174" s="165"/>
      <c r="D174" s="165"/>
      <c r="E174" s="165"/>
      <c r="F174" s="165"/>
      <c r="G174" s="164"/>
      <c r="H174" s="164"/>
      <c r="I174" s="164"/>
      <c r="J174" s="164"/>
    </row>
    <row r="175" spans="1:10" x14ac:dyDescent="0.25">
      <c r="A175" s="16"/>
      <c r="B175" s="16"/>
      <c r="C175" s="165"/>
      <c r="D175" s="165"/>
      <c r="E175" s="165"/>
      <c r="F175" s="165"/>
      <c r="G175" s="164"/>
      <c r="H175" s="164"/>
      <c r="I175" s="164"/>
      <c r="J175" s="164"/>
    </row>
    <row r="176" spans="1:10" x14ac:dyDescent="0.25">
      <c r="A176" s="16"/>
      <c r="B176" s="16"/>
      <c r="C176" s="165"/>
      <c r="D176" s="165"/>
      <c r="E176" s="165"/>
      <c r="F176" s="165"/>
      <c r="G176" s="164"/>
      <c r="H176" s="164"/>
      <c r="I176" s="164"/>
      <c r="J176" s="164"/>
    </row>
    <row r="177" spans="1:10" x14ac:dyDescent="0.25">
      <c r="A177" s="16"/>
      <c r="B177" s="16"/>
      <c r="C177" s="165"/>
      <c r="D177" s="165"/>
      <c r="E177" s="165"/>
      <c r="F177" s="165"/>
      <c r="G177" s="164"/>
      <c r="H177" s="164"/>
      <c r="I177" s="164"/>
      <c r="J177" s="164"/>
    </row>
    <row r="178" spans="1:10" x14ac:dyDescent="0.25">
      <c r="A178" s="16"/>
      <c r="B178" s="16"/>
      <c r="C178" s="165"/>
      <c r="D178" s="165"/>
      <c r="E178" s="165"/>
      <c r="F178" s="165"/>
      <c r="G178" s="164"/>
      <c r="H178" s="164"/>
      <c r="I178" s="164"/>
      <c r="J178" s="164"/>
    </row>
    <row r="179" spans="1:10" x14ac:dyDescent="0.25">
      <c r="A179" s="16"/>
      <c r="B179" s="16"/>
      <c r="C179" s="165"/>
      <c r="D179" s="165"/>
      <c r="E179" s="165"/>
      <c r="F179" s="165"/>
      <c r="G179" s="164"/>
      <c r="H179" s="164"/>
      <c r="I179" s="164"/>
      <c r="J179" s="164"/>
    </row>
    <row r="180" spans="1:10" x14ac:dyDescent="0.25">
      <c r="A180" s="16"/>
      <c r="B180" s="16"/>
      <c r="C180" s="165"/>
      <c r="D180" s="165"/>
      <c r="E180" s="165"/>
      <c r="F180" s="165"/>
      <c r="G180" s="164"/>
      <c r="H180" s="164"/>
      <c r="I180" s="164"/>
      <c r="J180" s="164"/>
    </row>
    <row r="181" spans="1:10" x14ac:dyDescent="0.25">
      <c r="A181" s="16"/>
      <c r="B181" s="16"/>
      <c r="C181" s="165"/>
      <c r="D181" s="165"/>
      <c r="E181" s="165"/>
      <c r="F181" s="165"/>
      <c r="G181" s="164"/>
      <c r="H181" s="164"/>
      <c r="I181" s="164"/>
      <c r="J181" s="164"/>
    </row>
    <row r="182" spans="1:10" x14ac:dyDescent="0.25">
      <c r="A182" s="16"/>
      <c r="B182" s="16"/>
      <c r="C182" s="165"/>
      <c r="D182" s="165"/>
      <c r="E182" s="165"/>
      <c r="F182" s="165"/>
      <c r="G182" s="164"/>
      <c r="H182" s="164"/>
      <c r="I182" s="164"/>
      <c r="J182" s="164"/>
    </row>
    <row r="183" spans="1:10" x14ac:dyDescent="0.25">
      <c r="A183" s="16"/>
      <c r="B183" s="16"/>
      <c r="C183" s="165"/>
      <c r="D183" s="165"/>
      <c r="E183" s="165"/>
      <c r="F183" s="165"/>
      <c r="G183" s="164"/>
      <c r="H183" s="164"/>
      <c r="I183" s="164"/>
      <c r="J183" s="164"/>
    </row>
    <row r="184" spans="1:10" x14ac:dyDescent="0.25">
      <c r="A184" s="16"/>
      <c r="B184" s="16"/>
      <c r="C184" s="165"/>
      <c r="D184" s="165"/>
      <c r="E184" s="165"/>
      <c r="F184" s="165"/>
      <c r="G184" s="164"/>
      <c r="H184" s="164"/>
      <c r="I184" s="164"/>
      <c r="J184" s="164"/>
    </row>
    <row r="185" spans="1:10" x14ac:dyDescent="0.25">
      <c r="A185" s="16"/>
      <c r="B185" s="16"/>
      <c r="C185" s="165"/>
      <c r="D185" s="165"/>
      <c r="E185" s="165"/>
      <c r="F185" s="165"/>
      <c r="G185" s="164"/>
      <c r="H185" s="164"/>
      <c r="I185" s="164"/>
      <c r="J185" s="164"/>
    </row>
    <row r="186" spans="1:10" x14ac:dyDescent="0.25">
      <c r="A186" s="16"/>
      <c r="B186" s="16"/>
      <c r="C186" s="165"/>
      <c r="D186" s="165"/>
      <c r="E186" s="165"/>
      <c r="F186" s="165"/>
      <c r="G186" s="164"/>
      <c r="H186" s="164"/>
      <c r="I186" s="164"/>
      <c r="J186" s="164"/>
    </row>
    <row r="187" spans="1:10" x14ac:dyDescent="0.25">
      <c r="A187" s="16"/>
      <c r="B187" s="16"/>
      <c r="C187" s="165"/>
      <c r="D187" s="165"/>
      <c r="E187" s="165"/>
      <c r="F187" s="165"/>
      <c r="G187" s="164"/>
      <c r="H187" s="164"/>
      <c r="I187" s="164"/>
      <c r="J187" s="164"/>
    </row>
    <row r="188" spans="1:10" x14ac:dyDescent="0.25">
      <c r="A188" s="16"/>
      <c r="B188" s="16"/>
      <c r="C188" s="165"/>
      <c r="D188" s="165"/>
      <c r="E188" s="165"/>
      <c r="F188" s="165"/>
      <c r="G188" s="164"/>
      <c r="H188" s="164"/>
      <c r="I188" s="164"/>
      <c r="J188" s="164"/>
    </row>
    <row r="189" spans="1:10" x14ac:dyDescent="0.25">
      <c r="A189" s="16"/>
      <c r="B189" s="16"/>
      <c r="C189" s="165"/>
      <c r="D189" s="165"/>
      <c r="E189" s="165"/>
      <c r="F189" s="165"/>
      <c r="G189" s="164"/>
      <c r="H189" s="164"/>
      <c r="I189" s="164"/>
      <c r="J189" s="164"/>
    </row>
    <row r="190" spans="1:10" x14ac:dyDescent="0.25">
      <c r="A190" s="16"/>
      <c r="B190" s="16"/>
      <c r="C190" s="165"/>
      <c r="D190" s="165"/>
      <c r="E190" s="165"/>
      <c r="F190" s="165"/>
      <c r="G190" s="164"/>
      <c r="H190" s="164"/>
      <c r="I190" s="164"/>
      <c r="J190" s="164"/>
    </row>
    <row r="191" spans="1:10" x14ac:dyDescent="0.25">
      <c r="A191" s="16"/>
      <c r="B191" s="16"/>
      <c r="C191" s="165"/>
      <c r="D191" s="165"/>
      <c r="E191" s="165"/>
      <c r="F191" s="165"/>
      <c r="G191" s="164"/>
      <c r="H191" s="164"/>
      <c r="I191" s="164"/>
      <c r="J191" s="164"/>
    </row>
    <row r="192" spans="1:10" x14ac:dyDescent="0.25">
      <c r="A192" s="16"/>
      <c r="B192" s="16"/>
      <c r="C192" s="165"/>
      <c r="D192" s="165"/>
      <c r="E192" s="165"/>
      <c r="F192" s="165"/>
      <c r="G192" s="164"/>
      <c r="H192" s="164"/>
      <c r="I192" s="164"/>
      <c r="J192" s="164"/>
    </row>
    <row r="193" spans="1:10" x14ac:dyDescent="0.25">
      <c r="A193" s="16"/>
      <c r="B193" s="16"/>
      <c r="C193" s="165"/>
      <c r="D193" s="165"/>
      <c r="E193" s="165"/>
      <c r="F193" s="165"/>
      <c r="G193" s="164"/>
      <c r="H193" s="164"/>
      <c r="I193" s="164"/>
      <c r="J193" s="164"/>
    </row>
    <row r="194" spans="1:10" x14ac:dyDescent="0.25">
      <c r="A194" s="16"/>
      <c r="B194" s="16"/>
      <c r="C194" s="165"/>
      <c r="D194" s="165"/>
      <c r="E194" s="165"/>
      <c r="F194" s="165"/>
      <c r="G194" s="164"/>
      <c r="H194" s="164"/>
      <c r="I194" s="164"/>
      <c r="J194" s="164"/>
    </row>
    <row r="195" spans="1:10" x14ac:dyDescent="0.25">
      <c r="A195" s="16"/>
      <c r="B195" s="16"/>
      <c r="C195" s="165"/>
      <c r="D195" s="165"/>
      <c r="E195" s="165"/>
      <c r="F195" s="165"/>
      <c r="G195" s="164"/>
      <c r="H195" s="164"/>
      <c r="I195" s="164"/>
      <c r="J195" s="164"/>
    </row>
    <row r="196" spans="1:10" x14ac:dyDescent="0.25">
      <c r="A196" s="16"/>
      <c r="B196" s="16"/>
      <c r="C196" s="165"/>
      <c r="D196" s="165"/>
      <c r="E196" s="165"/>
      <c r="F196" s="165"/>
      <c r="G196" s="164"/>
      <c r="H196" s="164"/>
      <c r="I196" s="164"/>
      <c r="J196" s="164"/>
    </row>
    <row r="197" spans="1:10" x14ac:dyDescent="0.25">
      <c r="A197" s="16"/>
      <c r="B197" s="16"/>
      <c r="C197" s="165"/>
      <c r="D197" s="165"/>
      <c r="E197" s="165"/>
      <c r="F197" s="165"/>
      <c r="G197" s="164"/>
      <c r="H197" s="164"/>
      <c r="I197" s="164"/>
      <c r="J197" s="164"/>
    </row>
    <row r="198" spans="1:10" x14ac:dyDescent="0.25">
      <c r="A198" s="16"/>
      <c r="B198" s="16"/>
      <c r="C198" s="165"/>
      <c r="D198" s="165"/>
      <c r="E198" s="165"/>
      <c r="F198" s="165"/>
      <c r="G198" s="164"/>
      <c r="H198" s="164"/>
      <c r="I198" s="164"/>
      <c r="J198" s="164"/>
    </row>
    <row r="199" spans="1:10" x14ac:dyDescent="0.25">
      <c r="A199" s="16"/>
      <c r="B199" s="16"/>
      <c r="C199" s="165"/>
      <c r="D199" s="165"/>
      <c r="E199" s="165"/>
      <c r="F199" s="165"/>
      <c r="G199" s="164"/>
      <c r="H199" s="164"/>
      <c r="I199" s="164"/>
      <c r="J199" s="164"/>
    </row>
    <row r="200" spans="1:10" x14ac:dyDescent="0.25">
      <c r="A200" s="16"/>
      <c r="B200" s="16"/>
      <c r="C200" s="165"/>
      <c r="D200" s="165"/>
      <c r="E200" s="165"/>
      <c r="F200" s="165"/>
      <c r="G200" s="164"/>
      <c r="H200" s="164"/>
      <c r="I200" s="164"/>
      <c r="J200" s="164"/>
    </row>
    <row r="201" spans="1:10" x14ac:dyDescent="0.25">
      <c r="A201" s="16"/>
      <c r="B201" s="16"/>
      <c r="C201" s="165"/>
      <c r="D201" s="165"/>
      <c r="E201" s="165"/>
      <c r="F201" s="165"/>
      <c r="G201" s="164"/>
      <c r="H201" s="164"/>
      <c r="I201" s="164"/>
      <c r="J201" s="164"/>
    </row>
    <row r="202" spans="1:10" x14ac:dyDescent="0.25">
      <c r="A202" s="16"/>
      <c r="B202" s="16"/>
      <c r="C202" s="165"/>
      <c r="D202" s="165"/>
      <c r="E202" s="165"/>
      <c r="F202" s="165"/>
      <c r="G202" s="164"/>
      <c r="H202" s="164"/>
      <c r="I202" s="164"/>
      <c r="J202" s="164"/>
    </row>
    <row r="203" spans="1:10" x14ac:dyDescent="0.25">
      <c r="A203" s="16"/>
      <c r="B203" s="16"/>
      <c r="C203" s="165"/>
      <c r="D203" s="165"/>
      <c r="E203" s="165"/>
      <c r="F203" s="165"/>
      <c r="G203" s="164"/>
      <c r="H203" s="164"/>
      <c r="I203" s="164"/>
      <c r="J203" s="164"/>
    </row>
    <row r="204" spans="1:10" x14ac:dyDescent="0.25">
      <c r="A204" s="16"/>
      <c r="B204" s="16"/>
      <c r="C204" s="165"/>
      <c r="D204" s="165"/>
      <c r="E204" s="165"/>
      <c r="F204" s="165"/>
      <c r="G204" s="164"/>
      <c r="H204" s="164"/>
      <c r="I204" s="164"/>
      <c r="J204" s="164"/>
    </row>
    <row r="205" spans="1:10" x14ac:dyDescent="0.25">
      <c r="A205" s="16"/>
      <c r="B205" s="16"/>
      <c r="C205" s="165"/>
      <c r="D205" s="165"/>
      <c r="E205" s="165"/>
      <c r="F205" s="165"/>
      <c r="G205" s="164"/>
      <c r="H205" s="164"/>
      <c r="I205" s="164"/>
      <c r="J205" s="164"/>
    </row>
    <row r="206" spans="1:10" x14ac:dyDescent="0.25">
      <c r="A206" s="16"/>
      <c r="B206" s="16"/>
      <c r="C206" s="165"/>
      <c r="D206" s="165"/>
      <c r="E206" s="165"/>
      <c r="F206" s="165"/>
      <c r="G206" s="164"/>
      <c r="H206" s="164"/>
      <c r="I206" s="164"/>
      <c r="J206" s="164"/>
    </row>
    <row r="207" spans="1:10" x14ac:dyDescent="0.25">
      <c r="A207" s="16"/>
      <c r="B207" s="16"/>
      <c r="C207" s="165"/>
      <c r="D207" s="165"/>
      <c r="E207" s="165"/>
      <c r="F207" s="165"/>
      <c r="G207" s="164"/>
      <c r="H207" s="164"/>
      <c r="I207" s="164"/>
      <c r="J207" s="164"/>
    </row>
    <row r="208" spans="1:10" x14ac:dyDescent="0.25">
      <c r="A208" s="16"/>
      <c r="B208" s="16"/>
      <c r="C208" s="165"/>
      <c r="D208" s="165"/>
      <c r="E208" s="165"/>
      <c r="F208" s="165"/>
      <c r="G208" s="164"/>
      <c r="H208" s="164"/>
      <c r="I208" s="164"/>
      <c r="J208" s="164"/>
    </row>
    <row r="209" spans="1:10" x14ac:dyDescent="0.25">
      <c r="A209" s="16"/>
      <c r="B209" s="16"/>
      <c r="C209" s="165"/>
      <c r="D209" s="165"/>
      <c r="E209" s="165"/>
      <c r="F209" s="165"/>
      <c r="G209" s="164"/>
      <c r="H209" s="164"/>
      <c r="I209" s="164"/>
      <c r="J209" s="164"/>
    </row>
    <row r="210" spans="1:10" x14ac:dyDescent="0.25">
      <c r="A210" s="16"/>
      <c r="B210" s="16"/>
      <c r="C210" s="165"/>
      <c r="D210" s="165"/>
      <c r="E210" s="165"/>
      <c r="F210" s="165"/>
      <c r="G210" s="164"/>
      <c r="H210" s="164"/>
      <c r="I210" s="164"/>
      <c r="J210" s="164"/>
    </row>
    <row r="211" spans="1:10" x14ac:dyDescent="0.25">
      <c r="A211" s="16"/>
      <c r="B211" s="16"/>
      <c r="C211" s="165"/>
      <c r="D211" s="165"/>
      <c r="E211" s="165"/>
      <c r="F211" s="165"/>
      <c r="G211" s="164"/>
      <c r="H211" s="164"/>
      <c r="I211" s="164"/>
      <c r="J211" s="164"/>
    </row>
    <row r="212" spans="1:10" x14ac:dyDescent="0.25">
      <c r="A212" s="16"/>
      <c r="B212" s="16"/>
      <c r="C212" s="165"/>
      <c r="D212" s="165"/>
      <c r="E212" s="165"/>
      <c r="F212" s="165"/>
      <c r="G212" s="164"/>
      <c r="H212" s="164"/>
      <c r="I212" s="164"/>
      <c r="J212" s="164"/>
    </row>
    <row r="213" spans="1:10" x14ac:dyDescent="0.25">
      <c r="A213" s="16"/>
      <c r="B213" s="16"/>
      <c r="C213" s="165"/>
      <c r="D213" s="165"/>
      <c r="E213" s="165"/>
      <c r="F213" s="165"/>
      <c r="G213" s="164"/>
      <c r="H213" s="164"/>
      <c r="I213" s="164"/>
      <c r="J213" s="164"/>
    </row>
    <row r="214" spans="1:10" x14ac:dyDescent="0.25">
      <c r="A214" s="16"/>
      <c r="B214" s="16"/>
      <c r="C214" s="165"/>
      <c r="D214" s="165"/>
      <c r="E214" s="165"/>
      <c r="F214" s="165"/>
      <c r="G214" s="164"/>
      <c r="H214" s="164"/>
      <c r="I214" s="164"/>
      <c r="J214" s="164"/>
    </row>
    <row r="215" spans="1:10" x14ac:dyDescent="0.25">
      <c r="A215" s="16"/>
      <c r="B215" s="16"/>
      <c r="C215" s="165"/>
      <c r="D215" s="165"/>
      <c r="E215" s="165"/>
      <c r="F215" s="165"/>
      <c r="G215" s="164"/>
      <c r="H215" s="164"/>
      <c r="I215" s="164"/>
      <c r="J215" s="164"/>
    </row>
    <row r="216" spans="1:10" x14ac:dyDescent="0.25">
      <c r="A216" s="16"/>
      <c r="B216" s="16"/>
      <c r="C216" s="165"/>
      <c r="D216" s="165"/>
      <c r="E216" s="165"/>
      <c r="F216" s="165"/>
      <c r="G216" s="164"/>
      <c r="H216" s="164"/>
      <c r="I216" s="164"/>
      <c r="J216" s="164"/>
    </row>
    <row r="217" spans="1:10" x14ac:dyDescent="0.25">
      <c r="A217" s="16"/>
      <c r="B217" s="16"/>
      <c r="C217" s="165"/>
      <c r="D217" s="165"/>
      <c r="E217" s="165"/>
      <c r="F217" s="165"/>
      <c r="G217" s="164"/>
      <c r="H217" s="164"/>
      <c r="I217" s="164"/>
      <c r="J217" s="164"/>
    </row>
    <row r="218" spans="1:10" x14ac:dyDescent="0.25">
      <c r="A218" s="16"/>
      <c r="B218" s="16"/>
      <c r="C218" s="165"/>
      <c r="D218" s="165"/>
      <c r="E218" s="165"/>
      <c r="F218" s="165"/>
      <c r="G218" s="164"/>
      <c r="H218" s="164"/>
      <c r="I218" s="164"/>
      <c r="J218" s="164"/>
    </row>
    <row r="219" spans="1:10" x14ac:dyDescent="0.25">
      <c r="A219" s="16"/>
      <c r="B219" s="16"/>
      <c r="C219" s="165"/>
      <c r="D219" s="165"/>
      <c r="E219" s="165"/>
      <c r="F219" s="165"/>
      <c r="G219" s="164"/>
      <c r="H219" s="164"/>
      <c r="I219" s="164"/>
      <c r="J219" s="164"/>
    </row>
    <row r="220" spans="1:10" x14ac:dyDescent="0.25">
      <c r="A220" s="16"/>
      <c r="B220" s="16"/>
      <c r="C220" s="165"/>
      <c r="D220" s="165"/>
      <c r="E220" s="165"/>
      <c r="F220" s="165"/>
      <c r="G220" s="164"/>
      <c r="H220" s="164"/>
      <c r="I220" s="164"/>
      <c r="J220" s="164"/>
    </row>
    <row r="221" spans="1:10" x14ac:dyDescent="0.25">
      <c r="A221" s="16"/>
      <c r="B221" s="16"/>
      <c r="C221" s="165"/>
      <c r="D221" s="165"/>
      <c r="E221" s="165"/>
      <c r="F221" s="165"/>
      <c r="G221" s="164"/>
      <c r="H221" s="164"/>
      <c r="I221" s="164"/>
      <c r="J221" s="164"/>
    </row>
    <row r="222" spans="1:10" x14ac:dyDescent="0.25">
      <c r="A222" s="16"/>
      <c r="B222" s="16"/>
      <c r="C222" s="165"/>
      <c r="D222" s="165"/>
      <c r="E222" s="165"/>
      <c r="F222" s="165"/>
      <c r="G222" s="164"/>
      <c r="H222" s="164"/>
      <c r="I222" s="164"/>
      <c r="J222" s="164"/>
    </row>
    <row r="223" spans="1:10" x14ac:dyDescent="0.25">
      <c r="A223" s="16"/>
      <c r="B223" s="16"/>
      <c r="C223" s="165"/>
      <c r="D223" s="165"/>
      <c r="E223" s="165"/>
      <c r="F223" s="165"/>
      <c r="G223" s="164"/>
      <c r="H223" s="164"/>
      <c r="I223" s="164"/>
      <c r="J223" s="164"/>
    </row>
    <row r="224" spans="1:10" x14ac:dyDescent="0.25">
      <c r="A224" s="16"/>
      <c r="B224" s="16"/>
      <c r="C224" s="165"/>
      <c r="D224" s="165"/>
      <c r="E224" s="165"/>
      <c r="F224" s="165"/>
      <c r="G224" s="164"/>
      <c r="H224" s="164"/>
      <c r="I224" s="164"/>
      <c r="J224" s="164"/>
    </row>
    <row r="225" spans="1:10" x14ac:dyDescent="0.25">
      <c r="A225" s="16"/>
      <c r="B225" s="16"/>
      <c r="C225" s="165"/>
      <c r="D225" s="165"/>
      <c r="E225" s="165"/>
      <c r="F225" s="165"/>
      <c r="G225" s="164"/>
      <c r="H225" s="164"/>
      <c r="I225" s="164"/>
      <c r="J225" s="164"/>
    </row>
    <row r="226" spans="1:10" x14ac:dyDescent="0.25">
      <c r="A226" s="16"/>
      <c r="B226" s="16"/>
      <c r="C226" s="165"/>
      <c r="D226" s="165"/>
      <c r="E226" s="165"/>
      <c r="F226" s="165"/>
      <c r="G226" s="164"/>
      <c r="H226" s="164"/>
      <c r="I226" s="164"/>
      <c r="J226" s="164"/>
    </row>
    <row r="227" spans="1:10" x14ac:dyDescent="0.25">
      <c r="A227" s="16"/>
      <c r="B227" s="16"/>
      <c r="C227" s="165"/>
      <c r="D227" s="165"/>
      <c r="E227" s="165"/>
      <c r="F227" s="165"/>
      <c r="G227" s="164"/>
      <c r="H227" s="164"/>
      <c r="I227" s="164"/>
      <c r="J227" s="164"/>
    </row>
    <row r="228" spans="1:10" x14ac:dyDescent="0.25">
      <c r="A228" s="16"/>
      <c r="B228" s="16"/>
      <c r="C228" s="165"/>
      <c r="D228" s="165"/>
      <c r="E228" s="165"/>
      <c r="F228" s="165"/>
      <c r="G228" s="164"/>
      <c r="H228" s="164"/>
      <c r="I228" s="164"/>
      <c r="J228" s="164"/>
    </row>
    <row r="229" spans="1:10" x14ac:dyDescent="0.25">
      <c r="A229" s="16"/>
      <c r="B229" s="16"/>
      <c r="C229" s="165"/>
      <c r="D229" s="165"/>
      <c r="E229" s="165"/>
      <c r="F229" s="165"/>
      <c r="G229" s="164"/>
      <c r="H229" s="164"/>
      <c r="I229" s="164"/>
      <c r="J229" s="164"/>
    </row>
    <row r="230" spans="1:10" x14ac:dyDescent="0.25">
      <c r="A230" s="16"/>
      <c r="B230" s="16"/>
      <c r="C230" s="165"/>
      <c r="D230" s="165"/>
      <c r="E230" s="165"/>
      <c r="F230" s="165"/>
      <c r="G230" s="164"/>
      <c r="H230" s="164"/>
      <c r="I230" s="164"/>
      <c r="J230" s="164"/>
    </row>
    <row r="231" spans="1:10" x14ac:dyDescent="0.25">
      <c r="A231" s="16"/>
      <c r="B231" s="16"/>
      <c r="C231" s="165"/>
      <c r="D231" s="165"/>
      <c r="E231" s="165"/>
      <c r="F231" s="165"/>
      <c r="G231" s="164"/>
      <c r="H231" s="164"/>
      <c r="I231" s="164"/>
      <c r="J231" s="164"/>
    </row>
    <row r="232" spans="1:10" x14ac:dyDescent="0.25">
      <c r="A232" s="16"/>
      <c r="B232" s="16"/>
      <c r="C232" s="165"/>
      <c r="D232" s="165"/>
      <c r="E232" s="165"/>
      <c r="F232" s="165"/>
      <c r="G232" s="164"/>
      <c r="H232" s="164"/>
      <c r="I232" s="164"/>
      <c r="J232" s="164"/>
    </row>
    <row r="233" spans="1:10" x14ac:dyDescent="0.25">
      <c r="A233" s="16"/>
      <c r="B233" s="16"/>
      <c r="C233" s="165"/>
      <c r="D233" s="165"/>
      <c r="E233" s="165"/>
      <c r="F233" s="165"/>
      <c r="G233" s="164"/>
      <c r="H233" s="164"/>
      <c r="I233" s="164"/>
      <c r="J233" s="164"/>
    </row>
    <row r="234" spans="1:10" x14ac:dyDescent="0.25">
      <c r="A234" s="16"/>
      <c r="B234" s="16"/>
      <c r="C234" s="165"/>
      <c r="D234" s="165"/>
      <c r="E234" s="165"/>
      <c r="F234" s="165"/>
      <c r="G234" s="164"/>
      <c r="H234" s="164"/>
      <c r="I234" s="164"/>
      <c r="J234" s="164"/>
    </row>
    <row r="235" spans="1:10" x14ac:dyDescent="0.25">
      <c r="A235" s="16"/>
      <c r="B235" s="16"/>
      <c r="C235" s="165"/>
      <c r="D235" s="165"/>
      <c r="E235" s="165"/>
      <c r="F235" s="165"/>
      <c r="G235" s="164"/>
      <c r="H235" s="164"/>
      <c r="I235" s="164"/>
      <c r="J235" s="164"/>
    </row>
    <row r="236" spans="1:10" x14ac:dyDescent="0.25">
      <c r="A236" s="16"/>
      <c r="B236" s="16"/>
      <c r="C236" s="165"/>
      <c r="D236" s="165"/>
      <c r="E236" s="165"/>
      <c r="F236" s="165"/>
      <c r="G236" s="164"/>
      <c r="H236" s="164"/>
      <c r="I236" s="164"/>
      <c r="J236" s="164"/>
    </row>
    <row r="237" spans="1:10" x14ac:dyDescent="0.25">
      <c r="A237" s="16"/>
      <c r="B237" s="16"/>
      <c r="C237" s="165"/>
      <c r="D237" s="165"/>
      <c r="E237" s="165"/>
      <c r="F237" s="165"/>
      <c r="G237" s="164"/>
      <c r="H237" s="164"/>
      <c r="I237" s="164"/>
      <c r="J237" s="164"/>
    </row>
    <row r="238" spans="1:10" x14ac:dyDescent="0.25">
      <c r="A238" s="16"/>
      <c r="B238" s="16"/>
      <c r="C238" s="165"/>
      <c r="D238" s="165"/>
      <c r="E238" s="165"/>
      <c r="F238" s="165"/>
      <c r="G238" s="164"/>
      <c r="H238" s="164"/>
      <c r="I238" s="164"/>
      <c r="J238" s="164"/>
    </row>
    <row r="239" spans="1:10" x14ac:dyDescent="0.25">
      <c r="A239" s="16"/>
      <c r="B239" s="16"/>
      <c r="C239" s="165"/>
      <c r="D239" s="165"/>
      <c r="E239" s="165"/>
      <c r="F239" s="165"/>
      <c r="G239" s="164"/>
      <c r="H239" s="164"/>
      <c r="I239" s="164"/>
      <c r="J239" s="164"/>
    </row>
    <row r="240" spans="1:10" x14ac:dyDescent="0.25">
      <c r="A240" s="16"/>
      <c r="B240" s="16"/>
      <c r="C240" s="165"/>
      <c r="D240" s="165"/>
      <c r="E240" s="165"/>
      <c r="F240" s="165"/>
      <c r="G240" s="164"/>
      <c r="H240" s="164"/>
      <c r="I240" s="164"/>
      <c r="J240" s="164"/>
    </row>
    <row r="241" spans="1:10" x14ac:dyDescent="0.25">
      <c r="A241" s="16"/>
      <c r="B241" s="16"/>
      <c r="C241" s="165"/>
      <c r="D241" s="165"/>
      <c r="E241" s="165"/>
      <c r="F241" s="165"/>
      <c r="G241" s="164"/>
      <c r="H241" s="164"/>
      <c r="I241" s="164"/>
      <c r="J241" s="164"/>
    </row>
    <row r="242" spans="1:10" x14ac:dyDescent="0.25">
      <c r="A242" s="16"/>
      <c r="B242" s="16"/>
      <c r="C242" s="165"/>
      <c r="D242" s="165"/>
      <c r="E242" s="165"/>
      <c r="F242" s="165"/>
      <c r="G242" s="164"/>
      <c r="H242" s="164"/>
      <c r="I242" s="164"/>
      <c r="J242" s="164"/>
    </row>
    <row r="243" spans="1:10" x14ac:dyDescent="0.25">
      <c r="A243" s="16"/>
      <c r="B243" s="16"/>
      <c r="C243" s="165"/>
      <c r="D243" s="165"/>
      <c r="E243" s="165"/>
      <c r="F243" s="165"/>
      <c r="G243" s="164"/>
      <c r="H243" s="164"/>
      <c r="I243" s="164"/>
      <c r="J243" s="164"/>
    </row>
    <row r="244" spans="1:10" x14ac:dyDescent="0.25">
      <c r="A244" s="16"/>
      <c r="B244" s="16"/>
      <c r="C244" s="165"/>
      <c r="D244" s="165"/>
      <c r="E244" s="165"/>
      <c r="F244" s="165"/>
      <c r="G244" s="164"/>
      <c r="H244" s="164"/>
      <c r="I244" s="164"/>
      <c r="J244" s="164"/>
    </row>
    <row r="245" spans="1:10" x14ac:dyDescent="0.25">
      <c r="A245" s="16"/>
      <c r="B245" s="16"/>
      <c r="C245" s="165"/>
      <c r="D245" s="165"/>
      <c r="E245" s="165"/>
      <c r="F245" s="165"/>
      <c r="G245" s="164"/>
      <c r="H245" s="164"/>
      <c r="I245" s="164"/>
      <c r="J245" s="164"/>
    </row>
    <row r="246" spans="1:10" x14ac:dyDescent="0.25">
      <c r="A246" s="16"/>
      <c r="B246" s="16"/>
      <c r="C246" s="165"/>
      <c r="D246" s="165"/>
      <c r="E246" s="165"/>
      <c r="F246" s="165"/>
      <c r="G246" s="164"/>
      <c r="H246" s="164"/>
      <c r="I246" s="164"/>
      <c r="J246" s="164"/>
    </row>
    <row r="247" spans="1:10" x14ac:dyDescent="0.25">
      <c r="A247" s="16"/>
      <c r="B247" s="16"/>
      <c r="C247" s="165"/>
      <c r="D247" s="165"/>
      <c r="E247" s="165"/>
      <c r="F247" s="165"/>
      <c r="G247" s="164"/>
      <c r="H247" s="164"/>
      <c r="I247" s="164"/>
      <c r="J247" s="164"/>
    </row>
    <row r="248" spans="1:10" x14ac:dyDescent="0.25">
      <c r="A248" s="16"/>
      <c r="B248" s="16"/>
      <c r="C248" s="165"/>
      <c r="D248" s="165"/>
      <c r="E248" s="165"/>
      <c r="F248" s="165"/>
      <c r="G248" s="164"/>
      <c r="H248" s="164"/>
      <c r="I248" s="164"/>
      <c r="J248" s="164"/>
    </row>
    <row r="249" spans="1:10" x14ac:dyDescent="0.25">
      <c r="A249" s="16"/>
      <c r="B249" s="16"/>
      <c r="C249" s="165"/>
      <c r="D249" s="165"/>
      <c r="E249" s="165"/>
      <c r="F249" s="165"/>
      <c r="G249" s="164"/>
      <c r="H249" s="164"/>
      <c r="I249" s="164"/>
      <c r="J249" s="164"/>
    </row>
    <row r="250" spans="1:10" x14ac:dyDescent="0.25">
      <c r="A250" s="16"/>
      <c r="B250" s="16"/>
      <c r="C250" s="165"/>
      <c r="D250" s="165"/>
      <c r="E250" s="165"/>
      <c r="F250" s="165"/>
      <c r="G250" s="164"/>
      <c r="H250" s="164"/>
      <c r="I250" s="164"/>
      <c r="J250" s="164"/>
    </row>
    <row r="251" spans="1:10" x14ac:dyDescent="0.25">
      <c r="A251" s="16"/>
      <c r="B251" s="16"/>
      <c r="C251" s="165"/>
      <c r="D251" s="165"/>
      <c r="E251" s="165"/>
      <c r="F251" s="165"/>
      <c r="G251" s="164"/>
      <c r="H251" s="164"/>
      <c r="I251" s="164"/>
      <c r="J251" s="164"/>
    </row>
    <row r="252" spans="1:10" x14ac:dyDescent="0.25">
      <c r="A252" s="16"/>
      <c r="B252" s="16"/>
      <c r="C252" s="165"/>
      <c r="D252" s="165"/>
      <c r="E252" s="165"/>
      <c r="F252" s="165"/>
      <c r="G252" s="164"/>
      <c r="H252" s="164"/>
      <c r="I252" s="164"/>
      <c r="J252" s="164"/>
    </row>
    <row r="253" spans="1:10" x14ac:dyDescent="0.25">
      <c r="A253" s="16"/>
      <c r="B253" s="16"/>
      <c r="C253" s="165"/>
      <c r="D253" s="165"/>
      <c r="E253" s="165"/>
      <c r="F253" s="165"/>
      <c r="G253" s="164"/>
      <c r="H253" s="164"/>
      <c r="I253" s="164"/>
      <c r="J253" s="164"/>
    </row>
    <row r="254" spans="1:10" x14ac:dyDescent="0.25">
      <c r="A254" s="16"/>
      <c r="B254" s="16"/>
      <c r="C254" s="165"/>
      <c r="D254" s="165"/>
      <c r="E254" s="165"/>
      <c r="F254" s="165"/>
      <c r="G254" s="164"/>
      <c r="H254" s="164"/>
      <c r="I254" s="164"/>
      <c r="J254" s="164"/>
    </row>
    <row r="255" spans="1:10" x14ac:dyDescent="0.25">
      <c r="A255" s="16"/>
      <c r="B255" s="16"/>
      <c r="C255" s="165"/>
      <c r="D255" s="165"/>
      <c r="E255" s="165"/>
      <c r="F255" s="165"/>
      <c r="G255" s="164"/>
      <c r="H255" s="164"/>
      <c r="I255" s="164"/>
      <c r="J255" s="164"/>
    </row>
    <row r="256" spans="1:10" x14ac:dyDescent="0.25">
      <c r="A256" s="16"/>
      <c r="B256" s="16"/>
      <c r="C256" s="165"/>
      <c r="D256" s="165"/>
      <c r="E256" s="165"/>
      <c r="F256" s="165"/>
      <c r="G256" s="164"/>
      <c r="H256" s="164"/>
      <c r="I256" s="164"/>
      <c r="J256" s="164"/>
    </row>
    <row r="257" spans="1:10" x14ac:dyDescent="0.25">
      <c r="A257" s="16"/>
      <c r="B257" s="16"/>
      <c r="C257" s="165"/>
      <c r="D257" s="165"/>
      <c r="E257" s="165"/>
      <c r="F257" s="165"/>
      <c r="G257" s="164"/>
      <c r="H257" s="164"/>
      <c r="I257" s="164"/>
      <c r="J257" s="164"/>
    </row>
    <row r="258" spans="1:10" x14ac:dyDescent="0.25">
      <c r="A258" s="16"/>
      <c r="B258" s="16"/>
      <c r="C258" s="165"/>
      <c r="D258" s="165"/>
      <c r="E258" s="165"/>
      <c r="F258" s="165"/>
      <c r="G258" s="164"/>
      <c r="H258" s="164"/>
      <c r="I258" s="164"/>
      <c r="J258" s="164"/>
    </row>
    <row r="259" spans="1:10" x14ac:dyDescent="0.25">
      <c r="A259" s="16"/>
      <c r="B259" s="16"/>
      <c r="C259" s="165"/>
      <c r="D259" s="165"/>
      <c r="E259" s="165"/>
      <c r="F259" s="165"/>
      <c r="G259" s="164"/>
      <c r="H259" s="164"/>
      <c r="I259" s="164"/>
      <c r="J259" s="164"/>
    </row>
    <row r="260" spans="1:10" x14ac:dyDescent="0.25">
      <c r="A260" s="16"/>
      <c r="B260" s="16"/>
      <c r="C260" s="165"/>
      <c r="D260" s="165"/>
      <c r="E260" s="165"/>
      <c r="F260" s="165"/>
      <c r="G260" s="164"/>
      <c r="H260" s="164"/>
      <c r="I260" s="164"/>
      <c r="J260" s="164"/>
    </row>
    <row r="261" spans="1:10" x14ac:dyDescent="0.25">
      <c r="A261" s="16"/>
      <c r="B261" s="16"/>
      <c r="C261" s="165"/>
      <c r="D261" s="165"/>
      <c r="E261" s="165"/>
      <c r="F261" s="165"/>
      <c r="G261" s="164"/>
      <c r="H261" s="164"/>
      <c r="I261" s="164"/>
      <c r="J261" s="164"/>
    </row>
    <row r="262" spans="1:10" x14ac:dyDescent="0.25">
      <c r="A262" s="16"/>
      <c r="B262" s="16"/>
      <c r="C262" s="165"/>
      <c r="D262" s="165"/>
      <c r="E262" s="165"/>
      <c r="F262" s="165"/>
      <c r="G262" s="164"/>
      <c r="H262" s="164"/>
      <c r="I262" s="164"/>
      <c r="J262" s="164"/>
    </row>
    <row r="263" spans="1:10" x14ac:dyDescent="0.25">
      <c r="A263" s="16"/>
      <c r="B263" s="16"/>
      <c r="C263" s="165"/>
      <c r="D263" s="165"/>
      <c r="E263" s="165"/>
      <c r="F263" s="165"/>
      <c r="G263" s="164"/>
      <c r="H263" s="164"/>
      <c r="I263" s="164"/>
      <c r="J263" s="164"/>
    </row>
    <row r="264" spans="1:10" x14ac:dyDescent="0.25">
      <c r="A264" s="16"/>
      <c r="B264" s="16"/>
      <c r="C264" s="165"/>
      <c r="D264" s="165"/>
      <c r="E264" s="165"/>
      <c r="F264" s="165"/>
      <c r="G264" s="164"/>
      <c r="H264" s="164"/>
      <c r="I264" s="164"/>
      <c r="J264" s="164"/>
    </row>
    <row r="265" spans="1:10" x14ac:dyDescent="0.25">
      <c r="A265" s="16"/>
      <c r="B265" s="16"/>
      <c r="C265" s="165"/>
      <c r="D265" s="165"/>
      <c r="E265" s="165"/>
      <c r="F265" s="165"/>
      <c r="G265" s="164"/>
      <c r="H265" s="164"/>
      <c r="I265" s="164"/>
      <c r="J265" s="164"/>
    </row>
    <row r="266" spans="1:10" x14ac:dyDescent="0.25">
      <c r="A266" s="16"/>
      <c r="B266" s="16"/>
      <c r="C266" s="165"/>
      <c r="D266" s="165"/>
      <c r="E266" s="165"/>
      <c r="F266" s="165"/>
      <c r="G266" s="164"/>
      <c r="H266" s="164"/>
      <c r="I266" s="164"/>
      <c r="J266" s="164"/>
    </row>
    <row r="267" spans="1:10" x14ac:dyDescent="0.25">
      <c r="A267" s="16"/>
      <c r="B267" s="16"/>
      <c r="C267" s="165"/>
      <c r="D267" s="165"/>
      <c r="E267" s="165"/>
      <c r="F267" s="165"/>
      <c r="G267" s="164"/>
      <c r="H267" s="164"/>
      <c r="I267" s="164"/>
      <c r="J267" s="164"/>
    </row>
    <row r="268" spans="1:10" x14ac:dyDescent="0.25">
      <c r="A268" s="16"/>
      <c r="B268" s="16"/>
      <c r="C268" s="165"/>
      <c r="D268" s="165"/>
      <c r="E268" s="165"/>
      <c r="F268" s="165"/>
      <c r="G268" s="164"/>
      <c r="H268" s="164"/>
      <c r="I268" s="164"/>
      <c r="J268" s="164"/>
    </row>
    <row r="269" spans="1:10" x14ac:dyDescent="0.25">
      <c r="A269" s="16"/>
      <c r="B269" s="16"/>
      <c r="C269" s="165"/>
      <c r="D269" s="165"/>
      <c r="E269" s="165"/>
      <c r="F269" s="165"/>
      <c r="G269" s="164"/>
      <c r="H269" s="164"/>
      <c r="I269" s="164"/>
      <c r="J269" s="164"/>
    </row>
    <row r="270" spans="1:10" x14ac:dyDescent="0.25">
      <c r="A270" s="16"/>
      <c r="B270" s="16"/>
      <c r="C270" s="165"/>
      <c r="D270" s="165"/>
      <c r="E270" s="165"/>
      <c r="F270" s="165"/>
      <c r="G270" s="164"/>
      <c r="H270" s="164"/>
      <c r="I270" s="164"/>
      <c r="J270" s="164"/>
    </row>
    <row r="271" spans="1:10" x14ac:dyDescent="0.25">
      <c r="A271" s="16"/>
      <c r="B271" s="16"/>
      <c r="C271" s="165"/>
      <c r="D271" s="165"/>
      <c r="E271" s="165"/>
      <c r="F271" s="165"/>
      <c r="G271" s="164"/>
      <c r="H271" s="164"/>
      <c r="I271" s="164"/>
      <c r="J271" s="164"/>
    </row>
    <row r="272" spans="1:10" x14ac:dyDescent="0.25">
      <c r="A272" s="16"/>
      <c r="B272" s="16"/>
      <c r="C272" s="165"/>
      <c r="D272" s="165"/>
      <c r="E272" s="165"/>
      <c r="F272" s="165"/>
      <c r="G272" s="164"/>
      <c r="H272" s="164"/>
      <c r="I272" s="164"/>
      <c r="J272" s="164"/>
    </row>
    <row r="273" spans="1:10" x14ac:dyDescent="0.25">
      <c r="A273" s="16"/>
      <c r="B273" s="16"/>
      <c r="C273" s="165"/>
      <c r="D273" s="165"/>
      <c r="E273" s="165"/>
      <c r="F273" s="165"/>
      <c r="G273" s="164"/>
      <c r="H273" s="164"/>
      <c r="I273" s="164"/>
      <c r="J273" s="164"/>
    </row>
    <row r="274" spans="1:10" x14ac:dyDescent="0.25">
      <c r="A274" s="16"/>
      <c r="B274" s="16"/>
      <c r="C274" s="165"/>
      <c r="D274" s="165"/>
      <c r="E274" s="165"/>
      <c r="F274" s="165"/>
      <c r="G274" s="164"/>
      <c r="H274" s="164"/>
      <c r="I274" s="164"/>
      <c r="J274" s="164"/>
    </row>
    <row r="275" spans="1:10" x14ac:dyDescent="0.25">
      <c r="A275" s="16"/>
      <c r="B275" s="16"/>
      <c r="C275" s="165"/>
      <c r="D275" s="165"/>
      <c r="E275" s="165"/>
      <c r="F275" s="165"/>
      <c r="G275" s="164"/>
      <c r="H275" s="164"/>
      <c r="I275" s="164"/>
      <c r="J275" s="164"/>
    </row>
    <row r="276" spans="1:10" x14ac:dyDescent="0.25">
      <c r="A276" s="16"/>
      <c r="B276" s="16"/>
      <c r="C276" s="165"/>
      <c r="D276" s="165"/>
      <c r="E276" s="165"/>
      <c r="F276" s="165"/>
      <c r="G276" s="164"/>
      <c r="H276" s="164"/>
      <c r="I276" s="164"/>
      <c r="J276" s="164"/>
    </row>
    <row r="277" spans="1:10" x14ac:dyDescent="0.25">
      <c r="A277" s="16"/>
      <c r="B277" s="16"/>
      <c r="C277" s="165"/>
      <c r="D277" s="165"/>
      <c r="E277" s="165"/>
      <c r="F277" s="165"/>
      <c r="G277" s="164"/>
      <c r="H277" s="164"/>
      <c r="I277" s="164"/>
      <c r="J277" s="164"/>
    </row>
    <row r="278" spans="1:10" x14ac:dyDescent="0.25">
      <c r="A278" s="16"/>
      <c r="B278" s="16"/>
      <c r="C278" s="165"/>
      <c r="D278" s="165"/>
      <c r="E278" s="165"/>
      <c r="F278" s="165"/>
      <c r="G278" s="164"/>
      <c r="H278" s="164"/>
      <c r="I278" s="164"/>
      <c r="J278" s="164"/>
    </row>
    <row r="279" spans="1:10" x14ac:dyDescent="0.25">
      <c r="A279" s="16"/>
      <c r="B279" s="16"/>
      <c r="C279" s="165"/>
      <c r="D279" s="165"/>
      <c r="E279" s="165"/>
      <c r="F279" s="165"/>
      <c r="G279" s="164"/>
      <c r="H279" s="164"/>
      <c r="I279" s="164"/>
      <c r="J279" s="164"/>
    </row>
    <row r="280" spans="1:10" x14ac:dyDescent="0.25">
      <c r="A280" s="16"/>
      <c r="B280" s="16"/>
      <c r="C280" s="165"/>
      <c r="D280" s="165"/>
      <c r="E280" s="165"/>
      <c r="F280" s="165"/>
      <c r="G280" s="164"/>
      <c r="H280" s="164"/>
      <c r="I280" s="164"/>
      <c r="J280" s="164"/>
    </row>
    <row r="281" spans="1:10" x14ac:dyDescent="0.25">
      <c r="A281" s="16"/>
      <c r="B281" s="16"/>
      <c r="C281" s="165"/>
      <c r="D281" s="165"/>
      <c r="E281" s="165"/>
      <c r="F281" s="165"/>
      <c r="G281" s="164"/>
      <c r="H281" s="164"/>
      <c r="I281" s="164"/>
      <c r="J281" s="164"/>
    </row>
    <row r="282" spans="1:10" x14ac:dyDescent="0.25">
      <c r="A282" s="16"/>
      <c r="B282" s="16"/>
      <c r="C282" s="165"/>
      <c r="D282" s="165"/>
      <c r="E282" s="165"/>
      <c r="F282" s="165"/>
      <c r="G282" s="164"/>
      <c r="H282" s="164"/>
      <c r="I282" s="164"/>
      <c r="J282" s="164"/>
    </row>
    <row r="283" spans="1:10" x14ac:dyDescent="0.25">
      <c r="A283" s="16"/>
      <c r="B283" s="16"/>
      <c r="C283" s="165"/>
      <c r="D283" s="165"/>
      <c r="E283" s="165"/>
      <c r="F283" s="165"/>
      <c r="G283" s="164"/>
      <c r="H283" s="164"/>
      <c r="I283" s="164"/>
      <c r="J283" s="164"/>
    </row>
    <row r="284" spans="1:10" x14ac:dyDescent="0.25">
      <c r="A284" s="16"/>
      <c r="B284" s="16"/>
      <c r="C284" s="165"/>
      <c r="D284" s="165"/>
      <c r="E284" s="165"/>
      <c r="F284" s="165"/>
      <c r="G284" s="164"/>
      <c r="H284" s="164"/>
      <c r="I284" s="164"/>
      <c r="J284" s="164"/>
    </row>
    <row r="285" spans="1:10" x14ac:dyDescent="0.25">
      <c r="A285" s="16"/>
      <c r="B285" s="16"/>
      <c r="C285" s="165"/>
      <c r="D285" s="165"/>
      <c r="E285" s="165"/>
      <c r="F285" s="165"/>
      <c r="G285" s="164"/>
      <c r="H285" s="164"/>
      <c r="I285" s="164"/>
      <c r="J285" s="164"/>
    </row>
    <row r="286" spans="1:10" x14ac:dyDescent="0.25">
      <c r="A286" s="16"/>
      <c r="B286" s="16"/>
      <c r="C286" s="165"/>
      <c r="D286" s="165"/>
      <c r="E286" s="165"/>
      <c r="F286" s="165"/>
      <c r="G286" s="164"/>
      <c r="H286" s="164"/>
      <c r="I286" s="164"/>
      <c r="J286" s="164"/>
    </row>
    <row r="287" spans="1:10" x14ac:dyDescent="0.25">
      <c r="A287" s="16"/>
      <c r="B287" s="16"/>
      <c r="C287" s="165"/>
      <c r="D287" s="165"/>
      <c r="E287" s="165"/>
      <c r="F287" s="165"/>
      <c r="G287" s="164"/>
      <c r="H287" s="164"/>
      <c r="I287" s="164"/>
      <c r="J287" s="164"/>
    </row>
    <row r="288" spans="1:10" x14ac:dyDescent="0.25">
      <c r="A288" s="16"/>
      <c r="B288" s="16"/>
      <c r="C288" s="165"/>
      <c r="D288" s="165"/>
      <c r="E288" s="165"/>
      <c r="F288" s="165"/>
      <c r="G288" s="164"/>
      <c r="H288" s="164"/>
      <c r="I288" s="164"/>
      <c r="J288" s="164"/>
    </row>
    <row r="289" spans="1:10" x14ac:dyDescent="0.25">
      <c r="A289" s="16"/>
      <c r="B289" s="16"/>
      <c r="C289" s="165"/>
      <c r="D289" s="165"/>
      <c r="E289" s="165"/>
      <c r="F289" s="165"/>
      <c r="G289" s="164"/>
      <c r="H289" s="164"/>
      <c r="I289" s="164"/>
      <c r="J289" s="164"/>
    </row>
    <row r="290" spans="1:10" x14ac:dyDescent="0.25">
      <c r="A290" s="16"/>
      <c r="B290" s="16"/>
      <c r="C290" s="165"/>
      <c r="D290" s="165"/>
      <c r="E290" s="165"/>
      <c r="F290" s="165"/>
      <c r="G290" s="164"/>
      <c r="H290" s="164"/>
      <c r="I290" s="164"/>
      <c r="J290" s="164"/>
    </row>
    <row r="291" spans="1:10" x14ac:dyDescent="0.25">
      <c r="A291" s="16"/>
      <c r="B291" s="16"/>
      <c r="C291" s="165"/>
      <c r="D291" s="165"/>
      <c r="E291" s="165"/>
      <c r="F291" s="165"/>
      <c r="G291" s="164"/>
      <c r="H291" s="164"/>
      <c r="I291" s="164"/>
      <c r="J291" s="164"/>
    </row>
    <row r="292" spans="1:10" x14ac:dyDescent="0.25">
      <c r="A292" s="16"/>
      <c r="B292" s="16"/>
      <c r="C292" s="165"/>
      <c r="D292" s="165"/>
      <c r="E292" s="165"/>
      <c r="F292" s="165"/>
      <c r="G292" s="164"/>
      <c r="H292" s="164"/>
      <c r="I292" s="164"/>
      <c r="J292" s="164"/>
    </row>
    <row r="293" spans="1:10" x14ac:dyDescent="0.25">
      <c r="A293" s="16"/>
      <c r="B293" s="16"/>
      <c r="C293" s="165"/>
      <c r="D293" s="165"/>
      <c r="E293" s="165"/>
      <c r="F293" s="165"/>
      <c r="G293" s="164"/>
      <c r="H293" s="164"/>
      <c r="I293" s="164"/>
      <c r="J293" s="164"/>
    </row>
    <row r="294" spans="1:10" x14ac:dyDescent="0.25">
      <c r="A294" s="16"/>
      <c r="B294" s="16"/>
      <c r="C294" s="165"/>
      <c r="D294" s="165"/>
      <c r="E294" s="165"/>
      <c r="F294" s="165"/>
      <c r="G294" s="164"/>
      <c r="H294" s="164"/>
      <c r="I294" s="164"/>
      <c r="J294" s="164"/>
    </row>
    <row r="295" spans="1:10" x14ac:dyDescent="0.25">
      <c r="A295" s="16"/>
      <c r="B295" s="16"/>
      <c r="C295" s="165"/>
      <c r="D295" s="165"/>
      <c r="E295" s="165"/>
      <c r="F295" s="165"/>
      <c r="G295" s="164"/>
      <c r="H295" s="164"/>
      <c r="I295" s="164"/>
      <c r="J295" s="164"/>
    </row>
    <row r="296" spans="1:10" x14ac:dyDescent="0.25">
      <c r="A296" s="16"/>
      <c r="B296" s="16"/>
      <c r="C296" s="165"/>
      <c r="D296" s="165"/>
      <c r="E296" s="165"/>
      <c r="F296" s="165"/>
      <c r="G296" s="164"/>
      <c r="H296" s="164"/>
      <c r="I296" s="164"/>
      <c r="J296" s="164"/>
    </row>
    <row r="297" spans="1:10" x14ac:dyDescent="0.25">
      <c r="A297" s="16"/>
      <c r="B297" s="16"/>
      <c r="C297" s="165"/>
      <c r="D297" s="165"/>
      <c r="E297" s="165"/>
      <c r="F297" s="165"/>
      <c r="G297" s="164"/>
      <c r="H297" s="164"/>
      <c r="I297" s="164"/>
      <c r="J297" s="164"/>
    </row>
    <row r="298" spans="1:10" x14ac:dyDescent="0.25">
      <c r="A298" s="16"/>
      <c r="B298" s="16"/>
      <c r="C298" s="165"/>
      <c r="D298" s="165"/>
      <c r="E298" s="165"/>
      <c r="F298" s="165"/>
      <c r="G298" s="164"/>
      <c r="H298" s="164"/>
      <c r="I298" s="164"/>
      <c r="J298" s="164"/>
    </row>
    <row r="299" spans="1:10" x14ac:dyDescent="0.25">
      <c r="A299" s="16"/>
      <c r="B299" s="16"/>
      <c r="C299" s="165"/>
      <c r="D299" s="165"/>
      <c r="E299" s="165"/>
      <c r="F299" s="165"/>
      <c r="G299" s="164"/>
      <c r="H299" s="164"/>
      <c r="I299" s="164"/>
      <c r="J299" s="164"/>
    </row>
    <row r="300" spans="1:10" x14ac:dyDescent="0.25">
      <c r="A300" s="16"/>
      <c r="B300" s="16"/>
      <c r="C300" s="165"/>
      <c r="D300" s="165"/>
      <c r="E300" s="165"/>
      <c r="F300" s="165"/>
      <c r="G300" s="164"/>
      <c r="H300" s="164"/>
      <c r="I300" s="164"/>
      <c r="J300" s="164"/>
    </row>
    <row r="301" spans="1:10" x14ac:dyDescent="0.25">
      <c r="A301" s="16"/>
      <c r="B301" s="16"/>
      <c r="C301" s="165"/>
      <c r="D301" s="165"/>
      <c r="E301" s="165"/>
      <c r="F301" s="165"/>
      <c r="G301" s="164"/>
      <c r="H301" s="164"/>
      <c r="I301" s="164"/>
      <c r="J301" s="164"/>
    </row>
    <row r="302" spans="1:10" x14ac:dyDescent="0.25">
      <c r="A302" s="16"/>
      <c r="B302" s="16"/>
      <c r="C302" s="165"/>
      <c r="D302" s="165"/>
      <c r="E302" s="165"/>
      <c r="F302" s="165"/>
      <c r="G302" s="164"/>
      <c r="H302" s="164"/>
      <c r="I302" s="164"/>
      <c r="J302" s="164"/>
    </row>
    <row r="303" spans="1:10" x14ac:dyDescent="0.25">
      <c r="A303" s="16"/>
      <c r="B303" s="16"/>
      <c r="C303" s="165"/>
      <c r="D303" s="165"/>
      <c r="E303" s="165"/>
      <c r="F303" s="165"/>
      <c r="G303" s="164"/>
      <c r="H303" s="164"/>
      <c r="I303" s="164"/>
      <c r="J303" s="164"/>
    </row>
    <row r="304" spans="1:10" x14ac:dyDescent="0.25">
      <c r="A304" s="16"/>
      <c r="B304" s="16"/>
      <c r="C304" s="165"/>
      <c r="D304" s="165"/>
      <c r="E304" s="165"/>
      <c r="F304" s="165"/>
      <c r="G304" s="164"/>
      <c r="H304" s="164"/>
      <c r="I304" s="164"/>
      <c r="J304" s="164"/>
    </row>
    <row r="305" spans="1:10" x14ac:dyDescent="0.25">
      <c r="A305" s="16"/>
      <c r="B305" s="16"/>
      <c r="C305" s="165"/>
      <c r="D305" s="165"/>
      <c r="E305" s="165"/>
      <c r="F305" s="165"/>
      <c r="G305" s="164"/>
      <c r="H305" s="164"/>
      <c r="I305" s="164"/>
      <c r="J305" s="164"/>
    </row>
    <row r="306" spans="1:10" x14ac:dyDescent="0.25">
      <c r="A306" s="16"/>
      <c r="B306" s="16"/>
      <c r="C306" s="165"/>
      <c r="D306" s="165"/>
      <c r="E306" s="165"/>
      <c r="F306" s="165"/>
      <c r="G306" s="164"/>
      <c r="H306" s="164"/>
      <c r="I306" s="164"/>
      <c r="J306" s="164"/>
    </row>
    <row r="307" spans="1:10" x14ac:dyDescent="0.25">
      <c r="A307" s="16"/>
      <c r="B307" s="16"/>
      <c r="C307" s="165"/>
      <c r="D307" s="165"/>
      <c r="E307" s="165"/>
      <c r="F307" s="165"/>
      <c r="G307" s="164"/>
      <c r="H307" s="164"/>
      <c r="I307" s="164"/>
      <c r="J307" s="164"/>
    </row>
    <row r="308" spans="1:10" x14ac:dyDescent="0.25">
      <c r="A308" s="16"/>
      <c r="B308" s="16"/>
      <c r="C308" s="165"/>
      <c r="D308" s="165"/>
      <c r="E308" s="165"/>
      <c r="F308" s="165"/>
      <c r="G308" s="164"/>
      <c r="H308" s="164"/>
      <c r="I308" s="164"/>
      <c r="J308" s="164"/>
    </row>
    <row r="309" spans="1:10" x14ac:dyDescent="0.25">
      <c r="A309" s="16"/>
      <c r="B309" s="16"/>
      <c r="C309" s="165"/>
      <c r="D309" s="165"/>
      <c r="E309" s="165"/>
      <c r="F309" s="165"/>
      <c r="G309" s="164"/>
      <c r="H309" s="164"/>
      <c r="I309" s="164"/>
      <c r="J309" s="164"/>
    </row>
    <row r="310" spans="1:10" x14ac:dyDescent="0.25">
      <c r="A310" s="16"/>
      <c r="B310" s="16"/>
      <c r="C310" s="165"/>
      <c r="D310" s="165"/>
      <c r="E310" s="165"/>
      <c r="F310" s="165"/>
      <c r="G310" s="164"/>
      <c r="H310" s="164"/>
      <c r="I310" s="164"/>
      <c r="J310" s="164"/>
    </row>
    <row r="311" spans="1:10" x14ac:dyDescent="0.25">
      <c r="A311" s="16"/>
      <c r="B311" s="16"/>
      <c r="C311" s="165"/>
      <c r="D311" s="165"/>
      <c r="E311" s="165"/>
      <c r="F311" s="165"/>
      <c r="G311" s="164"/>
      <c r="H311" s="164"/>
      <c r="I311" s="164"/>
      <c r="J311" s="164"/>
    </row>
    <row r="312" spans="1:10" x14ac:dyDescent="0.25">
      <c r="A312" s="16"/>
      <c r="B312" s="16"/>
      <c r="C312" s="165"/>
      <c r="D312" s="165"/>
      <c r="E312" s="165"/>
      <c r="F312" s="165"/>
      <c r="G312" s="164"/>
      <c r="H312" s="164"/>
      <c r="I312" s="164"/>
      <c r="J312" s="164"/>
    </row>
    <row r="313" spans="1:10" x14ac:dyDescent="0.25">
      <c r="A313" s="16"/>
      <c r="B313" s="16"/>
      <c r="C313" s="165"/>
      <c r="D313" s="165"/>
      <c r="E313" s="165"/>
      <c r="F313" s="165"/>
      <c r="G313" s="164"/>
      <c r="H313" s="164"/>
      <c r="I313" s="164"/>
      <c r="J313" s="164"/>
    </row>
    <row r="314" spans="1:10" x14ac:dyDescent="0.25">
      <c r="A314" s="16"/>
      <c r="B314" s="16"/>
      <c r="C314" s="165"/>
      <c r="D314" s="165"/>
      <c r="E314" s="165"/>
      <c r="F314" s="165"/>
      <c r="G314" s="164"/>
      <c r="H314" s="164"/>
      <c r="I314" s="164"/>
      <c r="J314" s="164"/>
    </row>
    <row r="315" spans="1:10" x14ac:dyDescent="0.25">
      <c r="A315" s="16"/>
      <c r="B315" s="16"/>
      <c r="C315" s="165"/>
      <c r="D315" s="165"/>
      <c r="E315" s="165"/>
      <c r="F315" s="165"/>
      <c r="G315" s="164"/>
      <c r="H315" s="164"/>
      <c r="I315" s="164"/>
      <c r="J315" s="164"/>
    </row>
    <row r="316" spans="1:10" x14ac:dyDescent="0.25">
      <c r="A316" s="16"/>
      <c r="B316" s="16"/>
      <c r="C316" s="165"/>
      <c r="D316" s="165"/>
      <c r="E316" s="165"/>
      <c r="F316" s="165"/>
      <c r="G316" s="164"/>
      <c r="H316" s="164"/>
      <c r="I316" s="164"/>
      <c r="J316" s="164"/>
    </row>
    <row r="317" spans="1:10" x14ac:dyDescent="0.25">
      <c r="A317" s="16"/>
      <c r="B317" s="16"/>
      <c r="C317" s="165"/>
      <c r="D317" s="165"/>
      <c r="E317" s="165"/>
      <c r="F317" s="165"/>
      <c r="G317" s="164"/>
      <c r="H317" s="164"/>
      <c r="I317" s="164"/>
      <c r="J317" s="164"/>
    </row>
    <row r="318" spans="1:10" x14ac:dyDescent="0.25">
      <c r="A318" s="16"/>
      <c r="B318" s="16"/>
      <c r="C318" s="165"/>
      <c r="D318" s="165"/>
      <c r="E318" s="165"/>
      <c r="F318" s="165"/>
      <c r="G318" s="164"/>
      <c r="H318" s="164"/>
      <c r="I318" s="164"/>
      <c r="J318" s="164"/>
    </row>
    <row r="319" spans="1:10" x14ac:dyDescent="0.25">
      <c r="A319" s="16"/>
      <c r="B319" s="16"/>
      <c r="C319" s="165"/>
      <c r="D319" s="165"/>
      <c r="E319" s="165"/>
      <c r="F319" s="165"/>
      <c r="G319" s="164"/>
      <c r="H319" s="164"/>
      <c r="I319" s="164"/>
      <c r="J319" s="164"/>
    </row>
    <row r="320" spans="1:10" x14ac:dyDescent="0.25">
      <c r="A320" s="16"/>
      <c r="B320" s="16"/>
      <c r="C320" s="165"/>
      <c r="D320" s="165"/>
      <c r="E320" s="165"/>
      <c r="F320" s="165"/>
      <c r="G320" s="164"/>
      <c r="H320" s="164"/>
      <c r="I320" s="164"/>
      <c r="J320" s="164"/>
    </row>
    <row r="321" spans="1:10" x14ac:dyDescent="0.25">
      <c r="A321" s="16"/>
      <c r="B321" s="16"/>
      <c r="C321" s="165"/>
      <c r="D321" s="165"/>
      <c r="E321" s="165"/>
      <c r="F321" s="165"/>
      <c r="G321" s="164"/>
      <c r="H321" s="164"/>
      <c r="I321" s="164"/>
      <c r="J321" s="164"/>
    </row>
    <row r="322" spans="1:10" x14ac:dyDescent="0.25">
      <c r="A322" s="16"/>
      <c r="B322" s="16"/>
      <c r="C322" s="165"/>
      <c r="D322" s="165"/>
      <c r="E322" s="165"/>
      <c r="F322" s="165"/>
      <c r="G322" s="164"/>
      <c r="H322" s="164"/>
      <c r="I322" s="164"/>
      <c r="J322" s="164"/>
    </row>
    <row r="323" spans="1:10" x14ac:dyDescent="0.25">
      <c r="A323" s="16"/>
      <c r="B323" s="16"/>
      <c r="C323" s="165"/>
      <c r="D323" s="165"/>
      <c r="E323" s="165"/>
      <c r="F323" s="165"/>
      <c r="G323" s="164"/>
      <c r="H323" s="164"/>
      <c r="I323" s="164"/>
      <c r="J323" s="164"/>
    </row>
    <row r="324" spans="1:10" x14ac:dyDescent="0.25">
      <c r="A324" s="16"/>
      <c r="B324" s="16"/>
      <c r="C324" s="165"/>
      <c r="D324" s="165"/>
      <c r="E324" s="165"/>
      <c r="F324" s="165"/>
      <c r="G324" s="164"/>
      <c r="H324" s="164"/>
      <c r="I324" s="164"/>
      <c r="J324" s="164"/>
    </row>
    <row r="325" spans="1:10" x14ac:dyDescent="0.25">
      <c r="A325" s="16"/>
      <c r="B325" s="16"/>
      <c r="C325" s="165"/>
      <c r="D325" s="165"/>
      <c r="E325" s="165"/>
      <c r="F325" s="165"/>
      <c r="G325" s="164"/>
      <c r="H325" s="164"/>
      <c r="I325" s="164"/>
      <c r="J325" s="164"/>
    </row>
    <row r="326" spans="1:10" x14ac:dyDescent="0.25">
      <c r="A326" s="16"/>
      <c r="B326" s="16"/>
      <c r="C326" s="165"/>
      <c r="D326" s="165"/>
      <c r="E326" s="165"/>
      <c r="F326" s="165"/>
      <c r="G326" s="164"/>
      <c r="H326" s="164"/>
      <c r="I326" s="164"/>
      <c r="J326" s="164"/>
    </row>
    <row r="327" spans="1:10" x14ac:dyDescent="0.25">
      <c r="A327" s="16"/>
      <c r="B327" s="16"/>
      <c r="C327" s="165"/>
      <c r="D327" s="165"/>
      <c r="E327" s="165"/>
      <c r="F327" s="165"/>
      <c r="G327" s="164"/>
      <c r="H327" s="164"/>
      <c r="I327" s="164"/>
      <c r="J327" s="164"/>
    </row>
    <row r="328" spans="1:10" x14ac:dyDescent="0.25">
      <c r="A328" s="16"/>
      <c r="B328" s="16"/>
      <c r="C328" s="165"/>
      <c r="D328" s="165"/>
      <c r="E328" s="165"/>
      <c r="F328" s="165"/>
      <c r="G328" s="164"/>
      <c r="H328" s="164"/>
      <c r="I328" s="164"/>
      <c r="J328" s="164"/>
    </row>
    <row r="329" spans="1:10" x14ac:dyDescent="0.25">
      <c r="A329" s="16"/>
      <c r="B329" s="16"/>
      <c r="C329" s="165"/>
      <c r="D329" s="165"/>
      <c r="E329" s="165"/>
      <c r="F329" s="165"/>
      <c r="G329" s="164"/>
      <c r="H329" s="164"/>
      <c r="I329" s="164"/>
      <c r="J329" s="164"/>
    </row>
    <row r="330" spans="1:10" x14ac:dyDescent="0.25">
      <c r="A330" s="16"/>
      <c r="B330" s="16"/>
      <c r="C330" s="165"/>
      <c r="D330" s="165"/>
      <c r="E330" s="165"/>
      <c r="F330" s="165"/>
      <c r="G330" s="164"/>
      <c r="H330" s="164"/>
      <c r="I330" s="164"/>
      <c r="J330" s="164"/>
    </row>
    <row r="331" spans="1:10" x14ac:dyDescent="0.25">
      <c r="A331" s="16"/>
      <c r="B331" s="16"/>
      <c r="C331" s="165"/>
      <c r="D331" s="165"/>
      <c r="E331" s="165"/>
      <c r="F331" s="165"/>
      <c r="G331" s="164"/>
      <c r="H331" s="164"/>
      <c r="I331" s="164"/>
      <c r="J331" s="164"/>
    </row>
    <row r="332" spans="1:10" x14ac:dyDescent="0.25">
      <c r="A332" s="16"/>
      <c r="B332" s="16"/>
      <c r="C332" s="165"/>
      <c r="D332" s="165"/>
      <c r="E332" s="165"/>
      <c r="F332" s="165"/>
      <c r="G332" s="164"/>
      <c r="H332" s="164"/>
      <c r="I332" s="164"/>
      <c r="J332" s="164"/>
    </row>
    <row r="333" spans="1:10" x14ac:dyDescent="0.25">
      <c r="A333" s="16"/>
      <c r="B333" s="16"/>
      <c r="C333" s="165"/>
      <c r="D333" s="165"/>
      <c r="E333" s="165"/>
      <c r="F333" s="165"/>
      <c r="G333" s="164"/>
      <c r="H333" s="164"/>
      <c r="I333" s="164"/>
      <c r="J333" s="164"/>
    </row>
    <row r="334" spans="1:10" x14ac:dyDescent="0.25">
      <c r="A334" s="16"/>
      <c r="B334" s="16"/>
      <c r="C334" s="165"/>
      <c r="D334" s="165"/>
      <c r="E334" s="165"/>
      <c r="F334" s="165"/>
      <c r="G334" s="164"/>
      <c r="H334" s="164"/>
      <c r="I334" s="164"/>
      <c r="J334" s="164"/>
    </row>
    <row r="335" spans="1:10" x14ac:dyDescent="0.25">
      <c r="A335" s="16"/>
      <c r="B335" s="16"/>
      <c r="C335" s="165"/>
      <c r="D335" s="165"/>
      <c r="E335" s="165"/>
      <c r="F335" s="165"/>
      <c r="G335" s="164"/>
      <c r="H335" s="164"/>
      <c r="I335" s="164"/>
      <c r="J335" s="164"/>
    </row>
    <row r="336" spans="1:10" x14ac:dyDescent="0.25">
      <c r="A336" s="16"/>
      <c r="B336" s="16"/>
      <c r="C336" s="165"/>
      <c r="D336" s="165"/>
      <c r="E336" s="165"/>
      <c r="F336" s="165"/>
      <c r="G336" s="164"/>
      <c r="H336" s="164"/>
      <c r="I336" s="164"/>
      <c r="J336" s="164"/>
    </row>
    <row r="337" spans="1:10" x14ac:dyDescent="0.25">
      <c r="A337" s="16"/>
      <c r="B337" s="16"/>
      <c r="C337" s="165"/>
      <c r="D337" s="165"/>
      <c r="E337" s="165"/>
      <c r="F337" s="165"/>
      <c r="G337" s="164"/>
      <c r="H337" s="164"/>
      <c r="I337" s="164"/>
      <c r="J337" s="164"/>
    </row>
    <row r="338" spans="1:10" x14ac:dyDescent="0.25">
      <c r="A338" s="16"/>
      <c r="B338" s="16"/>
      <c r="C338" s="165"/>
      <c r="D338" s="165"/>
      <c r="E338" s="165"/>
      <c r="F338" s="165"/>
      <c r="G338" s="164"/>
      <c r="H338" s="164"/>
      <c r="I338" s="164"/>
      <c r="J338" s="164"/>
    </row>
    <row r="339" spans="1:10" x14ac:dyDescent="0.25">
      <c r="A339" s="16"/>
      <c r="B339" s="16"/>
      <c r="C339" s="165"/>
      <c r="D339" s="165"/>
      <c r="E339" s="165"/>
      <c r="F339" s="165"/>
      <c r="G339" s="164"/>
      <c r="H339" s="164"/>
      <c r="I339" s="164"/>
      <c r="J339" s="164"/>
    </row>
    <row r="340" spans="1:10" x14ac:dyDescent="0.25">
      <c r="A340" s="16"/>
      <c r="B340" s="16"/>
      <c r="C340" s="165"/>
      <c r="D340" s="165"/>
      <c r="E340" s="165"/>
      <c r="F340" s="165"/>
      <c r="G340" s="164"/>
      <c r="H340" s="164"/>
      <c r="I340" s="164"/>
      <c r="J340" s="164"/>
    </row>
    <row r="341" spans="1:10" x14ac:dyDescent="0.25">
      <c r="A341" s="16"/>
      <c r="B341" s="16"/>
      <c r="C341" s="165"/>
      <c r="D341" s="165"/>
      <c r="E341" s="165"/>
      <c r="F341" s="165"/>
      <c r="G341" s="164"/>
      <c r="H341" s="164"/>
      <c r="I341" s="164"/>
      <c r="J341" s="164"/>
    </row>
    <row r="342" spans="1:10" x14ac:dyDescent="0.25">
      <c r="A342" s="16"/>
      <c r="B342" s="16"/>
      <c r="C342" s="165"/>
      <c r="D342" s="165"/>
      <c r="E342" s="165"/>
      <c r="F342" s="165"/>
      <c r="G342" s="164"/>
      <c r="H342" s="164"/>
      <c r="I342" s="164"/>
      <c r="J342" s="164"/>
    </row>
    <row r="343" spans="1:10" x14ac:dyDescent="0.25">
      <c r="A343" s="16"/>
      <c r="B343" s="16"/>
      <c r="C343" s="165"/>
      <c r="D343" s="165"/>
      <c r="E343" s="165"/>
      <c r="F343" s="165"/>
      <c r="G343" s="164"/>
      <c r="H343" s="164"/>
      <c r="I343" s="164"/>
      <c r="J343" s="164"/>
    </row>
    <row r="344" spans="1:10" x14ac:dyDescent="0.25">
      <c r="A344" s="16"/>
      <c r="B344" s="16"/>
      <c r="C344" s="165"/>
      <c r="D344" s="165"/>
      <c r="E344" s="165"/>
      <c r="F344" s="165"/>
      <c r="G344" s="164"/>
      <c r="H344" s="164"/>
      <c r="I344" s="164"/>
      <c r="J344" s="164"/>
    </row>
    <row r="345" spans="1:10" x14ac:dyDescent="0.25">
      <c r="A345" s="16"/>
      <c r="B345" s="16"/>
      <c r="C345" s="165"/>
      <c r="D345" s="165"/>
      <c r="E345" s="165"/>
      <c r="F345" s="165"/>
      <c r="G345" s="164"/>
      <c r="H345" s="164"/>
      <c r="I345" s="164"/>
      <c r="J345" s="164"/>
    </row>
    <row r="346" spans="1:10" x14ac:dyDescent="0.25">
      <c r="A346" s="16"/>
      <c r="B346" s="16"/>
      <c r="C346" s="165"/>
      <c r="D346" s="165"/>
      <c r="E346" s="165"/>
      <c r="F346" s="165"/>
      <c r="G346" s="164"/>
      <c r="H346" s="164"/>
      <c r="I346" s="164"/>
      <c r="J346" s="164"/>
    </row>
    <row r="347" spans="1:10" x14ac:dyDescent="0.25">
      <c r="A347" s="16"/>
      <c r="B347" s="16"/>
      <c r="C347" s="165"/>
      <c r="D347" s="165"/>
      <c r="E347" s="165"/>
      <c r="F347" s="165"/>
      <c r="G347" s="164"/>
      <c r="H347" s="164"/>
      <c r="I347" s="164"/>
      <c r="J347" s="164"/>
    </row>
    <row r="348" spans="1:10" x14ac:dyDescent="0.25">
      <c r="A348" s="16"/>
      <c r="B348" s="16"/>
      <c r="C348" s="165"/>
      <c r="D348" s="165"/>
      <c r="E348" s="165"/>
      <c r="F348" s="165"/>
      <c r="G348" s="164"/>
      <c r="H348" s="164"/>
      <c r="I348" s="164"/>
      <c r="J348" s="164"/>
    </row>
    <row r="349" spans="1:10" x14ac:dyDescent="0.25">
      <c r="A349" s="16"/>
      <c r="B349" s="16"/>
      <c r="C349" s="165"/>
      <c r="D349" s="165"/>
      <c r="E349" s="165"/>
      <c r="F349" s="165"/>
      <c r="G349" s="164"/>
      <c r="H349" s="164"/>
      <c r="I349" s="164"/>
      <c r="J349" s="164"/>
    </row>
    <row r="350" spans="1:10" x14ac:dyDescent="0.25">
      <c r="A350" s="16"/>
      <c r="B350" s="16"/>
      <c r="C350" s="165"/>
      <c r="D350" s="165"/>
      <c r="E350" s="165"/>
      <c r="F350" s="165"/>
      <c r="G350" s="164"/>
      <c r="H350" s="164"/>
      <c r="I350" s="164"/>
      <c r="J350" s="164"/>
    </row>
    <row r="351" spans="1:10" x14ac:dyDescent="0.25">
      <c r="A351" s="16"/>
      <c r="B351" s="16"/>
      <c r="C351" s="165"/>
      <c r="D351" s="165"/>
      <c r="E351" s="165"/>
      <c r="F351" s="165"/>
      <c r="G351" s="164"/>
      <c r="H351" s="164"/>
      <c r="I351" s="164"/>
      <c r="J351" s="164"/>
    </row>
    <row r="352" spans="1:10" x14ac:dyDescent="0.25">
      <c r="A352" s="16"/>
      <c r="B352" s="16"/>
      <c r="C352" s="165"/>
      <c r="D352" s="165"/>
      <c r="E352" s="165"/>
      <c r="F352" s="165"/>
      <c r="G352" s="164"/>
      <c r="H352" s="164"/>
      <c r="I352" s="164"/>
      <c r="J352" s="164"/>
    </row>
    <row r="353" spans="1:10" x14ac:dyDescent="0.25">
      <c r="A353" s="16"/>
      <c r="B353" s="16"/>
      <c r="C353" s="165"/>
      <c r="D353" s="165"/>
      <c r="E353" s="165"/>
      <c r="F353" s="165"/>
      <c r="G353" s="164"/>
      <c r="H353" s="164"/>
      <c r="I353" s="164"/>
      <c r="J353" s="164"/>
    </row>
    <row r="354" spans="1:10" x14ac:dyDescent="0.25">
      <c r="A354" s="16"/>
      <c r="B354" s="16"/>
      <c r="C354" s="165"/>
      <c r="D354" s="165"/>
      <c r="E354" s="165"/>
      <c r="F354" s="165"/>
      <c r="G354" s="164"/>
      <c r="H354" s="164"/>
      <c r="I354" s="164"/>
      <c r="J354" s="164"/>
    </row>
    <row r="355" spans="1:10" x14ac:dyDescent="0.25">
      <c r="A355" s="16"/>
      <c r="B355" s="16"/>
      <c r="C355" s="165"/>
      <c r="D355" s="165"/>
      <c r="E355" s="165"/>
      <c r="F355" s="165"/>
      <c r="G355" s="164"/>
      <c r="H355" s="164"/>
      <c r="I355" s="164"/>
      <c r="J355" s="164"/>
    </row>
    <row r="356" spans="1:10" x14ac:dyDescent="0.25">
      <c r="A356" s="16"/>
      <c r="B356" s="16"/>
      <c r="C356" s="165"/>
      <c r="D356" s="165"/>
      <c r="E356" s="165"/>
      <c r="F356" s="165"/>
      <c r="G356" s="164"/>
      <c r="H356" s="164"/>
      <c r="I356" s="164"/>
      <c r="J356" s="164"/>
    </row>
    <row r="357" spans="1:10" x14ac:dyDescent="0.25">
      <c r="A357" s="16"/>
      <c r="B357" s="16"/>
      <c r="C357" s="165"/>
      <c r="D357" s="165"/>
      <c r="E357" s="165"/>
      <c r="F357" s="165"/>
      <c r="G357" s="164"/>
      <c r="H357" s="164"/>
      <c r="I357" s="164"/>
      <c r="J357" s="164"/>
    </row>
    <row r="358" spans="1:10" x14ac:dyDescent="0.25">
      <c r="A358" s="16"/>
      <c r="B358" s="16"/>
      <c r="C358" s="165"/>
      <c r="D358" s="165"/>
      <c r="E358" s="165"/>
      <c r="F358" s="165"/>
      <c r="G358" s="164"/>
      <c r="H358" s="164"/>
      <c r="I358" s="164"/>
      <c r="J358" s="164"/>
    </row>
    <row r="359" spans="1:10" x14ac:dyDescent="0.25">
      <c r="A359" s="16"/>
      <c r="B359" s="16"/>
      <c r="C359" s="165"/>
      <c r="D359" s="165"/>
      <c r="E359" s="165"/>
      <c r="F359" s="165"/>
      <c r="G359" s="164"/>
      <c r="H359" s="164"/>
      <c r="I359" s="164"/>
      <c r="J359" s="164"/>
    </row>
    <row r="360" spans="1:10" x14ac:dyDescent="0.25">
      <c r="A360" s="16"/>
      <c r="B360" s="16"/>
      <c r="C360" s="165"/>
      <c r="D360" s="165"/>
      <c r="E360" s="165"/>
      <c r="F360" s="165"/>
      <c r="G360" s="164"/>
      <c r="H360" s="164"/>
      <c r="I360" s="164"/>
      <c r="J360" s="164"/>
    </row>
    <row r="361" spans="1:10" x14ac:dyDescent="0.25">
      <c r="A361" s="16"/>
      <c r="B361" s="16"/>
      <c r="C361" s="165"/>
      <c r="D361" s="165"/>
      <c r="E361" s="165"/>
      <c r="F361" s="165"/>
      <c r="G361" s="164"/>
      <c r="H361" s="164"/>
      <c r="I361" s="164"/>
      <c r="J361" s="164"/>
    </row>
    <row r="362" spans="1:10" x14ac:dyDescent="0.25">
      <c r="A362" s="16"/>
      <c r="B362" s="16"/>
      <c r="C362" s="165"/>
      <c r="D362" s="165"/>
      <c r="E362" s="165"/>
      <c r="F362" s="165"/>
      <c r="G362" s="164"/>
      <c r="H362" s="164"/>
      <c r="I362" s="164"/>
      <c r="J362" s="164"/>
    </row>
    <row r="363" spans="1:10" x14ac:dyDescent="0.25">
      <c r="A363" s="16"/>
      <c r="B363" s="16"/>
      <c r="C363" s="165"/>
      <c r="D363" s="165"/>
      <c r="E363" s="165"/>
      <c r="F363" s="165"/>
      <c r="G363" s="164"/>
      <c r="H363" s="164"/>
      <c r="I363" s="164"/>
      <c r="J363" s="164"/>
    </row>
    <row r="364" spans="1:10" x14ac:dyDescent="0.25">
      <c r="A364" s="16"/>
      <c r="B364" s="16"/>
      <c r="C364" s="165"/>
      <c r="D364" s="165"/>
      <c r="E364" s="165"/>
      <c r="F364" s="165"/>
      <c r="G364" s="164"/>
      <c r="H364" s="164"/>
      <c r="I364" s="164"/>
      <c r="J364" s="164"/>
    </row>
    <row r="365" spans="1:10" x14ac:dyDescent="0.25">
      <c r="A365" s="16"/>
      <c r="B365" s="16"/>
      <c r="C365" s="165"/>
      <c r="D365" s="165"/>
      <c r="E365" s="165"/>
      <c r="F365" s="165"/>
      <c r="G365" s="164"/>
      <c r="H365" s="164"/>
      <c r="I365" s="164"/>
      <c r="J365" s="164"/>
    </row>
    <row r="366" spans="1:10" x14ac:dyDescent="0.25">
      <c r="A366" s="16"/>
      <c r="B366" s="16"/>
      <c r="C366" s="165"/>
      <c r="D366" s="165"/>
      <c r="E366" s="165"/>
      <c r="F366" s="165"/>
      <c r="G366" s="164"/>
      <c r="H366" s="164"/>
      <c r="I366" s="164"/>
      <c r="J366" s="164"/>
    </row>
    <row r="367" spans="1:10" x14ac:dyDescent="0.25">
      <c r="A367" s="16"/>
      <c r="B367" s="16"/>
      <c r="C367" s="165"/>
      <c r="D367" s="165"/>
      <c r="E367" s="165"/>
      <c r="F367" s="165"/>
      <c r="G367" s="164"/>
      <c r="H367" s="164"/>
      <c r="I367" s="164"/>
      <c r="J367" s="164"/>
    </row>
    <row r="368" spans="1:10" x14ac:dyDescent="0.25">
      <c r="A368" s="16"/>
      <c r="B368" s="16"/>
      <c r="C368" s="165"/>
      <c r="D368" s="165"/>
      <c r="E368" s="165"/>
      <c r="F368" s="165"/>
      <c r="G368" s="164"/>
      <c r="H368" s="164"/>
      <c r="I368" s="164"/>
      <c r="J368" s="164"/>
    </row>
    <row r="369" spans="1:10" x14ac:dyDescent="0.25">
      <c r="A369" s="16"/>
      <c r="B369" s="16"/>
      <c r="C369" s="165"/>
      <c r="D369" s="165"/>
      <c r="E369" s="165"/>
      <c r="F369" s="165"/>
      <c r="G369" s="164"/>
      <c r="H369" s="164"/>
      <c r="I369" s="164"/>
      <c r="J369" s="164"/>
    </row>
    <row r="370" spans="1:10" x14ac:dyDescent="0.25">
      <c r="A370" s="16"/>
      <c r="B370" s="16"/>
      <c r="C370" s="165"/>
      <c r="D370" s="165"/>
      <c r="E370" s="165"/>
      <c r="F370" s="165"/>
      <c r="G370" s="164"/>
      <c r="H370" s="164"/>
      <c r="I370" s="164"/>
      <c r="J370" s="164"/>
    </row>
    <row r="371" spans="1:10" x14ac:dyDescent="0.25">
      <c r="A371" s="16"/>
      <c r="B371" s="16"/>
      <c r="C371" s="165"/>
      <c r="D371" s="165"/>
      <c r="E371" s="165"/>
      <c r="F371" s="165"/>
      <c r="G371" s="164"/>
      <c r="H371" s="164"/>
      <c r="I371" s="164"/>
      <c r="J371" s="164"/>
    </row>
    <row r="372" spans="1:10" x14ac:dyDescent="0.25">
      <c r="A372" s="16"/>
      <c r="B372" s="16"/>
      <c r="C372" s="165"/>
      <c r="D372" s="165"/>
      <c r="E372" s="165"/>
      <c r="F372" s="165"/>
      <c r="G372" s="164"/>
      <c r="H372" s="164"/>
      <c r="I372" s="164"/>
      <c r="J372" s="164"/>
    </row>
    <row r="373" spans="1:10" x14ac:dyDescent="0.25">
      <c r="A373" s="16"/>
      <c r="B373" s="16"/>
      <c r="C373" s="165"/>
      <c r="D373" s="165"/>
      <c r="E373" s="165"/>
      <c r="F373" s="165"/>
      <c r="G373" s="164"/>
      <c r="H373" s="164"/>
      <c r="I373" s="164"/>
      <c r="J373" s="164"/>
    </row>
    <row r="374" spans="1:10" x14ac:dyDescent="0.25">
      <c r="A374" s="16"/>
      <c r="B374" s="16"/>
      <c r="C374" s="165"/>
      <c r="D374" s="165"/>
      <c r="E374" s="165"/>
      <c r="F374" s="165"/>
      <c r="G374" s="164"/>
      <c r="H374" s="164"/>
      <c r="I374" s="164"/>
      <c r="J374" s="164"/>
    </row>
    <row r="375" spans="1:10" x14ac:dyDescent="0.25">
      <c r="A375" s="16"/>
      <c r="B375" s="16"/>
      <c r="C375" s="165"/>
      <c r="D375" s="165"/>
      <c r="E375" s="165"/>
      <c r="F375" s="165"/>
      <c r="G375" s="164"/>
      <c r="H375" s="164"/>
      <c r="I375" s="164"/>
      <c r="J375" s="164"/>
    </row>
    <row r="376" spans="1:10" x14ac:dyDescent="0.25">
      <c r="A376" s="16"/>
      <c r="B376" s="16"/>
      <c r="C376" s="165"/>
      <c r="D376" s="165"/>
      <c r="E376" s="165"/>
      <c r="F376" s="165"/>
      <c r="G376" s="164"/>
      <c r="H376" s="164"/>
      <c r="I376" s="164"/>
      <c r="J376" s="164"/>
    </row>
    <row r="377" spans="1:10" x14ac:dyDescent="0.25">
      <c r="A377" s="16"/>
      <c r="B377" s="16"/>
      <c r="C377" s="165"/>
      <c r="D377" s="165"/>
      <c r="E377" s="165"/>
      <c r="F377" s="165"/>
      <c r="G377" s="164"/>
      <c r="H377" s="164"/>
      <c r="I377" s="164"/>
      <c r="J377" s="164"/>
    </row>
    <row r="378" spans="1:10" x14ac:dyDescent="0.25">
      <c r="A378" s="16"/>
      <c r="B378" s="16"/>
      <c r="C378" s="165"/>
      <c r="D378" s="165"/>
      <c r="E378" s="165"/>
      <c r="F378" s="165"/>
      <c r="G378" s="164"/>
      <c r="H378" s="164"/>
      <c r="I378" s="164"/>
      <c r="J378" s="164"/>
    </row>
    <row r="379" spans="1:10" x14ac:dyDescent="0.25">
      <c r="A379" s="16"/>
      <c r="B379" s="16"/>
      <c r="C379" s="165"/>
      <c r="D379" s="165"/>
      <c r="E379" s="165"/>
      <c r="F379" s="165"/>
      <c r="G379" s="164"/>
      <c r="H379" s="164"/>
      <c r="I379" s="164"/>
      <c r="J379" s="164"/>
    </row>
    <row r="380" spans="1:10" x14ac:dyDescent="0.25">
      <c r="A380" s="16"/>
      <c r="B380" s="16"/>
      <c r="C380" s="165"/>
      <c r="D380" s="165"/>
      <c r="E380" s="165"/>
      <c r="F380" s="165"/>
      <c r="G380" s="164"/>
      <c r="H380" s="164"/>
      <c r="I380" s="164"/>
      <c r="J380" s="164"/>
    </row>
    <row r="381" spans="1:10" x14ac:dyDescent="0.25">
      <c r="A381" s="16"/>
      <c r="B381" s="16"/>
      <c r="C381" s="165"/>
      <c r="D381" s="165"/>
      <c r="E381" s="165"/>
      <c r="F381" s="165"/>
      <c r="G381" s="164"/>
      <c r="H381" s="164"/>
      <c r="I381" s="164"/>
      <c r="J381" s="164"/>
    </row>
    <row r="382" spans="1:10" x14ac:dyDescent="0.25">
      <c r="A382" s="16"/>
      <c r="B382" s="16"/>
      <c r="C382" s="165"/>
      <c r="D382" s="165"/>
      <c r="E382" s="165"/>
      <c r="F382" s="165"/>
      <c r="G382" s="164"/>
      <c r="H382" s="164"/>
      <c r="I382" s="164"/>
      <c r="J382" s="164"/>
    </row>
    <row r="383" spans="1:10" x14ac:dyDescent="0.25">
      <c r="A383" s="16"/>
      <c r="B383" s="16"/>
      <c r="C383" s="165"/>
      <c r="D383" s="165"/>
      <c r="E383" s="165"/>
      <c r="F383" s="165"/>
      <c r="G383" s="164"/>
      <c r="H383" s="164"/>
      <c r="I383" s="164"/>
      <c r="J383" s="164"/>
    </row>
    <row r="384" spans="1:10" x14ac:dyDescent="0.25">
      <c r="A384" s="16"/>
      <c r="B384" s="16"/>
      <c r="C384" s="165"/>
      <c r="D384" s="165"/>
      <c r="E384" s="165"/>
      <c r="F384" s="165"/>
      <c r="G384" s="164"/>
      <c r="H384" s="164"/>
      <c r="I384" s="164"/>
      <c r="J384" s="164"/>
    </row>
    <row r="385" spans="1:10" x14ac:dyDescent="0.25">
      <c r="A385" s="16"/>
      <c r="B385" s="16"/>
      <c r="C385" s="165"/>
      <c r="D385" s="165"/>
      <c r="E385" s="165"/>
      <c r="F385" s="165"/>
      <c r="G385" s="164"/>
      <c r="H385" s="164"/>
      <c r="I385" s="164"/>
      <c r="J385" s="164"/>
    </row>
    <row r="386" spans="1:10" x14ac:dyDescent="0.25">
      <c r="A386" s="16"/>
      <c r="B386" s="16"/>
      <c r="C386" s="165"/>
      <c r="D386" s="165"/>
      <c r="E386" s="165"/>
      <c r="F386" s="165"/>
      <c r="G386" s="164"/>
      <c r="H386" s="164"/>
      <c r="I386" s="164"/>
      <c r="J386" s="164"/>
    </row>
    <row r="387" spans="1:10" x14ac:dyDescent="0.25">
      <c r="A387" s="16"/>
      <c r="B387" s="16"/>
      <c r="C387" s="165"/>
      <c r="D387" s="165"/>
      <c r="E387" s="165"/>
      <c r="F387" s="165"/>
      <c r="G387" s="164"/>
      <c r="H387" s="164"/>
      <c r="I387" s="164"/>
      <c r="J387" s="164"/>
    </row>
    <row r="388" spans="1:10" x14ac:dyDescent="0.25">
      <c r="A388" s="16"/>
      <c r="B388" s="16"/>
      <c r="C388" s="165"/>
      <c r="D388" s="165"/>
      <c r="E388" s="165"/>
      <c r="F388" s="165"/>
      <c r="G388" s="164"/>
      <c r="H388" s="164"/>
      <c r="I388" s="164"/>
      <c r="J388" s="164"/>
    </row>
    <row r="389" spans="1:10" x14ac:dyDescent="0.25">
      <c r="A389" s="16"/>
      <c r="B389" s="16"/>
      <c r="C389" s="165"/>
      <c r="D389" s="165"/>
      <c r="E389" s="165"/>
      <c r="F389" s="165"/>
      <c r="G389" s="164"/>
      <c r="H389" s="164"/>
      <c r="I389" s="164"/>
      <c r="J389" s="164"/>
    </row>
    <row r="390" spans="1:10" x14ac:dyDescent="0.25">
      <c r="A390" s="16"/>
      <c r="B390" s="16"/>
      <c r="C390" s="165"/>
      <c r="D390" s="165"/>
      <c r="E390" s="165"/>
      <c r="F390" s="165"/>
      <c r="G390" s="164"/>
      <c r="H390" s="164"/>
      <c r="I390" s="164"/>
      <c r="J390" s="164"/>
    </row>
    <row r="391" spans="1:10" x14ac:dyDescent="0.25">
      <c r="A391" s="16"/>
      <c r="B391" s="16"/>
      <c r="C391" s="165"/>
      <c r="D391" s="165"/>
      <c r="E391" s="165"/>
      <c r="F391" s="165"/>
      <c r="G391" s="164"/>
      <c r="H391" s="164"/>
      <c r="I391" s="164"/>
      <c r="J391" s="164"/>
    </row>
    <row r="392" spans="1:10" x14ac:dyDescent="0.25">
      <c r="A392" s="16"/>
      <c r="B392" s="16"/>
      <c r="C392" s="165"/>
      <c r="D392" s="165"/>
      <c r="E392" s="165"/>
      <c r="F392" s="165"/>
      <c r="G392" s="164"/>
      <c r="H392" s="164"/>
      <c r="I392" s="164"/>
      <c r="J392" s="164"/>
    </row>
    <row r="393" spans="1:10" x14ac:dyDescent="0.25">
      <c r="A393" s="16"/>
      <c r="B393" s="16"/>
      <c r="C393" s="165"/>
      <c r="D393" s="165"/>
      <c r="E393" s="165"/>
      <c r="F393" s="165"/>
      <c r="G393" s="164"/>
      <c r="H393" s="164"/>
      <c r="I393" s="164"/>
      <c r="J393" s="164"/>
    </row>
    <row r="394" spans="1:10" x14ac:dyDescent="0.25">
      <c r="A394" s="16"/>
      <c r="B394" s="16"/>
      <c r="C394" s="165"/>
      <c r="D394" s="165"/>
      <c r="E394" s="165"/>
      <c r="F394" s="165"/>
      <c r="G394" s="164"/>
      <c r="H394" s="164"/>
      <c r="I394" s="164"/>
      <c r="J394" s="164"/>
    </row>
    <row r="395" spans="1:10" x14ac:dyDescent="0.25">
      <c r="A395" s="16"/>
      <c r="B395" s="16"/>
      <c r="C395" s="165"/>
      <c r="D395" s="165"/>
      <c r="E395" s="165"/>
      <c r="F395" s="165"/>
      <c r="G395" s="164"/>
      <c r="H395" s="164"/>
      <c r="I395" s="164"/>
      <c r="J395" s="164"/>
    </row>
    <row r="396" spans="1:10" x14ac:dyDescent="0.25">
      <c r="A396" s="16"/>
      <c r="B396" s="16"/>
      <c r="C396" s="165"/>
      <c r="D396" s="165"/>
      <c r="E396" s="165"/>
      <c r="F396" s="165"/>
      <c r="G396" s="164"/>
      <c r="H396" s="164"/>
      <c r="I396" s="164"/>
      <c r="J396" s="164"/>
    </row>
    <row r="397" spans="1:10" x14ac:dyDescent="0.25">
      <c r="A397" s="16"/>
      <c r="B397" s="16"/>
      <c r="C397" s="165"/>
      <c r="D397" s="165"/>
      <c r="E397" s="165"/>
      <c r="F397" s="165"/>
      <c r="G397" s="164"/>
      <c r="H397" s="164"/>
      <c r="I397" s="164"/>
      <c r="J397" s="164"/>
    </row>
    <row r="398" spans="1:10" x14ac:dyDescent="0.25">
      <c r="A398" s="16"/>
      <c r="B398" s="16"/>
      <c r="C398" s="165"/>
      <c r="D398" s="165"/>
      <c r="E398" s="165"/>
      <c r="F398" s="165"/>
      <c r="G398" s="164"/>
      <c r="H398" s="164"/>
      <c r="I398" s="164"/>
      <c r="J398" s="164"/>
    </row>
    <row r="399" spans="1:10" x14ac:dyDescent="0.25">
      <c r="A399" s="16"/>
      <c r="B399" s="16"/>
      <c r="C399" s="165"/>
      <c r="D399" s="165"/>
      <c r="E399" s="165"/>
      <c r="F399" s="165"/>
      <c r="G399" s="164"/>
      <c r="H399" s="164"/>
      <c r="I399" s="164"/>
      <c r="J399" s="164"/>
    </row>
    <row r="400" spans="1:10" x14ac:dyDescent="0.25">
      <c r="A400" s="16"/>
      <c r="B400" s="16"/>
      <c r="C400" s="165"/>
      <c r="D400" s="165"/>
      <c r="E400" s="165"/>
      <c r="F400" s="165"/>
      <c r="G400" s="164"/>
      <c r="H400" s="164"/>
      <c r="I400" s="164"/>
      <c r="J400" s="164"/>
    </row>
    <row r="401" spans="1:10" x14ac:dyDescent="0.25">
      <c r="A401" s="16"/>
      <c r="B401" s="16"/>
      <c r="C401" s="165"/>
      <c r="D401" s="165"/>
      <c r="E401" s="165"/>
      <c r="F401" s="165"/>
      <c r="G401" s="164"/>
      <c r="H401" s="164"/>
      <c r="I401" s="164"/>
      <c r="J401" s="164"/>
    </row>
    <row r="402" spans="1:10" x14ac:dyDescent="0.25">
      <c r="A402" s="16"/>
      <c r="B402" s="16"/>
      <c r="C402" s="165"/>
      <c r="D402" s="165"/>
      <c r="E402" s="165"/>
      <c r="F402" s="165"/>
      <c r="G402" s="164"/>
      <c r="H402" s="164"/>
      <c r="I402" s="164"/>
      <c r="J402" s="164"/>
    </row>
    <row r="403" spans="1:10" x14ac:dyDescent="0.25">
      <c r="A403" s="16"/>
      <c r="B403" s="16"/>
      <c r="C403" s="165"/>
      <c r="D403" s="165"/>
      <c r="E403" s="165"/>
      <c r="F403" s="165"/>
      <c r="G403" s="164"/>
      <c r="H403" s="164"/>
      <c r="I403" s="164"/>
      <c r="J403" s="164"/>
    </row>
    <row r="404" spans="1:10" x14ac:dyDescent="0.25">
      <c r="A404" s="16"/>
      <c r="B404" s="16"/>
      <c r="C404" s="165"/>
      <c r="D404" s="165"/>
      <c r="E404" s="165"/>
      <c r="F404" s="165"/>
      <c r="G404" s="164"/>
      <c r="H404" s="164"/>
      <c r="I404" s="164"/>
      <c r="J404" s="164"/>
    </row>
    <row r="405" spans="1:10" x14ac:dyDescent="0.25">
      <c r="A405" s="16"/>
      <c r="B405" s="16"/>
      <c r="C405" s="165"/>
      <c r="D405" s="165"/>
      <c r="E405" s="165"/>
      <c r="F405" s="165"/>
      <c r="G405" s="164"/>
      <c r="H405" s="164"/>
      <c r="I405" s="164"/>
      <c r="J405" s="164"/>
    </row>
    <row r="406" spans="1:10" x14ac:dyDescent="0.25">
      <c r="A406" s="16"/>
      <c r="B406" s="16"/>
      <c r="C406" s="165"/>
      <c r="D406" s="165"/>
      <c r="E406" s="165"/>
      <c r="F406" s="165"/>
      <c r="G406" s="164"/>
      <c r="H406" s="164"/>
      <c r="I406" s="164"/>
      <c r="J406" s="164"/>
    </row>
    <row r="407" spans="1:10" x14ac:dyDescent="0.25">
      <c r="A407" s="16"/>
      <c r="B407" s="16"/>
      <c r="C407" s="165"/>
      <c r="D407" s="165"/>
      <c r="E407" s="165"/>
      <c r="F407" s="165"/>
      <c r="G407" s="164"/>
      <c r="H407" s="164"/>
      <c r="I407" s="164"/>
      <c r="J407" s="164"/>
    </row>
    <row r="408" spans="1:10" x14ac:dyDescent="0.25">
      <c r="A408" s="16"/>
      <c r="B408" s="16"/>
      <c r="C408" s="165"/>
      <c r="D408" s="165"/>
      <c r="E408" s="165"/>
      <c r="F408" s="165"/>
      <c r="G408" s="164"/>
      <c r="H408" s="164"/>
      <c r="I408" s="164"/>
      <c r="J408" s="164"/>
    </row>
    <row r="409" spans="1:10" x14ac:dyDescent="0.25">
      <c r="A409" s="16"/>
      <c r="B409" s="16"/>
      <c r="C409" s="165"/>
      <c r="D409" s="165"/>
      <c r="E409" s="165"/>
      <c r="F409" s="165"/>
      <c r="G409" s="164"/>
      <c r="H409" s="164"/>
      <c r="I409" s="164"/>
      <c r="J409" s="164"/>
    </row>
    <row r="410" spans="1:10" x14ac:dyDescent="0.25">
      <c r="A410" s="16"/>
      <c r="B410" s="16"/>
      <c r="C410" s="165"/>
      <c r="D410" s="165"/>
      <c r="E410" s="165"/>
      <c r="F410" s="165"/>
      <c r="G410" s="164"/>
      <c r="H410" s="164"/>
      <c r="I410" s="164"/>
      <c r="J410" s="164"/>
    </row>
    <row r="411" spans="1:10" x14ac:dyDescent="0.25">
      <c r="A411" s="16"/>
      <c r="B411" s="16"/>
      <c r="C411" s="165"/>
      <c r="D411" s="165"/>
      <c r="E411" s="165"/>
      <c r="F411" s="165"/>
      <c r="G411" s="164"/>
      <c r="H411" s="164"/>
      <c r="I411" s="164"/>
      <c r="J411" s="164"/>
    </row>
    <row r="412" spans="1:10" x14ac:dyDescent="0.25">
      <c r="A412" s="16"/>
      <c r="B412" s="16"/>
      <c r="C412" s="165"/>
      <c r="D412" s="165"/>
      <c r="E412" s="165"/>
      <c r="F412" s="165"/>
      <c r="G412" s="164"/>
      <c r="H412" s="164"/>
      <c r="I412" s="164"/>
      <c r="J412" s="164"/>
    </row>
    <row r="413" spans="1:10" x14ac:dyDescent="0.25">
      <c r="A413" s="16"/>
      <c r="B413" s="16"/>
      <c r="C413" s="165"/>
      <c r="D413" s="165"/>
      <c r="E413" s="165"/>
      <c r="F413" s="165"/>
      <c r="G413" s="164"/>
      <c r="H413" s="164"/>
      <c r="I413" s="164"/>
      <c r="J413" s="164"/>
    </row>
    <row r="414" spans="1:10" x14ac:dyDescent="0.25">
      <c r="A414" s="16"/>
      <c r="B414" s="16"/>
      <c r="C414" s="165"/>
      <c r="D414" s="165"/>
      <c r="E414" s="165"/>
      <c r="F414" s="165"/>
      <c r="G414" s="164"/>
      <c r="H414" s="164"/>
      <c r="I414" s="164"/>
      <c r="J414" s="164"/>
    </row>
    <row r="415" spans="1:10" x14ac:dyDescent="0.25">
      <c r="A415" s="16"/>
      <c r="B415" s="16"/>
      <c r="C415" s="165"/>
      <c r="D415" s="165"/>
      <c r="E415" s="165"/>
      <c r="F415" s="165"/>
      <c r="G415" s="164"/>
      <c r="H415" s="164"/>
      <c r="I415" s="164"/>
      <c r="J415" s="164"/>
    </row>
    <row r="416" spans="1:10" x14ac:dyDescent="0.25">
      <c r="A416" s="16"/>
      <c r="B416" s="16"/>
      <c r="C416" s="165"/>
      <c r="D416" s="165"/>
      <c r="E416" s="165"/>
      <c r="F416" s="165"/>
      <c r="G416" s="164"/>
      <c r="H416" s="164"/>
      <c r="I416" s="164"/>
      <c r="J416" s="164"/>
    </row>
    <row r="417" spans="1:10" x14ac:dyDescent="0.25">
      <c r="A417" s="16"/>
      <c r="B417" s="16"/>
      <c r="C417" s="165"/>
      <c r="D417" s="165"/>
      <c r="E417" s="165"/>
      <c r="F417" s="165"/>
      <c r="G417" s="164"/>
      <c r="H417" s="164"/>
      <c r="I417" s="164"/>
      <c r="J417" s="164"/>
    </row>
    <row r="418" spans="1:10" x14ac:dyDescent="0.25">
      <c r="A418" s="16"/>
      <c r="B418" s="16"/>
      <c r="C418" s="165"/>
      <c r="D418" s="165"/>
      <c r="E418" s="165"/>
      <c r="F418" s="165"/>
      <c r="G418" s="164"/>
      <c r="H418" s="164"/>
      <c r="I418" s="164"/>
      <c r="J418" s="164"/>
    </row>
    <row r="419" spans="1:10" x14ac:dyDescent="0.25">
      <c r="A419" s="16"/>
      <c r="B419" s="16"/>
      <c r="C419" s="165"/>
      <c r="D419" s="165"/>
      <c r="E419" s="165"/>
      <c r="F419" s="165"/>
      <c r="G419" s="164"/>
      <c r="H419" s="164"/>
      <c r="I419" s="164"/>
      <c r="J419" s="164"/>
    </row>
    <row r="420" spans="1:10" x14ac:dyDescent="0.25">
      <c r="A420" s="16"/>
      <c r="B420" s="16"/>
      <c r="C420" s="165"/>
      <c r="D420" s="165"/>
      <c r="E420" s="165"/>
      <c r="F420" s="165"/>
      <c r="G420" s="164"/>
      <c r="H420" s="164"/>
      <c r="I420" s="164"/>
      <c r="J420" s="164"/>
    </row>
    <row r="421" spans="1:10" x14ac:dyDescent="0.25">
      <c r="A421" s="16"/>
      <c r="B421" s="16"/>
      <c r="C421" s="165"/>
      <c r="D421" s="165"/>
      <c r="E421" s="165"/>
      <c r="F421" s="165"/>
      <c r="G421" s="164"/>
      <c r="H421" s="164"/>
      <c r="I421" s="164"/>
      <c r="J421" s="164"/>
    </row>
    <row r="422" spans="1:10" x14ac:dyDescent="0.25">
      <c r="A422" s="16"/>
      <c r="B422" s="16"/>
      <c r="C422" s="165"/>
      <c r="D422" s="165"/>
      <c r="E422" s="165"/>
      <c r="F422" s="165"/>
      <c r="G422" s="164"/>
      <c r="H422" s="164"/>
      <c r="I422" s="164"/>
      <c r="J422" s="164"/>
    </row>
    <row r="423" spans="1:10" x14ac:dyDescent="0.25">
      <c r="A423" s="16"/>
      <c r="B423" s="16"/>
      <c r="C423" s="165"/>
      <c r="D423" s="165"/>
      <c r="E423" s="165"/>
      <c r="F423" s="165"/>
      <c r="G423" s="164"/>
      <c r="H423" s="164"/>
      <c r="I423" s="164"/>
      <c r="J423" s="164"/>
    </row>
    <row r="424" spans="1:10" x14ac:dyDescent="0.25">
      <c r="A424" s="16"/>
      <c r="B424" s="16"/>
      <c r="C424" s="165"/>
      <c r="D424" s="165"/>
      <c r="E424" s="165"/>
      <c r="F424" s="165"/>
      <c r="G424" s="164"/>
      <c r="H424" s="164"/>
      <c r="I424" s="164"/>
      <c r="J424" s="164"/>
    </row>
    <row r="425" spans="1:10" x14ac:dyDescent="0.25">
      <c r="A425" s="16"/>
      <c r="B425" s="16"/>
      <c r="C425" s="165"/>
      <c r="D425" s="165"/>
      <c r="E425" s="165"/>
      <c r="F425" s="165"/>
      <c r="G425" s="164"/>
      <c r="H425" s="164"/>
      <c r="I425" s="164"/>
      <c r="J425" s="164"/>
    </row>
    <row r="426" spans="1:10" x14ac:dyDescent="0.25">
      <c r="A426" s="16"/>
      <c r="B426" s="16"/>
      <c r="C426" s="165"/>
      <c r="D426" s="165"/>
      <c r="E426" s="165"/>
      <c r="F426" s="165"/>
      <c r="G426" s="164"/>
      <c r="H426" s="164"/>
      <c r="I426" s="164"/>
      <c r="J426" s="164"/>
    </row>
    <row r="427" spans="1:10" x14ac:dyDescent="0.25">
      <c r="A427" s="16"/>
      <c r="B427" s="16"/>
      <c r="C427" s="165"/>
      <c r="D427" s="165"/>
      <c r="E427" s="165"/>
      <c r="F427" s="165"/>
      <c r="G427" s="164"/>
      <c r="H427" s="164"/>
      <c r="I427" s="164"/>
      <c r="J427" s="164"/>
    </row>
    <row r="428" spans="1:10" x14ac:dyDescent="0.25">
      <c r="A428" s="16"/>
      <c r="B428" s="16"/>
      <c r="C428" s="165"/>
      <c r="D428" s="165"/>
      <c r="E428" s="165"/>
      <c r="F428" s="165"/>
      <c r="G428" s="164"/>
      <c r="H428" s="164"/>
      <c r="I428" s="164"/>
      <c r="J428" s="164"/>
    </row>
    <row r="429" spans="1:10" x14ac:dyDescent="0.25">
      <c r="A429" s="16"/>
      <c r="B429" s="16"/>
      <c r="C429" s="165"/>
      <c r="D429" s="165"/>
      <c r="E429" s="165"/>
      <c r="F429" s="165"/>
      <c r="G429" s="164"/>
      <c r="H429" s="164"/>
      <c r="I429" s="164"/>
      <c r="J429" s="164"/>
    </row>
    <row r="430" spans="1:10" x14ac:dyDescent="0.25">
      <c r="A430" s="16"/>
      <c r="B430" s="16"/>
      <c r="C430" s="165"/>
      <c r="D430" s="165"/>
      <c r="E430" s="165"/>
      <c r="F430" s="165"/>
      <c r="G430" s="164"/>
      <c r="H430" s="164"/>
      <c r="I430" s="164"/>
      <c r="J430" s="164"/>
    </row>
    <row r="431" spans="1:10" x14ac:dyDescent="0.25">
      <c r="A431" s="16"/>
      <c r="B431" s="16"/>
      <c r="C431" s="165"/>
      <c r="D431" s="165"/>
      <c r="E431" s="165"/>
      <c r="F431" s="165"/>
      <c r="G431" s="164"/>
      <c r="H431" s="164"/>
      <c r="I431" s="164"/>
      <c r="J431" s="164"/>
    </row>
    <row r="432" spans="1:10" x14ac:dyDescent="0.25">
      <c r="A432" s="16"/>
      <c r="B432" s="16"/>
      <c r="C432" s="165"/>
      <c r="D432" s="165"/>
      <c r="E432" s="165"/>
      <c r="F432" s="165"/>
      <c r="G432" s="164"/>
      <c r="H432" s="164"/>
      <c r="I432" s="164"/>
      <c r="J432" s="164"/>
    </row>
    <row r="433" spans="1:10" x14ac:dyDescent="0.25">
      <c r="A433" s="16"/>
      <c r="B433" s="16"/>
      <c r="C433" s="165"/>
      <c r="D433" s="165"/>
      <c r="E433" s="165"/>
      <c r="F433" s="165"/>
      <c r="G433" s="164"/>
      <c r="H433" s="164"/>
      <c r="I433" s="164"/>
      <c r="J433" s="164"/>
    </row>
    <row r="434" spans="1:10" x14ac:dyDescent="0.25">
      <c r="A434" s="16"/>
      <c r="B434" s="16"/>
      <c r="C434" s="165"/>
      <c r="D434" s="165"/>
      <c r="E434" s="165"/>
      <c r="F434" s="165"/>
      <c r="G434" s="164"/>
      <c r="H434" s="164"/>
      <c r="I434" s="164"/>
      <c r="J434" s="164"/>
    </row>
    <row r="435" spans="1:10" x14ac:dyDescent="0.25">
      <c r="A435" s="16"/>
      <c r="B435" s="16"/>
      <c r="C435" s="165"/>
      <c r="D435" s="165"/>
      <c r="E435" s="165"/>
      <c r="F435" s="165"/>
      <c r="G435" s="164"/>
      <c r="H435" s="164"/>
      <c r="I435" s="164"/>
      <c r="J435" s="164"/>
    </row>
    <row r="436" spans="1:10" x14ac:dyDescent="0.25">
      <c r="A436" s="16"/>
      <c r="B436" s="16"/>
      <c r="C436" s="165"/>
      <c r="D436" s="165"/>
      <c r="E436" s="165"/>
      <c r="F436" s="165"/>
      <c r="G436" s="164"/>
      <c r="H436" s="164"/>
      <c r="I436" s="164"/>
      <c r="J436" s="164"/>
    </row>
    <row r="437" spans="1:10" x14ac:dyDescent="0.25">
      <c r="A437" s="16"/>
      <c r="B437" s="16"/>
      <c r="C437" s="165"/>
      <c r="D437" s="165"/>
      <c r="E437" s="165"/>
      <c r="F437" s="165"/>
      <c r="G437" s="164"/>
      <c r="H437" s="164"/>
      <c r="I437" s="164"/>
      <c r="J437" s="164"/>
    </row>
    <row r="438" spans="1:10" x14ac:dyDescent="0.25">
      <c r="A438" s="16"/>
      <c r="B438" s="16"/>
      <c r="C438" s="165"/>
      <c r="D438" s="165"/>
      <c r="E438" s="165"/>
      <c r="F438" s="165"/>
      <c r="G438" s="164"/>
      <c r="H438" s="164"/>
      <c r="I438" s="164"/>
      <c r="J438" s="164"/>
    </row>
    <row r="439" spans="1:10" x14ac:dyDescent="0.25">
      <c r="A439" s="16"/>
      <c r="B439" s="16"/>
      <c r="C439" s="165"/>
      <c r="D439" s="165"/>
      <c r="E439" s="165"/>
      <c r="F439" s="165"/>
      <c r="G439" s="164"/>
      <c r="H439" s="164"/>
      <c r="I439" s="164"/>
      <c r="J439" s="164"/>
    </row>
    <row r="440" spans="1:10" x14ac:dyDescent="0.25">
      <c r="A440" s="16"/>
      <c r="B440" s="16"/>
      <c r="C440" s="165"/>
      <c r="D440" s="165"/>
      <c r="E440" s="165"/>
      <c r="F440" s="165"/>
      <c r="G440" s="164"/>
      <c r="H440" s="164"/>
      <c r="I440" s="164"/>
      <c r="J440" s="164"/>
    </row>
    <row r="441" spans="1:10" x14ac:dyDescent="0.25">
      <c r="A441" s="16"/>
      <c r="B441" s="16"/>
      <c r="C441" s="165"/>
      <c r="D441" s="165"/>
      <c r="E441" s="165"/>
      <c r="F441" s="165"/>
      <c r="G441" s="164"/>
      <c r="H441" s="164"/>
      <c r="I441" s="164"/>
      <c r="J441" s="164"/>
    </row>
    <row r="442" spans="1:10" x14ac:dyDescent="0.25">
      <c r="A442" s="16"/>
      <c r="B442" s="16"/>
      <c r="C442" s="165"/>
      <c r="D442" s="165"/>
      <c r="E442" s="165"/>
      <c r="F442" s="165"/>
      <c r="G442" s="164"/>
      <c r="H442" s="164"/>
      <c r="I442" s="164"/>
      <c r="J442" s="164"/>
    </row>
    <row r="443" spans="1:10" x14ac:dyDescent="0.25">
      <c r="A443" s="16"/>
      <c r="B443" s="16"/>
      <c r="C443" s="165"/>
      <c r="D443" s="165"/>
      <c r="E443" s="165"/>
      <c r="F443" s="165"/>
      <c r="G443" s="164"/>
      <c r="H443" s="164"/>
      <c r="I443" s="164"/>
      <c r="J443" s="164"/>
    </row>
    <row r="444" spans="1:10" x14ac:dyDescent="0.25">
      <c r="A444" s="16"/>
      <c r="B444" s="16"/>
      <c r="C444" s="165"/>
      <c r="D444" s="165"/>
      <c r="E444" s="165"/>
      <c r="F444" s="165"/>
      <c r="G444" s="164"/>
      <c r="H444" s="164"/>
      <c r="I444" s="164"/>
      <c r="J444" s="164"/>
    </row>
    <row r="445" spans="1:10" x14ac:dyDescent="0.25">
      <c r="A445" s="16"/>
      <c r="B445" s="16"/>
      <c r="C445" s="165"/>
      <c r="D445" s="165"/>
      <c r="E445" s="165"/>
      <c r="F445" s="165"/>
      <c r="G445" s="164"/>
      <c r="H445" s="164"/>
      <c r="I445" s="164"/>
      <c r="J445" s="164"/>
    </row>
    <row r="446" spans="1:10" x14ac:dyDescent="0.25">
      <c r="A446" s="16"/>
      <c r="B446" s="16"/>
      <c r="C446" s="165"/>
      <c r="D446" s="165"/>
      <c r="E446" s="165"/>
      <c r="F446" s="165"/>
      <c r="G446" s="164"/>
      <c r="H446" s="164"/>
      <c r="I446" s="164"/>
      <c r="J446" s="164"/>
    </row>
    <row r="447" spans="1:10" x14ac:dyDescent="0.25">
      <c r="A447" s="16"/>
      <c r="B447" s="16"/>
      <c r="C447" s="165"/>
      <c r="D447" s="165"/>
      <c r="E447" s="165"/>
      <c r="F447" s="165"/>
      <c r="G447" s="164"/>
      <c r="H447" s="164"/>
      <c r="I447" s="164"/>
      <c r="J447" s="164"/>
    </row>
    <row r="448" spans="1:10" x14ac:dyDescent="0.25">
      <c r="A448" s="16"/>
      <c r="B448" s="16"/>
      <c r="C448" s="165"/>
      <c r="D448" s="165"/>
      <c r="E448" s="165"/>
      <c r="F448" s="165"/>
      <c r="G448" s="164"/>
      <c r="H448" s="164"/>
      <c r="I448" s="164"/>
      <c r="J448" s="164"/>
    </row>
    <row r="449" spans="1:10" x14ac:dyDescent="0.25">
      <c r="A449" s="16"/>
      <c r="B449" s="16"/>
      <c r="C449" s="165"/>
      <c r="D449" s="165"/>
      <c r="E449" s="165"/>
      <c r="F449" s="165"/>
      <c r="G449" s="164"/>
      <c r="H449" s="164"/>
      <c r="I449" s="164"/>
      <c r="J449" s="164"/>
    </row>
    <row r="450" spans="1:10" x14ac:dyDescent="0.25">
      <c r="A450" s="16"/>
      <c r="B450" s="16"/>
      <c r="C450" s="165"/>
      <c r="D450" s="165"/>
      <c r="E450" s="165"/>
      <c r="F450" s="165"/>
      <c r="G450" s="164"/>
      <c r="H450" s="164"/>
      <c r="I450" s="164"/>
      <c r="J450" s="164"/>
    </row>
    <row r="451" spans="1:10" x14ac:dyDescent="0.25">
      <c r="A451" s="16"/>
      <c r="B451" s="16"/>
      <c r="C451" s="165"/>
      <c r="D451" s="165"/>
      <c r="E451" s="165"/>
      <c r="F451" s="165"/>
      <c r="G451" s="164"/>
      <c r="H451" s="164"/>
      <c r="I451" s="164"/>
      <c r="J451" s="164"/>
    </row>
    <row r="452" spans="1:10" x14ac:dyDescent="0.25">
      <c r="A452" s="16"/>
      <c r="B452" s="16"/>
      <c r="C452" s="165"/>
      <c r="D452" s="165"/>
      <c r="E452" s="165"/>
      <c r="F452" s="165"/>
      <c r="G452" s="164"/>
      <c r="H452" s="164"/>
      <c r="I452" s="164"/>
      <c r="J452" s="164"/>
    </row>
    <row r="453" spans="1:10" x14ac:dyDescent="0.25">
      <c r="A453" s="16"/>
      <c r="B453" s="16"/>
      <c r="C453" s="165"/>
      <c r="D453" s="165"/>
      <c r="E453" s="165"/>
      <c r="F453" s="165"/>
      <c r="G453" s="164"/>
      <c r="H453" s="164"/>
      <c r="I453" s="164"/>
      <c r="J453" s="164"/>
    </row>
    <row r="454" spans="1:10" x14ac:dyDescent="0.25">
      <c r="A454" s="16"/>
      <c r="B454" s="16"/>
      <c r="C454" s="165"/>
      <c r="D454" s="165"/>
      <c r="E454" s="165"/>
      <c r="F454" s="165"/>
      <c r="G454" s="164"/>
      <c r="H454" s="164"/>
      <c r="I454" s="164"/>
      <c r="J454" s="164"/>
    </row>
    <row r="455" spans="1:10" x14ac:dyDescent="0.25">
      <c r="A455" s="16"/>
      <c r="B455" s="16"/>
      <c r="C455" s="165"/>
      <c r="D455" s="165"/>
      <c r="E455" s="165"/>
      <c r="F455" s="165"/>
      <c r="G455" s="164"/>
      <c r="H455" s="164"/>
      <c r="I455" s="164"/>
      <c r="J455" s="164"/>
    </row>
    <row r="456" spans="1:10" x14ac:dyDescent="0.25">
      <c r="A456" s="16"/>
      <c r="B456" s="16"/>
      <c r="C456" s="165"/>
      <c r="D456" s="165"/>
      <c r="E456" s="165"/>
      <c r="F456" s="165"/>
      <c r="G456" s="164"/>
      <c r="H456" s="164"/>
      <c r="I456" s="164"/>
      <c r="J456" s="164"/>
    </row>
    <row r="457" spans="1:10" x14ac:dyDescent="0.25">
      <c r="A457" s="16"/>
      <c r="B457" s="16"/>
      <c r="C457" s="165"/>
      <c r="D457" s="165"/>
      <c r="E457" s="165"/>
      <c r="F457" s="165"/>
      <c r="G457" s="164"/>
      <c r="H457" s="164"/>
      <c r="I457" s="164"/>
      <c r="J457" s="164"/>
    </row>
    <row r="458" spans="1:10" x14ac:dyDescent="0.25">
      <c r="A458" s="16"/>
      <c r="B458" s="16"/>
      <c r="C458" s="165"/>
      <c r="D458" s="165"/>
      <c r="E458" s="165"/>
      <c r="F458" s="165"/>
      <c r="G458" s="164"/>
      <c r="H458" s="164"/>
      <c r="I458" s="164"/>
      <c r="J458" s="164"/>
    </row>
    <row r="459" spans="1:10" x14ac:dyDescent="0.25">
      <c r="A459" s="16"/>
      <c r="B459" s="16"/>
      <c r="C459" s="165"/>
      <c r="D459" s="165"/>
      <c r="E459" s="165"/>
      <c r="F459" s="165"/>
      <c r="G459" s="164"/>
      <c r="H459" s="164"/>
      <c r="I459" s="164"/>
      <c r="J459" s="164"/>
    </row>
    <row r="460" spans="1:10" x14ac:dyDescent="0.25">
      <c r="A460" s="16"/>
      <c r="B460" s="16"/>
      <c r="C460" s="165"/>
      <c r="D460" s="165"/>
      <c r="E460" s="165"/>
      <c r="F460" s="165"/>
      <c r="G460" s="164"/>
      <c r="H460" s="164"/>
      <c r="I460" s="164"/>
      <c r="J460" s="164"/>
    </row>
    <row r="461" spans="1:10" x14ac:dyDescent="0.25">
      <c r="A461" s="16"/>
      <c r="B461" s="16"/>
      <c r="C461" s="165"/>
      <c r="D461" s="165"/>
      <c r="E461" s="165"/>
      <c r="F461" s="165"/>
      <c r="G461" s="164"/>
      <c r="H461" s="164"/>
      <c r="I461" s="164"/>
      <c r="J461" s="164"/>
    </row>
    <row r="462" spans="1:10" x14ac:dyDescent="0.25">
      <c r="A462" s="16"/>
      <c r="B462" s="16"/>
      <c r="C462" s="165"/>
      <c r="D462" s="165"/>
      <c r="E462" s="165"/>
      <c r="F462" s="165"/>
      <c r="G462" s="164"/>
      <c r="H462" s="164"/>
      <c r="I462" s="164"/>
      <c r="J462" s="164"/>
    </row>
    <row r="463" spans="1:10" x14ac:dyDescent="0.25">
      <c r="A463" s="16"/>
      <c r="B463" s="16"/>
      <c r="C463" s="165"/>
      <c r="D463" s="165"/>
      <c r="E463" s="165"/>
      <c r="F463" s="165"/>
      <c r="G463" s="164"/>
      <c r="H463" s="164"/>
      <c r="I463" s="164"/>
      <c r="J463" s="164"/>
    </row>
    <row r="464" spans="1:10" x14ac:dyDescent="0.25">
      <c r="A464" s="16"/>
      <c r="B464" s="16"/>
      <c r="C464" s="165"/>
      <c r="D464" s="165"/>
      <c r="E464" s="165"/>
      <c r="F464" s="165"/>
      <c r="G464" s="164"/>
      <c r="H464" s="164"/>
      <c r="I464" s="164"/>
      <c r="J464" s="164"/>
    </row>
    <row r="465" spans="1:10" x14ac:dyDescent="0.25">
      <c r="A465" s="16"/>
      <c r="B465" s="16"/>
      <c r="C465" s="165"/>
      <c r="D465" s="165"/>
      <c r="E465" s="165"/>
      <c r="F465" s="165"/>
      <c r="G465" s="164"/>
      <c r="H465" s="164"/>
      <c r="I465" s="164"/>
      <c r="J465" s="164"/>
    </row>
    <row r="466" spans="1:10" x14ac:dyDescent="0.25">
      <c r="A466" s="16"/>
      <c r="B466" s="16"/>
      <c r="C466" s="165"/>
      <c r="D466" s="165"/>
      <c r="E466" s="165"/>
      <c r="F466" s="165"/>
      <c r="G466" s="164"/>
      <c r="H466" s="164"/>
      <c r="I466" s="164"/>
      <c r="J466" s="164"/>
    </row>
    <row r="467" spans="1:10" x14ac:dyDescent="0.25">
      <c r="A467" s="16"/>
      <c r="B467" s="16"/>
      <c r="C467" s="165"/>
      <c r="D467" s="165"/>
      <c r="E467" s="165"/>
      <c r="F467" s="165"/>
      <c r="G467" s="164"/>
      <c r="H467" s="164"/>
      <c r="I467" s="164"/>
      <c r="J467" s="164"/>
    </row>
    <row r="468" spans="1:10" x14ac:dyDescent="0.25">
      <c r="A468" s="16"/>
      <c r="B468" s="16"/>
      <c r="C468" s="165"/>
      <c r="D468" s="165"/>
      <c r="E468" s="165"/>
      <c r="F468" s="165"/>
      <c r="G468" s="164"/>
      <c r="H468" s="164"/>
      <c r="I468" s="164"/>
      <c r="J468" s="164"/>
    </row>
    <row r="469" spans="1:10" x14ac:dyDescent="0.25">
      <c r="A469" s="16"/>
      <c r="B469" s="16"/>
      <c r="C469" s="165"/>
      <c r="D469" s="165"/>
      <c r="E469" s="165"/>
      <c r="F469" s="165"/>
      <c r="G469" s="164"/>
      <c r="H469" s="164"/>
      <c r="I469" s="164"/>
      <c r="J469" s="164"/>
    </row>
    <row r="470" spans="1:10" x14ac:dyDescent="0.25">
      <c r="A470" s="16"/>
      <c r="B470" s="16"/>
      <c r="C470" s="165"/>
      <c r="D470" s="165"/>
      <c r="E470" s="165"/>
      <c r="F470" s="165"/>
      <c r="G470" s="164"/>
      <c r="H470" s="164"/>
      <c r="I470" s="164"/>
      <c r="J470" s="164"/>
    </row>
    <row r="471" spans="1:10" x14ac:dyDescent="0.25">
      <c r="A471" s="16"/>
      <c r="B471" s="16"/>
      <c r="C471" s="165"/>
      <c r="D471" s="165"/>
      <c r="E471" s="165"/>
      <c r="F471" s="165"/>
      <c r="G471" s="164"/>
      <c r="H471" s="164"/>
      <c r="I471" s="164"/>
      <c r="J471" s="164"/>
    </row>
    <row r="472" spans="1:10" x14ac:dyDescent="0.25">
      <c r="A472" s="16"/>
      <c r="B472" s="16"/>
      <c r="C472" s="165"/>
      <c r="D472" s="165"/>
      <c r="E472" s="165"/>
      <c r="F472" s="165"/>
      <c r="G472" s="164"/>
      <c r="H472" s="164"/>
      <c r="I472" s="164"/>
      <c r="J472" s="164"/>
    </row>
    <row r="473" spans="1:10" x14ac:dyDescent="0.25">
      <c r="A473" s="16"/>
      <c r="B473" s="16"/>
      <c r="C473" s="165"/>
      <c r="D473" s="165"/>
      <c r="E473" s="165"/>
      <c r="F473" s="165"/>
      <c r="G473" s="164"/>
      <c r="H473" s="164"/>
      <c r="I473" s="164"/>
      <c r="J473" s="164"/>
    </row>
    <row r="474" spans="1:10" x14ac:dyDescent="0.25">
      <c r="A474" s="16"/>
      <c r="B474" s="16"/>
      <c r="C474" s="165"/>
      <c r="D474" s="165"/>
      <c r="E474" s="165"/>
      <c r="F474" s="165"/>
      <c r="G474" s="164"/>
      <c r="H474" s="164"/>
      <c r="I474" s="164"/>
      <c r="J474" s="164"/>
    </row>
    <row r="475" spans="1:10" x14ac:dyDescent="0.25">
      <c r="A475" s="16"/>
      <c r="B475" s="16"/>
      <c r="C475" s="165"/>
      <c r="D475" s="165"/>
      <c r="E475" s="165"/>
      <c r="F475" s="165"/>
      <c r="G475" s="164"/>
      <c r="H475" s="164"/>
      <c r="I475" s="164"/>
      <c r="J475" s="164"/>
    </row>
    <row r="476" spans="1:10" x14ac:dyDescent="0.25">
      <c r="A476" s="16"/>
      <c r="B476" s="16"/>
      <c r="C476" s="165"/>
      <c r="D476" s="165"/>
      <c r="E476" s="165"/>
      <c r="F476" s="165"/>
      <c r="G476" s="164"/>
      <c r="H476" s="164"/>
      <c r="I476" s="164"/>
      <c r="J476" s="164"/>
    </row>
    <row r="477" spans="1:10" x14ac:dyDescent="0.25">
      <c r="A477" s="16"/>
      <c r="B477" s="16"/>
      <c r="C477" s="165"/>
      <c r="D477" s="165"/>
      <c r="E477" s="165"/>
      <c r="F477" s="165"/>
      <c r="G477" s="164"/>
      <c r="H477" s="164"/>
      <c r="I477" s="164"/>
      <c r="J477" s="164"/>
    </row>
    <row r="478" spans="1:10" x14ac:dyDescent="0.25">
      <c r="A478" s="16"/>
      <c r="B478" s="16"/>
      <c r="C478" s="165"/>
      <c r="D478" s="165"/>
      <c r="E478" s="165"/>
      <c r="F478" s="165"/>
      <c r="G478" s="164"/>
      <c r="H478" s="164"/>
      <c r="I478" s="164"/>
      <c r="J478" s="164"/>
    </row>
    <row r="479" spans="1:10" x14ac:dyDescent="0.25">
      <c r="A479" s="16"/>
      <c r="B479" s="16"/>
      <c r="C479" s="165"/>
      <c r="D479" s="165"/>
      <c r="E479" s="165"/>
      <c r="F479" s="165"/>
      <c r="G479" s="164"/>
      <c r="H479" s="164"/>
      <c r="I479" s="164"/>
      <c r="J479" s="164"/>
    </row>
    <row r="480" spans="1:10" x14ac:dyDescent="0.25">
      <c r="A480" s="16"/>
      <c r="B480" s="16"/>
      <c r="C480" s="165"/>
      <c r="D480" s="165"/>
      <c r="E480" s="165"/>
      <c r="F480" s="165"/>
      <c r="G480" s="164"/>
      <c r="H480" s="164"/>
      <c r="I480" s="164"/>
      <c r="J480" s="164"/>
    </row>
    <row r="481" spans="1:10" x14ac:dyDescent="0.25">
      <c r="A481" s="16"/>
      <c r="B481" s="16"/>
      <c r="C481" s="165"/>
      <c r="D481" s="165"/>
      <c r="E481" s="165"/>
      <c r="F481" s="165"/>
      <c r="G481" s="164"/>
      <c r="H481" s="164"/>
      <c r="I481" s="164"/>
      <c r="J481" s="164"/>
    </row>
    <row r="482" spans="1:10" x14ac:dyDescent="0.25">
      <c r="A482" s="16"/>
      <c r="B482" s="16"/>
      <c r="C482" s="165"/>
      <c r="D482" s="165"/>
      <c r="E482" s="165"/>
      <c r="F482" s="165"/>
      <c r="G482" s="164"/>
      <c r="H482" s="164"/>
      <c r="I482" s="164"/>
      <c r="J482" s="164"/>
    </row>
    <row r="483" spans="1:10" x14ac:dyDescent="0.25">
      <c r="A483" s="16"/>
      <c r="B483" s="16"/>
      <c r="C483" s="165"/>
      <c r="D483" s="165"/>
      <c r="E483" s="165"/>
      <c r="F483" s="165"/>
      <c r="G483" s="164"/>
      <c r="H483" s="164"/>
      <c r="I483" s="164"/>
      <c r="J483" s="164"/>
    </row>
    <row r="484" spans="1:10" x14ac:dyDescent="0.25">
      <c r="A484" s="16"/>
      <c r="B484" s="16"/>
      <c r="C484" s="165"/>
      <c r="D484" s="165"/>
      <c r="E484" s="165"/>
      <c r="F484" s="165"/>
      <c r="G484" s="164"/>
      <c r="H484" s="164"/>
      <c r="I484" s="164"/>
      <c r="J484" s="164"/>
    </row>
    <row r="485" spans="1:10" x14ac:dyDescent="0.25">
      <c r="A485" s="16"/>
      <c r="B485" s="16"/>
      <c r="C485" s="165"/>
      <c r="D485" s="165"/>
      <c r="E485" s="165"/>
      <c r="F485" s="165"/>
      <c r="G485" s="164"/>
      <c r="H485" s="164"/>
      <c r="I485" s="164"/>
      <c r="J485" s="164"/>
    </row>
    <row r="486" spans="1:10" x14ac:dyDescent="0.25">
      <c r="A486" s="16"/>
      <c r="B486" s="16"/>
      <c r="C486" s="165"/>
      <c r="D486" s="165"/>
      <c r="E486" s="165"/>
      <c r="F486" s="165"/>
      <c r="G486" s="164"/>
      <c r="H486" s="164"/>
      <c r="I486" s="164"/>
      <c r="J486" s="164"/>
    </row>
    <row r="487" spans="1:10" x14ac:dyDescent="0.25">
      <c r="A487" s="16"/>
      <c r="B487" s="16"/>
      <c r="C487" s="165"/>
      <c r="D487" s="165"/>
      <c r="E487" s="165"/>
      <c r="F487" s="165"/>
      <c r="G487" s="164"/>
      <c r="H487" s="164"/>
      <c r="I487" s="164"/>
      <c r="J487" s="164"/>
    </row>
    <row r="488" spans="1:10" x14ac:dyDescent="0.25">
      <c r="A488" s="16"/>
      <c r="B488" s="16"/>
      <c r="C488" s="165"/>
      <c r="D488" s="165"/>
      <c r="E488" s="165"/>
      <c r="F488" s="165"/>
      <c r="G488" s="164"/>
      <c r="H488" s="164"/>
      <c r="I488" s="164"/>
      <c r="J488" s="164"/>
    </row>
    <row r="489" spans="1:10" x14ac:dyDescent="0.25">
      <c r="A489" s="16"/>
      <c r="B489" s="16"/>
      <c r="C489" s="165"/>
      <c r="D489" s="165"/>
      <c r="E489" s="165"/>
      <c r="F489" s="165"/>
      <c r="G489" s="164"/>
      <c r="H489" s="164"/>
      <c r="I489" s="164"/>
      <c r="J489" s="164"/>
    </row>
    <row r="490" spans="1:10" x14ac:dyDescent="0.25">
      <c r="A490" s="16"/>
      <c r="B490" s="16"/>
      <c r="C490" s="165"/>
      <c r="D490" s="165"/>
      <c r="E490" s="165"/>
      <c r="F490" s="165"/>
      <c r="G490" s="164"/>
      <c r="H490" s="164"/>
      <c r="I490" s="164"/>
      <c r="J490" s="164"/>
    </row>
    <row r="491" spans="1:10" x14ac:dyDescent="0.25">
      <c r="A491" s="16"/>
      <c r="B491" s="16"/>
      <c r="C491" s="165"/>
      <c r="D491" s="165"/>
      <c r="E491" s="165"/>
      <c r="F491" s="165"/>
      <c r="G491" s="164"/>
      <c r="H491" s="164"/>
      <c r="I491" s="164"/>
      <c r="J491" s="164"/>
    </row>
    <row r="492" spans="1:10" x14ac:dyDescent="0.25">
      <c r="A492" s="16"/>
      <c r="B492" s="16"/>
      <c r="C492" s="165"/>
      <c r="D492" s="165"/>
      <c r="E492" s="165"/>
      <c r="F492" s="165"/>
      <c r="G492" s="164"/>
      <c r="H492" s="164"/>
      <c r="I492" s="164"/>
      <c r="J492" s="164"/>
    </row>
    <row r="493" spans="1:10" x14ac:dyDescent="0.25">
      <c r="A493" s="16"/>
      <c r="B493" s="16"/>
      <c r="C493" s="165"/>
      <c r="D493" s="165"/>
      <c r="E493" s="165"/>
      <c r="F493" s="165"/>
      <c r="G493" s="164"/>
      <c r="H493" s="164"/>
      <c r="I493" s="164"/>
      <c r="J493" s="164"/>
    </row>
    <row r="494" spans="1:10" x14ac:dyDescent="0.25">
      <c r="A494" s="16"/>
      <c r="B494" s="16"/>
      <c r="C494" s="165"/>
      <c r="D494" s="165"/>
      <c r="E494" s="165"/>
      <c r="F494" s="165"/>
      <c r="G494" s="164"/>
      <c r="H494" s="164"/>
      <c r="I494" s="164"/>
      <c r="J494" s="164"/>
    </row>
    <row r="495" spans="1:10" x14ac:dyDescent="0.25">
      <c r="A495" s="16"/>
      <c r="B495" s="16"/>
      <c r="C495" s="165"/>
      <c r="D495" s="165"/>
      <c r="E495" s="165"/>
      <c r="F495" s="165"/>
      <c r="G495" s="164"/>
      <c r="H495" s="164"/>
      <c r="I495" s="164"/>
      <c r="J495" s="164"/>
    </row>
    <row r="496" spans="1:10" x14ac:dyDescent="0.25">
      <c r="A496" s="16"/>
      <c r="B496" s="16"/>
      <c r="C496" s="165"/>
      <c r="D496" s="165"/>
      <c r="E496" s="165"/>
      <c r="F496" s="165"/>
      <c r="G496" s="164"/>
      <c r="H496" s="164"/>
      <c r="I496" s="164"/>
      <c r="J496" s="164"/>
    </row>
    <row r="497" spans="1:10" x14ac:dyDescent="0.25">
      <c r="A497" s="16"/>
      <c r="B497" s="16"/>
      <c r="C497" s="165"/>
      <c r="D497" s="165"/>
      <c r="E497" s="165"/>
      <c r="F497" s="165"/>
      <c r="G497" s="164"/>
      <c r="H497" s="164"/>
      <c r="I497" s="164"/>
      <c r="J497" s="164"/>
    </row>
    <row r="498" spans="1:10" x14ac:dyDescent="0.25">
      <c r="A498" s="16"/>
      <c r="B498" s="16"/>
      <c r="C498" s="165"/>
      <c r="D498" s="165"/>
      <c r="E498" s="165"/>
      <c r="F498" s="165"/>
      <c r="G498" s="164"/>
      <c r="H498" s="164"/>
      <c r="I498" s="164"/>
      <c r="J498" s="164"/>
    </row>
    <row r="499" spans="1:10" x14ac:dyDescent="0.25">
      <c r="A499" s="16"/>
      <c r="B499" s="16"/>
      <c r="C499" s="165"/>
      <c r="D499" s="165"/>
      <c r="E499" s="165"/>
      <c r="F499" s="165"/>
      <c r="G499" s="164"/>
      <c r="H499" s="164"/>
      <c r="I499" s="164"/>
      <c r="J499" s="164"/>
    </row>
    <row r="500" spans="1:10" x14ac:dyDescent="0.25">
      <c r="A500" s="16"/>
      <c r="B500" s="16"/>
      <c r="C500" s="165"/>
      <c r="D500" s="165"/>
      <c r="E500" s="165"/>
      <c r="F500" s="165"/>
      <c r="G500" s="164"/>
      <c r="H500" s="164"/>
      <c r="I500" s="164"/>
      <c r="J500" s="164"/>
    </row>
    <row r="501" spans="1:10" x14ac:dyDescent="0.25">
      <c r="A501" s="16"/>
      <c r="B501" s="16"/>
      <c r="C501" s="165"/>
      <c r="D501" s="165"/>
      <c r="E501" s="165"/>
      <c r="F501" s="165"/>
      <c r="G501" s="164"/>
      <c r="H501" s="164"/>
      <c r="I501" s="164"/>
      <c r="J501" s="164"/>
    </row>
    <row r="502" spans="1:10" x14ac:dyDescent="0.25">
      <c r="A502" s="16"/>
      <c r="B502" s="16"/>
      <c r="C502" s="165"/>
      <c r="D502" s="165"/>
      <c r="E502" s="165"/>
      <c r="F502" s="165"/>
      <c r="G502" s="164"/>
      <c r="H502" s="164"/>
      <c r="I502" s="164"/>
      <c r="J502" s="164"/>
    </row>
    <row r="503" spans="1:10" x14ac:dyDescent="0.25">
      <c r="A503" s="16"/>
      <c r="B503" s="16"/>
      <c r="C503" s="165"/>
      <c r="D503" s="165"/>
      <c r="E503" s="165"/>
      <c r="F503" s="165"/>
      <c r="G503" s="164"/>
      <c r="H503" s="164"/>
      <c r="I503" s="164"/>
      <c r="J503" s="164"/>
    </row>
    <row r="504" spans="1:10" x14ac:dyDescent="0.25">
      <c r="A504" s="16"/>
      <c r="B504" s="16"/>
      <c r="C504" s="165"/>
      <c r="D504" s="165"/>
      <c r="E504" s="165"/>
      <c r="F504" s="165"/>
      <c r="G504" s="164"/>
      <c r="H504" s="164"/>
      <c r="I504" s="164"/>
      <c r="J504" s="164"/>
    </row>
    <row r="505" spans="1:10" x14ac:dyDescent="0.25">
      <c r="A505" s="16"/>
      <c r="B505" s="16"/>
      <c r="C505" s="165"/>
      <c r="D505" s="165"/>
      <c r="E505" s="165"/>
      <c r="F505" s="165"/>
      <c r="G505" s="164"/>
      <c r="H505" s="164"/>
      <c r="I505" s="164"/>
      <c r="J505" s="164"/>
    </row>
    <row r="506" spans="1:10" x14ac:dyDescent="0.25">
      <c r="A506" s="16"/>
      <c r="B506" s="16"/>
      <c r="C506" s="165"/>
      <c r="D506" s="165"/>
      <c r="E506" s="165"/>
      <c r="F506" s="165"/>
      <c r="G506" s="164"/>
      <c r="H506" s="164"/>
      <c r="I506" s="164"/>
      <c r="J506" s="164"/>
    </row>
    <row r="507" spans="1:10" x14ac:dyDescent="0.25">
      <c r="A507" s="16"/>
      <c r="B507" s="16"/>
      <c r="C507" s="165"/>
      <c r="D507" s="165"/>
      <c r="E507" s="165"/>
      <c r="F507" s="165"/>
      <c r="G507" s="164"/>
      <c r="H507" s="164"/>
      <c r="I507" s="164"/>
      <c r="J507" s="164"/>
    </row>
    <row r="508" spans="1:10" x14ac:dyDescent="0.25">
      <c r="A508" s="16"/>
      <c r="B508" s="16"/>
      <c r="C508" s="165"/>
      <c r="D508" s="165"/>
      <c r="E508" s="165"/>
      <c r="F508" s="165"/>
      <c r="G508" s="164"/>
      <c r="H508" s="164"/>
      <c r="I508" s="164"/>
      <c r="J508" s="164"/>
    </row>
    <row r="509" spans="1:10" x14ac:dyDescent="0.25">
      <c r="A509" s="16"/>
      <c r="B509" s="16"/>
      <c r="C509" s="165"/>
      <c r="D509" s="165"/>
      <c r="E509" s="165"/>
      <c r="F509" s="165"/>
      <c r="G509" s="164"/>
      <c r="H509" s="164"/>
      <c r="I509" s="164"/>
      <c r="J509" s="164"/>
    </row>
    <row r="510" spans="1:10" x14ac:dyDescent="0.25">
      <c r="A510" s="16"/>
      <c r="B510" s="16"/>
      <c r="C510" s="165"/>
      <c r="D510" s="165"/>
      <c r="E510" s="165"/>
      <c r="F510" s="165"/>
      <c r="G510" s="164"/>
      <c r="H510" s="164"/>
      <c r="I510" s="164"/>
      <c r="J510" s="164"/>
    </row>
    <row r="511" spans="1:10" x14ac:dyDescent="0.25">
      <c r="A511" s="16"/>
      <c r="B511" s="16"/>
      <c r="C511" s="165"/>
      <c r="D511" s="165"/>
      <c r="E511" s="165"/>
      <c r="F511" s="165"/>
      <c r="G511" s="164"/>
      <c r="H511" s="164"/>
      <c r="I511" s="164"/>
      <c r="J511" s="164"/>
    </row>
    <row r="512" spans="1:10" x14ac:dyDescent="0.25">
      <c r="A512" s="16"/>
      <c r="B512" s="16"/>
      <c r="C512" s="165"/>
      <c r="D512" s="165"/>
      <c r="E512" s="165"/>
      <c r="F512" s="165"/>
      <c r="G512" s="164"/>
      <c r="H512" s="164"/>
      <c r="I512" s="164"/>
      <c r="J512" s="164"/>
    </row>
    <row r="513" spans="1:10" x14ac:dyDescent="0.25">
      <c r="A513" s="16"/>
      <c r="B513" s="16"/>
      <c r="C513" s="165"/>
      <c r="D513" s="165"/>
      <c r="E513" s="165"/>
      <c r="F513" s="165"/>
      <c r="G513" s="164"/>
      <c r="H513" s="164"/>
      <c r="I513" s="164"/>
      <c r="J513" s="164"/>
    </row>
    <row r="514" spans="1:10" x14ac:dyDescent="0.25">
      <c r="A514" s="16"/>
      <c r="B514" s="16"/>
      <c r="C514" s="165"/>
      <c r="D514" s="165"/>
      <c r="E514" s="165"/>
      <c r="F514" s="165"/>
      <c r="G514" s="164"/>
      <c r="H514" s="164"/>
      <c r="I514" s="164"/>
      <c r="J514" s="164"/>
    </row>
    <row r="515" spans="1:10" x14ac:dyDescent="0.25">
      <c r="A515" s="16"/>
      <c r="B515" s="16"/>
      <c r="C515" s="165"/>
      <c r="D515" s="165"/>
      <c r="E515" s="165"/>
      <c r="F515" s="165"/>
      <c r="G515" s="164"/>
      <c r="H515" s="164"/>
      <c r="I515" s="164"/>
      <c r="J515" s="164"/>
    </row>
    <row r="516" spans="1:10" x14ac:dyDescent="0.25">
      <c r="A516" s="16"/>
      <c r="B516" s="16"/>
      <c r="C516" s="165"/>
      <c r="D516" s="165"/>
      <c r="E516" s="165"/>
      <c r="F516" s="165"/>
      <c r="G516" s="164"/>
      <c r="H516" s="164"/>
      <c r="I516" s="164"/>
      <c r="J516" s="164"/>
    </row>
    <row r="517" spans="1:10" x14ac:dyDescent="0.25">
      <c r="A517" s="16"/>
      <c r="B517" s="16"/>
      <c r="C517" s="165"/>
      <c r="D517" s="165"/>
      <c r="E517" s="165"/>
      <c r="F517" s="165"/>
      <c r="G517" s="164"/>
      <c r="H517" s="164"/>
      <c r="I517" s="164"/>
      <c r="J517" s="164"/>
    </row>
    <row r="518" spans="1:10" x14ac:dyDescent="0.25">
      <c r="A518" s="16"/>
      <c r="B518" s="16"/>
      <c r="C518" s="165"/>
      <c r="D518" s="165"/>
      <c r="E518" s="165"/>
      <c r="F518" s="165"/>
      <c r="G518" s="164"/>
      <c r="H518" s="164"/>
      <c r="I518" s="164"/>
      <c r="J518" s="164"/>
    </row>
    <row r="519" spans="1:10" x14ac:dyDescent="0.25">
      <c r="A519" s="16"/>
      <c r="B519" s="16"/>
      <c r="C519" s="165"/>
      <c r="D519" s="165"/>
      <c r="E519" s="165"/>
      <c r="F519" s="165"/>
      <c r="G519" s="164"/>
      <c r="H519" s="164"/>
      <c r="I519" s="164"/>
      <c r="J519" s="164"/>
    </row>
    <row r="520" spans="1:10" x14ac:dyDescent="0.25">
      <c r="A520" s="16"/>
      <c r="B520" s="16"/>
      <c r="C520" s="165"/>
      <c r="D520" s="165"/>
      <c r="E520" s="165"/>
      <c r="F520" s="165"/>
      <c r="G520" s="164"/>
      <c r="H520" s="164"/>
      <c r="I520" s="164"/>
      <c r="J520" s="164"/>
    </row>
    <row r="521" spans="1:10" x14ac:dyDescent="0.25">
      <c r="A521" s="16"/>
      <c r="B521" s="16"/>
      <c r="C521" s="165"/>
      <c r="D521" s="165"/>
      <c r="E521" s="165"/>
      <c r="F521" s="165"/>
      <c r="G521" s="164"/>
      <c r="H521" s="164"/>
      <c r="I521" s="164"/>
      <c r="J521" s="164"/>
    </row>
    <row r="522" spans="1:10" x14ac:dyDescent="0.25">
      <c r="A522" s="16"/>
      <c r="B522" s="16"/>
      <c r="C522" s="165"/>
      <c r="D522" s="165"/>
      <c r="E522" s="165"/>
      <c r="F522" s="165"/>
      <c r="G522" s="164"/>
      <c r="H522" s="164"/>
      <c r="I522" s="164"/>
      <c r="J522" s="164"/>
    </row>
    <row r="523" spans="1:10" x14ac:dyDescent="0.25">
      <c r="A523" s="16"/>
      <c r="B523" s="16"/>
      <c r="C523" s="165"/>
      <c r="D523" s="165"/>
      <c r="E523" s="165"/>
      <c r="F523" s="165"/>
      <c r="G523" s="164"/>
      <c r="H523" s="164"/>
      <c r="I523" s="164"/>
      <c r="J523" s="164"/>
    </row>
    <row r="524" spans="1:10" x14ac:dyDescent="0.25">
      <c r="A524" s="16"/>
      <c r="B524" s="16"/>
      <c r="C524" s="165"/>
      <c r="D524" s="165"/>
      <c r="E524" s="165"/>
      <c r="F524" s="165"/>
      <c r="G524" s="164"/>
      <c r="H524" s="164"/>
      <c r="I524" s="164"/>
      <c r="J524" s="164"/>
    </row>
    <row r="525" spans="1:10" x14ac:dyDescent="0.25">
      <c r="A525" s="16"/>
      <c r="B525" s="16"/>
      <c r="C525" s="165"/>
      <c r="D525" s="165"/>
      <c r="E525" s="165"/>
      <c r="F525" s="165"/>
      <c r="G525" s="164"/>
      <c r="H525" s="164"/>
      <c r="I525" s="164"/>
      <c r="J525" s="164"/>
    </row>
    <row r="526" spans="1:10" x14ac:dyDescent="0.25">
      <c r="A526" s="16"/>
      <c r="B526" s="16"/>
      <c r="C526" s="165"/>
      <c r="D526" s="165"/>
      <c r="E526" s="165"/>
      <c r="F526" s="165"/>
      <c r="G526" s="164"/>
      <c r="H526" s="164"/>
      <c r="I526" s="164"/>
      <c r="J526" s="164"/>
    </row>
    <row r="527" spans="1:10" x14ac:dyDescent="0.25">
      <c r="A527" s="16"/>
      <c r="B527" s="16"/>
      <c r="C527" s="165"/>
      <c r="D527" s="165"/>
      <c r="E527" s="165"/>
      <c r="F527" s="165"/>
      <c r="G527" s="164"/>
      <c r="H527" s="164"/>
      <c r="I527" s="164"/>
      <c r="J527" s="164"/>
    </row>
    <row r="528" spans="1:10" x14ac:dyDescent="0.25">
      <c r="A528" s="16"/>
      <c r="B528" s="16"/>
      <c r="C528" s="165"/>
      <c r="D528" s="165"/>
      <c r="E528" s="165"/>
      <c r="F528" s="165"/>
      <c r="G528" s="164"/>
      <c r="H528" s="164"/>
      <c r="I528" s="164"/>
      <c r="J528" s="164"/>
    </row>
    <row r="529" spans="1:10" x14ac:dyDescent="0.25">
      <c r="A529" s="16"/>
      <c r="B529" s="16"/>
      <c r="C529" s="165"/>
      <c r="D529" s="165"/>
      <c r="E529" s="165"/>
      <c r="F529" s="165"/>
      <c r="G529" s="164"/>
      <c r="H529" s="164"/>
      <c r="I529" s="164"/>
      <c r="J529" s="164"/>
    </row>
    <row r="530" spans="1:10" x14ac:dyDescent="0.25">
      <c r="A530" s="16"/>
      <c r="B530" s="16"/>
      <c r="C530" s="165"/>
      <c r="D530" s="165"/>
      <c r="E530" s="165"/>
      <c r="F530" s="165"/>
      <c r="G530" s="164"/>
      <c r="H530" s="164"/>
      <c r="I530" s="164"/>
      <c r="J530" s="164"/>
    </row>
    <row r="531" spans="1:10" x14ac:dyDescent="0.25">
      <c r="A531" s="16"/>
      <c r="B531" s="16"/>
      <c r="C531" s="165"/>
      <c r="D531" s="165"/>
      <c r="E531" s="165"/>
      <c r="F531" s="165"/>
      <c r="G531" s="164"/>
      <c r="H531" s="164"/>
      <c r="I531" s="164"/>
      <c r="J531" s="164"/>
    </row>
    <row r="532" spans="1:10" x14ac:dyDescent="0.25">
      <c r="A532" s="16"/>
      <c r="B532" s="16"/>
      <c r="C532" s="165"/>
      <c r="D532" s="165"/>
      <c r="E532" s="165"/>
      <c r="F532" s="165"/>
      <c r="G532" s="164"/>
      <c r="H532" s="164"/>
      <c r="I532" s="164"/>
      <c r="J532" s="164"/>
    </row>
    <row r="533" spans="1:10" x14ac:dyDescent="0.25">
      <c r="A533" s="16"/>
      <c r="B533" s="16"/>
      <c r="C533" s="165"/>
      <c r="D533" s="165"/>
      <c r="E533" s="165"/>
      <c r="F533" s="165"/>
      <c r="G533" s="164"/>
      <c r="H533" s="164"/>
      <c r="I533" s="164"/>
      <c r="J533" s="164"/>
    </row>
    <row r="534" spans="1:10" x14ac:dyDescent="0.25">
      <c r="A534" s="16"/>
      <c r="B534" s="16"/>
      <c r="C534" s="165"/>
      <c r="D534" s="165"/>
      <c r="E534" s="165"/>
      <c r="F534" s="165"/>
      <c r="G534" s="164"/>
      <c r="H534" s="164"/>
      <c r="I534" s="164"/>
      <c r="J534" s="164"/>
    </row>
    <row r="535" spans="1:10" x14ac:dyDescent="0.25">
      <c r="A535" s="16"/>
      <c r="B535" s="16"/>
      <c r="C535" s="165"/>
      <c r="D535" s="165"/>
      <c r="E535" s="165"/>
      <c r="F535" s="165"/>
      <c r="G535" s="164"/>
      <c r="H535" s="164"/>
      <c r="I535" s="164"/>
      <c r="J535" s="164"/>
    </row>
    <row r="536" spans="1:10" x14ac:dyDescent="0.25">
      <c r="A536" s="16"/>
      <c r="B536" s="16"/>
      <c r="C536" s="165"/>
      <c r="D536" s="165"/>
      <c r="E536" s="165"/>
      <c r="F536" s="165"/>
      <c r="G536" s="164"/>
      <c r="H536" s="164"/>
      <c r="I536" s="164"/>
      <c r="J536" s="164"/>
    </row>
    <row r="537" spans="1:10" x14ac:dyDescent="0.25">
      <c r="A537" s="16"/>
      <c r="B537" s="16"/>
      <c r="C537" s="165"/>
      <c r="D537" s="165"/>
      <c r="E537" s="165"/>
      <c r="F537" s="165"/>
      <c r="G537" s="164"/>
      <c r="H537" s="164"/>
      <c r="I537" s="164"/>
      <c r="J537" s="164"/>
    </row>
    <row r="538" spans="1:10" x14ac:dyDescent="0.25">
      <c r="A538" s="16"/>
      <c r="B538" s="16"/>
      <c r="C538" s="165"/>
      <c r="D538" s="165"/>
      <c r="E538" s="165"/>
      <c r="F538" s="165"/>
      <c r="G538" s="164"/>
      <c r="H538" s="164"/>
      <c r="I538" s="164"/>
      <c r="J538" s="164"/>
    </row>
    <row r="539" spans="1:10" x14ac:dyDescent="0.25">
      <c r="A539" s="16"/>
      <c r="B539" s="16"/>
      <c r="C539" s="165"/>
      <c r="D539" s="165"/>
      <c r="E539" s="165"/>
      <c r="F539" s="165"/>
      <c r="G539" s="164"/>
      <c r="H539" s="164"/>
      <c r="I539" s="164"/>
      <c r="J539" s="164"/>
    </row>
    <row r="540" spans="1:10" x14ac:dyDescent="0.25">
      <c r="A540" s="16"/>
      <c r="B540" s="16"/>
      <c r="C540" s="165"/>
      <c r="D540" s="165"/>
      <c r="E540" s="165"/>
      <c r="F540" s="165"/>
      <c r="G540" s="164"/>
      <c r="H540" s="164"/>
      <c r="I540" s="164"/>
      <c r="J540" s="164"/>
    </row>
    <row r="541" spans="1:10" x14ac:dyDescent="0.25">
      <c r="A541" s="16"/>
      <c r="B541" s="16"/>
      <c r="C541" s="165"/>
      <c r="D541" s="165"/>
      <c r="E541" s="165"/>
      <c r="F541" s="165"/>
      <c r="G541" s="164"/>
      <c r="H541" s="164"/>
      <c r="I541" s="164"/>
      <c r="J541" s="164"/>
    </row>
    <row r="542" spans="1:10" x14ac:dyDescent="0.25">
      <c r="A542" s="16"/>
      <c r="B542" s="16"/>
      <c r="C542" s="165"/>
      <c r="D542" s="165"/>
      <c r="E542" s="165"/>
      <c r="F542" s="165"/>
      <c r="G542" s="164"/>
      <c r="H542" s="164"/>
      <c r="I542" s="164"/>
      <c r="J542" s="164"/>
    </row>
    <row r="543" spans="1:10" x14ac:dyDescent="0.25">
      <c r="A543" s="16"/>
      <c r="B543" s="16"/>
      <c r="C543" s="165"/>
      <c r="D543" s="165"/>
      <c r="E543" s="165"/>
      <c r="F543" s="165"/>
      <c r="G543" s="164"/>
      <c r="H543" s="164"/>
      <c r="I543" s="164"/>
      <c r="J543" s="164"/>
    </row>
    <row r="544" spans="1:10" x14ac:dyDescent="0.25">
      <c r="A544" s="16"/>
      <c r="B544" s="16"/>
      <c r="C544" s="165"/>
      <c r="D544" s="165"/>
      <c r="E544" s="165"/>
      <c r="F544" s="165"/>
      <c r="G544" s="164"/>
      <c r="H544" s="164"/>
      <c r="I544" s="164"/>
      <c r="J544" s="164"/>
    </row>
    <row r="545" spans="1:10" x14ac:dyDescent="0.25">
      <c r="A545" s="16"/>
      <c r="B545" s="16"/>
      <c r="C545" s="165"/>
      <c r="D545" s="165"/>
      <c r="E545" s="165"/>
      <c r="F545" s="165"/>
      <c r="G545" s="164"/>
      <c r="H545" s="164"/>
      <c r="I545" s="164"/>
      <c r="J545" s="164"/>
    </row>
    <row r="546" spans="1:10" x14ac:dyDescent="0.25">
      <c r="A546" s="16"/>
      <c r="B546" s="16"/>
      <c r="C546" s="165"/>
      <c r="D546" s="165"/>
      <c r="E546" s="165"/>
      <c r="F546" s="165"/>
      <c r="G546" s="164"/>
      <c r="H546" s="164"/>
      <c r="I546" s="164"/>
      <c r="J546" s="164"/>
    </row>
    <row r="547" spans="1:10" x14ac:dyDescent="0.25">
      <c r="A547" s="16"/>
      <c r="B547" s="16"/>
      <c r="C547" s="165"/>
      <c r="D547" s="165"/>
      <c r="E547" s="165"/>
      <c r="F547" s="165"/>
      <c r="G547" s="164"/>
      <c r="H547" s="164"/>
      <c r="I547" s="164"/>
      <c r="J547" s="164"/>
    </row>
    <row r="548" spans="1:10" x14ac:dyDescent="0.25">
      <c r="A548" s="16"/>
      <c r="B548" s="16"/>
      <c r="C548" s="165"/>
      <c r="D548" s="165"/>
      <c r="E548" s="165"/>
      <c r="F548" s="165"/>
      <c r="G548" s="164"/>
      <c r="H548" s="164"/>
      <c r="I548" s="164"/>
      <c r="J548" s="164"/>
    </row>
    <row r="549" spans="1:10" x14ac:dyDescent="0.25">
      <c r="A549" s="16"/>
      <c r="B549" s="16"/>
      <c r="C549" s="165"/>
      <c r="D549" s="165"/>
      <c r="E549" s="165"/>
      <c r="F549" s="165"/>
      <c r="G549" s="164"/>
      <c r="H549" s="164"/>
      <c r="I549" s="164"/>
      <c r="J549" s="164"/>
    </row>
    <row r="550" spans="1:10" x14ac:dyDescent="0.25">
      <c r="A550" s="16"/>
      <c r="B550" s="16"/>
      <c r="C550" s="165"/>
      <c r="D550" s="165"/>
      <c r="E550" s="165"/>
      <c r="F550" s="165"/>
      <c r="G550" s="164"/>
      <c r="H550" s="164"/>
      <c r="I550" s="164"/>
      <c r="J550" s="164"/>
    </row>
    <row r="551" spans="1:10" x14ac:dyDescent="0.25">
      <c r="A551" s="16"/>
      <c r="B551" s="16"/>
      <c r="C551" s="165"/>
      <c r="D551" s="165"/>
      <c r="E551" s="165"/>
      <c r="F551" s="165"/>
      <c r="G551" s="164"/>
      <c r="H551" s="164"/>
      <c r="I551" s="164"/>
      <c r="J551" s="164"/>
    </row>
    <row r="552" spans="1:10" x14ac:dyDescent="0.25">
      <c r="A552" s="16"/>
      <c r="B552" s="16"/>
      <c r="C552" s="165"/>
      <c r="D552" s="165"/>
      <c r="E552" s="165"/>
      <c r="F552" s="165"/>
      <c r="G552" s="164"/>
      <c r="H552" s="164"/>
      <c r="I552" s="164"/>
      <c r="J552" s="164"/>
    </row>
    <row r="553" spans="1:10" x14ac:dyDescent="0.25">
      <c r="A553" s="16"/>
      <c r="B553" s="16"/>
      <c r="C553" s="165"/>
      <c r="D553" s="165"/>
      <c r="E553" s="165"/>
      <c r="F553" s="165"/>
      <c r="G553" s="164"/>
      <c r="H553" s="164"/>
      <c r="I553" s="164"/>
      <c r="J553" s="164"/>
    </row>
    <row r="554" spans="1:10" x14ac:dyDescent="0.25">
      <c r="A554" s="16"/>
      <c r="B554" s="16"/>
      <c r="C554" s="165"/>
      <c r="D554" s="165"/>
      <c r="E554" s="165"/>
      <c r="F554" s="165"/>
      <c r="G554" s="164"/>
      <c r="H554" s="164"/>
      <c r="I554" s="164"/>
      <c r="J554" s="164"/>
    </row>
    <row r="555" spans="1:10" x14ac:dyDescent="0.25">
      <c r="A555" s="16"/>
      <c r="B555" s="16"/>
      <c r="C555" s="165"/>
      <c r="D555" s="165"/>
      <c r="E555" s="165"/>
      <c r="F555" s="165"/>
      <c r="G555" s="164"/>
      <c r="H555" s="164"/>
      <c r="I555" s="164"/>
      <c r="J555" s="164"/>
    </row>
    <row r="556" spans="1:10" x14ac:dyDescent="0.25">
      <c r="A556" s="16"/>
      <c r="B556" s="16"/>
      <c r="C556" s="165"/>
      <c r="D556" s="165"/>
      <c r="E556" s="165"/>
      <c r="F556" s="165"/>
      <c r="G556" s="164"/>
      <c r="H556" s="164"/>
      <c r="I556" s="164"/>
      <c r="J556" s="164"/>
    </row>
    <row r="557" spans="1:10" x14ac:dyDescent="0.25">
      <c r="A557" s="16"/>
      <c r="B557" s="16"/>
      <c r="C557" s="165"/>
      <c r="D557" s="165"/>
      <c r="E557" s="165"/>
      <c r="F557" s="165"/>
      <c r="G557" s="164"/>
      <c r="H557" s="164"/>
      <c r="I557" s="164"/>
      <c r="J557" s="164"/>
    </row>
    <row r="558" spans="1:10" x14ac:dyDescent="0.25">
      <c r="A558" s="16"/>
      <c r="B558" s="16"/>
      <c r="C558" s="165"/>
      <c r="D558" s="165"/>
      <c r="E558" s="165"/>
      <c r="F558" s="165"/>
      <c r="G558" s="164"/>
      <c r="H558" s="164"/>
      <c r="I558" s="164"/>
      <c r="J558" s="164"/>
    </row>
    <row r="559" spans="1:10" x14ac:dyDescent="0.25">
      <c r="A559" s="16"/>
      <c r="B559" s="16"/>
      <c r="C559" s="165"/>
      <c r="D559" s="165"/>
      <c r="E559" s="165"/>
      <c r="F559" s="165"/>
      <c r="G559" s="164"/>
      <c r="H559" s="164"/>
      <c r="I559" s="164"/>
      <c r="J559" s="164"/>
    </row>
    <row r="560" spans="1:10" x14ac:dyDescent="0.25">
      <c r="A560" s="16"/>
      <c r="B560" s="16"/>
      <c r="C560" s="165"/>
      <c r="D560" s="165"/>
      <c r="E560" s="165"/>
      <c r="F560" s="165"/>
      <c r="G560" s="164"/>
      <c r="H560" s="164"/>
      <c r="I560" s="164"/>
      <c r="J560" s="164"/>
    </row>
    <row r="561" spans="1:10" x14ac:dyDescent="0.25">
      <c r="A561" s="16"/>
      <c r="B561" s="16"/>
      <c r="C561" s="165"/>
      <c r="D561" s="165"/>
      <c r="E561" s="165"/>
      <c r="F561" s="165"/>
      <c r="G561" s="164"/>
      <c r="H561" s="164"/>
      <c r="I561" s="164"/>
      <c r="J561" s="164"/>
    </row>
    <row r="562" spans="1:10" x14ac:dyDescent="0.25">
      <c r="A562" s="16"/>
      <c r="B562" s="16"/>
      <c r="C562" s="165"/>
      <c r="D562" s="165"/>
      <c r="E562" s="165"/>
      <c r="F562" s="165"/>
      <c r="G562" s="164"/>
      <c r="H562" s="164"/>
      <c r="I562" s="164"/>
      <c r="J562" s="164"/>
    </row>
    <row r="563" spans="1:10" x14ac:dyDescent="0.25">
      <c r="A563" s="16"/>
      <c r="B563" s="16"/>
      <c r="C563" s="165"/>
      <c r="D563" s="165"/>
      <c r="E563" s="165"/>
      <c r="F563" s="165"/>
      <c r="G563" s="164"/>
      <c r="H563" s="164"/>
      <c r="I563" s="164"/>
      <c r="J563" s="164"/>
    </row>
    <row r="564" spans="1:10" x14ac:dyDescent="0.25">
      <c r="A564" s="16"/>
      <c r="B564" s="16"/>
      <c r="C564" s="165"/>
      <c r="D564" s="165"/>
      <c r="E564" s="165"/>
      <c r="F564" s="165"/>
      <c r="G564" s="164"/>
      <c r="H564" s="164"/>
      <c r="I564" s="164"/>
      <c r="J564" s="164"/>
    </row>
    <row r="565" spans="1:10" x14ac:dyDescent="0.25">
      <c r="A565" s="16"/>
      <c r="B565" s="16"/>
      <c r="C565" s="165"/>
      <c r="D565" s="165"/>
      <c r="E565" s="165"/>
      <c r="F565" s="165"/>
      <c r="G565" s="164"/>
      <c r="H565" s="164"/>
      <c r="I565" s="164"/>
      <c r="J565" s="164"/>
    </row>
    <row r="566" spans="1:10" x14ac:dyDescent="0.25">
      <c r="A566" s="16"/>
      <c r="B566" s="16"/>
      <c r="C566" s="165"/>
      <c r="D566" s="165"/>
      <c r="E566" s="165"/>
      <c r="F566" s="165"/>
      <c r="G566" s="164"/>
      <c r="H566" s="164"/>
      <c r="I566" s="164"/>
      <c r="J566" s="164"/>
    </row>
    <row r="567" spans="1:10" x14ac:dyDescent="0.25">
      <c r="A567" s="16"/>
      <c r="B567" s="16"/>
      <c r="C567" s="165"/>
      <c r="D567" s="165"/>
      <c r="E567" s="165"/>
      <c r="F567" s="165"/>
      <c r="G567" s="164"/>
      <c r="H567" s="164"/>
      <c r="I567" s="164"/>
      <c r="J567" s="164"/>
    </row>
    <row r="568" spans="1:10" x14ac:dyDescent="0.25">
      <c r="A568" s="16"/>
      <c r="B568" s="16"/>
      <c r="C568" s="165"/>
      <c r="D568" s="165"/>
      <c r="E568" s="165"/>
      <c r="F568" s="165"/>
      <c r="G568" s="164"/>
      <c r="H568" s="164"/>
      <c r="I568" s="164"/>
      <c r="J568" s="164"/>
    </row>
    <row r="569" spans="1:10" x14ac:dyDescent="0.25">
      <c r="A569" s="16"/>
      <c r="B569" s="16"/>
      <c r="C569" s="165"/>
      <c r="D569" s="165"/>
      <c r="E569" s="165"/>
      <c r="F569" s="165"/>
      <c r="G569" s="164"/>
      <c r="H569" s="164"/>
      <c r="I569" s="164"/>
      <c r="J569" s="164"/>
    </row>
    <row r="570" spans="1:10" x14ac:dyDescent="0.25">
      <c r="A570" s="16"/>
      <c r="B570" s="16"/>
      <c r="C570" s="165"/>
      <c r="D570" s="165"/>
      <c r="E570" s="165"/>
      <c r="F570" s="165"/>
      <c r="G570" s="164"/>
      <c r="H570" s="164"/>
      <c r="I570" s="164"/>
      <c r="J570" s="164"/>
    </row>
    <row r="571" spans="1:10" x14ac:dyDescent="0.25">
      <c r="A571" s="16"/>
      <c r="B571" s="16"/>
      <c r="C571" s="165"/>
      <c r="D571" s="165"/>
      <c r="E571" s="165"/>
      <c r="F571" s="165"/>
      <c r="G571" s="164"/>
      <c r="H571" s="164"/>
      <c r="I571" s="164"/>
      <c r="J571" s="164"/>
    </row>
    <row r="572" spans="1:10" x14ac:dyDescent="0.25">
      <c r="A572" s="16"/>
      <c r="B572" s="16"/>
      <c r="C572" s="165"/>
      <c r="D572" s="165"/>
      <c r="E572" s="165"/>
      <c r="F572" s="165"/>
      <c r="G572" s="164"/>
      <c r="H572" s="164"/>
      <c r="I572" s="164"/>
      <c r="J572" s="164"/>
    </row>
    <row r="573" spans="1:10" x14ac:dyDescent="0.25">
      <c r="A573" s="16"/>
      <c r="B573" s="16"/>
      <c r="C573" s="165"/>
      <c r="D573" s="165"/>
      <c r="E573" s="165"/>
      <c r="F573" s="165"/>
      <c r="G573" s="164"/>
      <c r="H573" s="164"/>
      <c r="I573" s="164"/>
      <c r="J573" s="164"/>
    </row>
    <row r="574" spans="1:10" x14ac:dyDescent="0.25">
      <c r="A574" s="16"/>
      <c r="B574" s="16"/>
      <c r="C574" s="165"/>
      <c r="D574" s="165"/>
      <c r="E574" s="165"/>
      <c r="F574" s="165"/>
      <c r="G574" s="164"/>
      <c r="H574" s="164"/>
      <c r="I574" s="164"/>
      <c r="J574" s="164"/>
    </row>
    <row r="575" spans="1:10" x14ac:dyDescent="0.25">
      <c r="A575" s="16"/>
      <c r="B575" s="16"/>
      <c r="C575" s="165"/>
      <c r="D575" s="165"/>
      <c r="E575" s="165"/>
      <c r="F575" s="165"/>
      <c r="G575" s="164"/>
      <c r="H575" s="164"/>
      <c r="I575" s="164"/>
      <c r="J575" s="164"/>
    </row>
    <row r="576" spans="1:10" x14ac:dyDescent="0.25">
      <c r="A576" s="16"/>
      <c r="B576" s="16"/>
      <c r="C576" s="165"/>
      <c r="D576" s="165"/>
      <c r="E576" s="165"/>
      <c r="F576" s="165"/>
      <c r="G576" s="164"/>
      <c r="H576" s="164"/>
      <c r="I576" s="164"/>
      <c r="J576" s="164"/>
    </row>
    <row r="577" spans="1:10" x14ac:dyDescent="0.25">
      <c r="A577" s="16"/>
      <c r="B577" s="16"/>
      <c r="C577" s="165"/>
      <c r="D577" s="165"/>
      <c r="E577" s="165"/>
      <c r="F577" s="165"/>
      <c r="G577" s="164"/>
      <c r="H577" s="164"/>
      <c r="I577" s="164"/>
      <c r="J577" s="164"/>
    </row>
    <row r="578" spans="1:10" x14ac:dyDescent="0.25">
      <c r="A578" s="16"/>
      <c r="B578" s="16"/>
      <c r="C578" s="165"/>
      <c r="D578" s="165"/>
      <c r="E578" s="165"/>
      <c r="F578" s="165"/>
      <c r="G578" s="164"/>
      <c r="H578" s="164"/>
      <c r="I578" s="164"/>
      <c r="J578" s="164"/>
    </row>
    <row r="579" spans="1:10" x14ac:dyDescent="0.25">
      <c r="A579" s="16"/>
      <c r="B579" s="16"/>
      <c r="C579" s="165"/>
      <c r="D579" s="165"/>
      <c r="E579" s="165"/>
      <c r="F579" s="165"/>
      <c r="G579" s="164"/>
      <c r="H579" s="164"/>
      <c r="I579" s="164"/>
      <c r="J579" s="164"/>
    </row>
    <row r="580" spans="1:10" x14ac:dyDescent="0.25">
      <c r="A580" s="16"/>
      <c r="B580" s="16"/>
      <c r="C580" s="165"/>
      <c r="D580" s="165"/>
      <c r="E580" s="165"/>
      <c r="F580" s="165"/>
      <c r="G580" s="164"/>
      <c r="H580" s="164"/>
      <c r="I580" s="164"/>
      <c r="J580" s="164"/>
    </row>
    <row r="581" spans="1:10" x14ac:dyDescent="0.25">
      <c r="A581" s="16"/>
      <c r="B581" s="16"/>
      <c r="C581" s="165"/>
      <c r="D581" s="165"/>
      <c r="E581" s="165"/>
      <c r="F581" s="165"/>
      <c r="G581" s="164"/>
      <c r="H581" s="164"/>
      <c r="I581" s="164"/>
      <c r="J581" s="164"/>
    </row>
    <row r="582" spans="1:10" x14ac:dyDescent="0.25">
      <c r="A582" s="16"/>
      <c r="B582" s="16"/>
      <c r="C582" s="165"/>
      <c r="D582" s="165"/>
      <c r="E582" s="165"/>
      <c r="F582" s="165"/>
      <c r="G582" s="164"/>
      <c r="H582" s="164"/>
      <c r="I582" s="164"/>
      <c r="J582" s="164"/>
    </row>
    <row r="583" spans="1:10" x14ac:dyDescent="0.25">
      <c r="A583" s="16"/>
      <c r="B583" s="16"/>
      <c r="C583" s="165"/>
      <c r="D583" s="165"/>
      <c r="E583" s="165"/>
      <c r="F583" s="165"/>
      <c r="G583" s="164"/>
      <c r="H583" s="164"/>
      <c r="I583" s="164"/>
      <c r="J583" s="164"/>
    </row>
    <row r="584" spans="1:10" x14ac:dyDescent="0.25">
      <c r="A584" s="16"/>
      <c r="B584" s="16"/>
      <c r="C584" s="165"/>
      <c r="D584" s="165"/>
      <c r="E584" s="165"/>
      <c r="F584" s="165"/>
      <c r="G584" s="164"/>
      <c r="H584" s="164"/>
      <c r="I584" s="164"/>
      <c r="J584" s="164"/>
    </row>
    <row r="585" spans="1:10" x14ac:dyDescent="0.25">
      <c r="A585" s="16"/>
      <c r="B585" s="16"/>
      <c r="C585" s="165"/>
      <c r="D585" s="165"/>
      <c r="E585" s="165"/>
      <c r="F585" s="165"/>
      <c r="G585" s="164"/>
      <c r="H585" s="164"/>
      <c r="I585" s="164"/>
      <c r="J585" s="164"/>
    </row>
    <row r="586" spans="1:10" x14ac:dyDescent="0.25">
      <c r="A586" s="16"/>
      <c r="B586" s="16"/>
      <c r="C586" s="165"/>
      <c r="D586" s="165"/>
      <c r="E586" s="165"/>
      <c r="F586" s="165"/>
      <c r="G586" s="164"/>
      <c r="H586" s="164"/>
      <c r="I586" s="164"/>
      <c r="J586" s="164"/>
    </row>
    <row r="587" spans="1:10" x14ac:dyDescent="0.25">
      <c r="A587" s="16"/>
      <c r="B587" s="16"/>
      <c r="C587" s="165"/>
      <c r="D587" s="165"/>
      <c r="E587" s="165"/>
      <c r="F587" s="165"/>
      <c r="G587" s="164"/>
      <c r="H587" s="164"/>
      <c r="I587" s="164"/>
      <c r="J587" s="164"/>
    </row>
    <row r="588" spans="1:10" x14ac:dyDescent="0.25">
      <c r="A588" s="16"/>
      <c r="B588" s="16"/>
      <c r="C588" s="165"/>
      <c r="D588" s="165"/>
      <c r="E588" s="165"/>
      <c r="F588" s="165"/>
      <c r="G588" s="164"/>
      <c r="H588" s="164"/>
      <c r="I588" s="164"/>
      <c r="J588" s="164"/>
    </row>
    <row r="589" spans="1:10" x14ac:dyDescent="0.25">
      <c r="A589" s="16"/>
      <c r="B589" s="16"/>
      <c r="C589" s="165"/>
      <c r="D589" s="165"/>
      <c r="E589" s="165"/>
      <c r="F589" s="165"/>
      <c r="G589" s="164"/>
      <c r="H589" s="164"/>
      <c r="I589" s="164"/>
      <c r="J589" s="164"/>
    </row>
    <row r="590" spans="1:10" x14ac:dyDescent="0.25">
      <c r="A590" s="16"/>
      <c r="B590" s="16"/>
      <c r="C590" s="165"/>
      <c r="D590" s="165"/>
      <c r="E590" s="165"/>
      <c r="F590" s="165"/>
      <c r="G590" s="164"/>
      <c r="H590" s="164"/>
      <c r="I590" s="164"/>
      <c r="J590" s="164"/>
    </row>
    <row r="591" spans="1:10" x14ac:dyDescent="0.25">
      <c r="A591" s="16"/>
      <c r="B591" s="16"/>
      <c r="C591" s="165"/>
      <c r="D591" s="165"/>
      <c r="E591" s="165"/>
      <c r="F591" s="165"/>
      <c r="G591" s="164"/>
      <c r="H591" s="164"/>
      <c r="I591" s="164"/>
      <c r="J591" s="164"/>
    </row>
    <row r="592" spans="1:10" x14ac:dyDescent="0.25">
      <c r="A592" s="16"/>
      <c r="B592" s="16"/>
      <c r="C592" s="165"/>
      <c r="D592" s="165"/>
      <c r="E592" s="165"/>
      <c r="F592" s="165"/>
      <c r="G592" s="164"/>
      <c r="H592" s="164"/>
      <c r="I592" s="164"/>
      <c r="J592" s="164"/>
    </row>
    <row r="593" spans="1:10" x14ac:dyDescent="0.25">
      <c r="A593" s="16"/>
      <c r="B593" s="16"/>
      <c r="C593" s="165"/>
      <c r="D593" s="165"/>
      <c r="E593" s="165"/>
      <c r="F593" s="165"/>
      <c r="G593" s="164"/>
      <c r="H593" s="164"/>
      <c r="I593" s="164"/>
      <c r="J593" s="164"/>
    </row>
    <row r="594" spans="1:10" x14ac:dyDescent="0.25">
      <c r="A594" s="16"/>
      <c r="B594" s="16"/>
      <c r="C594" s="165"/>
      <c r="D594" s="165"/>
      <c r="E594" s="165"/>
      <c r="F594" s="165"/>
      <c r="G594" s="164"/>
      <c r="H594" s="164"/>
      <c r="I594" s="164"/>
      <c r="J594" s="164"/>
    </row>
    <row r="595" spans="1:10" x14ac:dyDescent="0.25">
      <c r="A595" s="16"/>
      <c r="B595" s="16"/>
      <c r="C595" s="165"/>
      <c r="D595" s="165"/>
      <c r="E595" s="165"/>
      <c r="F595" s="165"/>
      <c r="G595" s="164"/>
      <c r="H595" s="164"/>
      <c r="I595" s="164"/>
      <c r="J595" s="164"/>
    </row>
    <row r="596" spans="1:10" x14ac:dyDescent="0.25">
      <c r="A596" s="16"/>
      <c r="B596" s="16"/>
      <c r="C596" s="165"/>
      <c r="D596" s="165"/>
      <c r="E596" s="165"/>
      <c r="F596" s="165"/>
      <c r="G596" s="164"/>
      <c r="H596" s="164"/>
      <c r="I596" s="164"/>
      <c r="J596" s="164"/>
    </row>
    <row r="597" spans="1:10" x14ac:dyDescent="0.25">
      <c r="A597" s="16"/>
      <c r="B597" s="16"/>
      <c r="C597" s="165"/>
      <c r="D597" s="165"/>
      <c r="E597" s="165"/>
      <c r="F597" s="165"/>
      <c r="G597" s="164"/>
      <c r="H597" s="164"/>
      <c r="I597" s="164"/>
      <c r="J597" s="164"/>
    </row>
    <row r="598" spans="1:10" x14ac:dyDescent="0.25">
      <c r="A598" s="16"/>
      <c r="B598" s="16"/>
      <c r="C598" s="165"/>
      <c r="D598" s="165"/>
      <c r="E598" s="165"/>
      <c r="F598" s="165"/>
      <c r="G598" s="164"/>
      <c r="H598" s="164"/>
      <c r="I598" s="164"/>
      <c r="J598" s="164"/>
    </row>
    <row r="599" spans="1:10" x14ac:dyDescent="0.25">
      <c r="A599" s="16"/>
      <c r="B599" s="16"/>
      <c r="C599" s="165"/>
      <c r="D599" s="165"/>
      <c r="E599" s="165"/>
      <c r="F599" s="165"/>
      <c r="G599" s="164"/>
      <c r="H599" s="164"/>
      <c r="I599" s="164"/>
      <c r="J599" s="164"/>
    </row>
    <row r="600" spans="1:10" x14ac:dyDescent="0.25">
      <c r="A600" s="16"/>
      <c r="B600" s="16"/>
      <c r="C600" s="165"/>
      <c r="D600" s="165"/>
      <c r="E600" s="165"/>
      <c r="F600" s="165"/>
      <c r="G600" s="164"/>
      <c r="H600" s="164"/>
      <c r="I600" s="164"/>
      <c r="J600" s="164"/>
    </row>
    <row r="601" spans="1:10" x14ac:dyDescent="0.25">
      <c r="A601" s="16"/>
      <c r="B601" s="16"/>
      <c r="C601" s="165"/>
      <c r="D601" s="165"/>
      <c r="E601" s="165"/>
      <c r="F601" s="165"/>
      <c r="G601" s="164"/>
      <c r="H601" s="164"/>
      <c r="I601" s="164"/>
      <c r="J601" s="164"/>
    </row>
    <row r="602" spans="1:10" x14ac:dyDescent="0.25">
      <c r="A602" s="16"/>
      <c r="B602" s="16"/>
      <c r="C602" s="165"/>
      <c r="D602" s="165"/>
      <c r="E602" s="165"/>
      <c r="F602" s="165"/>
      <c r="G602" s="164"/>
      <c r="H602" s="164"/>
      <c r="I602" s="164"/>
      <c r="J602" s="164"/>
    </row>
    <row r="603" spans="1:10" x14ac:dyDescent="0.25">
      <c r="A603" s="16"/>
      <c r="B603" s="16"/>
      <c r="C603" s="165"/>
      <c r="D603" s="165"/>
      <c r="E603" s="165"/>
      <c r="F603" s="165"/>
      <c r="G603" s="164"/>
      <c r="H603" s="164"/>
      <c r="I603" s="164"/>
      <c r="J603" s="164"/>
    </row>
    <row r="604" spans="1:10" x14ac:dyDescent="0.25">
      <c r="A604" s="16"/>
      <c r="B604" s="16"/>
      <c r="C604" s="165"/>
      <c r="D604" s="165"/>
      <c r="E604" s="165"/>
      <c r="F604" s="165"/>
      <c r="G604" s="164"/>
      <c r="H604" s="164"/>
      <c r="I604" s="164"/>
      <c r="J604" s="164"/>
    </row>
    <row r="605" spans="1:10" x14ac:dyDescent="0.25">
      <c r="A605" s="16"/>
      <c r="B605" s="16"/>
      <c r="C605" s="165"/>
      <c r="D605" s="165"/>
      <c r="E605" s="165"/>
      <c r="F605" s="165"/>
      <c r="G605" s="164"/>
      <c r="H605" s="164"/>
      <c r="I605" s="164"/>
      <c r="J605" s="164"/>
    </row>
    <row r="606" spans="1:10" x14ac:dyDescent="0.25">
      <c r="A606" s="16"/>
      <c r="B606" s="16"/>
      <c r="C606" s="165"/>
      <c r="D606" s="165"/>
      <c r="E606" s="165"/>
      <c r="F606" s="165"/>
      <c r="G606" s="164"/>
      <c r="H606" s="164"/>
      <c r="I606" s="164"/>
      <c r="J606" s="164"/>
    </row>
    <row r="607" spans="1:10" x14ac:dyDescent="0.25">
      <c r="A607" s="16"/>
      <c r="B607" s="16"/>
      <c r="C607" s="165"/>
      <c r="D607" s="165"/>
      <c r="E607" s="165"/>
      <c r="F607" s="165"/>
      <c r="G607" s="164"/>
      <c r="H607" s="164"/>
      <c r="I607" s="164"/>
      <c r="J607" s="164"/>
    </row>
    <row r="608" spans="1:10" x14ac:dyDescent="0.25">
      <c r="A608" s="16"/>
      <c r="B608" s="16"/>
      <c r="C608" s="165"/>
      <c r="D608" s="165"/>
      <c r="E608" s="165"/>
      <c r="F608" s="165"/>
      <c r="G608" s="164"/>
      <c r="H608" s="164"/>
      <c r="I608" s="164"/>
      <c r="J608" s="164"/>
    </row>
    <row r="609" spans="1:10" x14ac:dyDescent="0.25">
      <c r="A609" s="16"/>
      <c r="B609" s="16"/>
      <c r="C609" s="165"/>
      <c r="D609" s="165"/>
      <c r="E609" s="165"/>
      <c r="F609" s="165"/>
      <c r="G609" s="164"/>
      <c r="H609" s="164"/>
      <c r="I609" s="164"/>
      <c r="J609" s="164"/>
    </row>
    <row r="610" spans="1:10" x14ac:dyDescent="0.25">
      <c r="A610" s="16"/>
      <c r="B610" s="16"/>
      <c r="C610" s="165"/>
      <c r="D610" s="165"/>
      <c r="E610" s="165"/>
      <c r="F610" s="165"/>
      <c r="G610" s="164"/>
      <c r="H610" s="164"/>
      <c r="I610" s="164"/>
      <c r="J610" s="164"/>
    </row>
    <row r="611" spans="1:10" x14ac:dyDescent="0.25">
      <c r="A611" s="16"/>
      <c r="B611" s="16"/>
      <c r="C611" s="165"/>
      <c r="D611" s="165"/>
      <c r="E611" s="165"/>
      <c r="F611" s="165"/>
      <c r="G611" s="164"/>
      <c r="H611" s="164"/>
      <c r="I611" s="164"/>
      <c r="J611" s="164"/>
    </row>
    <row r="612" spans="1:10" x14ac:dyDescent="0.25">
      <c r="A612" s="16"/>
      <c r="B612" s="16"/>
      <c r="C612" s="165"/>
      <c r="D612" s="165"/>
      <c r="E612" s="165"/>
      <c r="F612" s="165"/>
      <c r="G612" s="164"/>
      <c r="H612" s="164"/>
      <c r="I612" s="164"/>
      <c r="J612" s="164"/>
    </row>
    <row r="613" spans="1:10" x14ac:dyDescent="0.25">
      <c r="A613" s="16"/>
      <c r="B613" s="16"/>
      <c r="C613" s="165"/>
      <c r="D613" s="165"/>
      <c r="E613" s="165"/>
      <c r="F613" s="165"/>
      <c r="G613" s="164"/>
      <c r="H613" s="164"/>
      <c r="I613" s="164"/>
      <c r="J613" s="164"/>
    </row>
    <row r="614" spans="1:10" x14ac:dyDescent="0.25">
      <c r="A614" s="16"/>
      <c r="B614" s="16"/>
      <c r="C614" s="165"/>
      <c r="D614" s="165"/>
      <c r="E614" s="165"/>
      <c r="F614" s="165"/>
      <c r="G614" s="164"/>
      <c r="H614" s="164"/>
      <c r="I614" s="164"/>
      <c r="J614" s="164"/>
    </row>
    <row r="615" spans="1:10" x14ac:dyDescent="0.25">
      <c r="A615" s="16"/>
      <c r="B615" s="16"/>
      <c r="C615" s="165"/>
      <c r="D615" s="165"/>
      <c r="E615" s="165"/>
      <c r="F615" s="165"/>
      <c r="G615" s="164"/>
      <c r="H615" s="164"/>
      <c r="I615" s="164"/>
      <c r="J615" s="164"/>
    </row>
    <row r="616" spans="1:10" x14ac:dyDescent="0.25">
      <c r="A616" s="16"/>
      <c r="B616" s="16"/>
      <c r="C616" s="165"/>
      <c r="D616" s="165"/>
      <c r="E616" s="165"/>
      <c r="F616" s="165"/>
      <c r="G616" s="164"/>
      <c r="H616" s="164"/>
      <c r="I616" s="164"/>
      <c r="J616" s="164"/>
    </row>
    <row r="617" spans="1:10" x14ac:dyDescent="0.25">
      <c r="A617" s="16"/>
      <c r="B617" s="16"/>
      <c r="C617" s="165"/>
      <c r="D617" s="165"/>
      <c r="E617" s="165"/>
      <c r="F617" s="165"/>
      <c r="G617" s="164"/>
      <c r="H617" s="164"/>
      <c r="I617" s="164"/>
      <c r="J617" s="164"/>
    </row>
    <row r="618" spans="1:10" x14ac:dyDescent="0.25">
      <c r="A618" s="16"/>
      <c r="B618" s="16"/>
      <c r="C618" s="165"/>
      <c r="D618" s="165"/>
      <c r="E618" s="165"/>
      <c r="F618" s="165"/>
      <c r="G618" s="164"/>
      <c r="H618" s="164"/>
      <c r="I618" s="164"/>
      <c r="J618" s="164"/>
    </row>
    <row r="619" spans="1:10" x14ac:dyDescent="0.25">
      <c r="A619" s="16"/>
      <c r="B619" s="16"/>
      <c r="C619" s="165"/>
      <c r="D619" s="165"/>
      <c r="E619" s="165"/>
      <c r="F619" s="165"/>
      <c r="G619" s="164"/>
      <c r="H619" s="164"/>
      <c r="I619" s="164"/>
      <c r="J619" s="164"/>
    </row>
    <row r="620" spans="1:10" x14ac:dyDescent="0.25">
      <c r="A620" s="16"/>
      <c r="B620" s="16"/>
      <c r="C620" s="165"/>
      <c r="D620" s="165"/>
      <c r="E620" s="165"/>
      <c r="F620" s="165"/>
      <c r="G620" s="164"/>
      <c r="H620" s="164"/>
      <c r="I620" s="164"/>
      <c r="J620" s="164"/>
    </row>
    <row r="621" spans="1:10" x14ac:dyDescent="0.25">
      <c r="A621" s="16"/>
      <c r="B621" s="16"/>
      <c r="C621" s="165"/>
      <c r="D621" s="165"/>
      <c r="E621" s="165"/>
      <c r="F621" s="165"/>
      <c r="G621" s="164"/>
      <c r="H621" s="164"/>
      <c r="I621" s="164"/>
      <c r="J621" s="164"/>
    </row>
    <row r="622" spans="1:10" x14ac:dyDescent="0.25">
      <c r="A622" s="16"/>
      <c r="B622" s="16"/>
      <c r="C622" s="165"/>
      <c r="D622" s="165"/>
      <c r="E622" s="165"/>
      <c r="F622" s="165"/>
      <c r="G622" s="164"/>
      <c r="H622" s="164"/>
      <c r="I622" s="164"/>
      <c r="J622" s="164"/>
    </row>
    <row r="623" spans="1:10" x14ac:dyDescent="0.25">
      <c r="A623" s="16"/>
      <c r="B623" s="16"/>
      <c r="C623" s="165"/>
      <c r="D623" s="165"/>
      <c r="E623" s="165"/>
      <c r="F623" s="165"/>
      <c r="G623" s="164"/>
      <c r="H623" s="164"/>
      <c r="I623" s="164"/>
      <c r="J623" s="164"/>
    </row>
    <row r="624" spans="1:10" x14ac:dyDescent="0.25">
      <c r="A624" s="16"/>
      <c r="B624" s="16"/>
      <c r="C624" s="165"/>
      <c r="D624" s="165"/>
      <c r="E624" s="165"/>
      <c r="F624" s="165"/>
      <c r="G624" s="164"/>
      <c r="H624" s="164"/>
      <c r="I624" s="164"/>
      <c r="J624" s="164"/>
    </row>
    <row r="625" spans="1:10" x14ac:dyDescent="0.25">
      <c r="A625" s="16"/>
      <c r="B625" s="16"/>
      <c r="C625" s="165"/>
      <c r="D625" s="165"/>
      <c r="E625" s="165"/>
      <c r="F625" s="165"/>
      <c r="G625" s="164"/>
      <c r="H625" s="164"/>
      <c r="I625" s="164"/>
      <c r="J625" s="164"/>
    </row>
    <row r="626" spans="1:10" x14ac:dyDescent="0.25">
      <c r="A626" s="16"/>
      <c r="B626" s="16"/>
      <c r="C626" s="165"/>
      <c r="D626" s="165"/>
      <c r="E626" s="165"/>
      <c r="F626" s="165"/>
      <c r="G626" s="164"/>
      <c r="H626" s="164"/>
      <c r="I626" s="164"/>
      <c r="J626" s="164"/>
    </row>
    <row r="627" spans="1:10" x14ac:dyDescent="0.25">
      <c r="A627" s="16"/>
      <c r="B627" s="16"/>
      <c r="C627" s="165"/>
      <c r="D627" s="165"/>
      <c r="E627" s="165"/>
      <c r="F627" s="165"/>
      <c r="G627" s="164"/>
      <c r="H627" s="164"/>
      <c r="I627" s="164"/>
      <c r="J627" s="164"/>
    </row>
    <row r="628" spans="1:10" x14ac:dyDescent="0.25">
      <c r="A628" s="16"/>
      <c r="B628" s="16"/>
      <c r="C628" s="165"/>
      <c r="D628" s="165"/>
      <c r="E628" s="165"/>
      <c r="F628" s="165"/>
      <c r="G628" s="164"/>
      <c r="H628" s="164"/>
      <c r="I628" s="164"/>
      <c r="J628" s="164"/>
    </row>
    <row r="629" spans="1:10" x14ac:dyDescent="0.25">
      <c r="A629" s="16"/>
      <c r="B629" s="16"/>
      <c r="C629" s="165"/>
      <c r="D629" s="165"/>
      <c r="E629" s="165"/>
      <c r="F629" s="165"/>
      <c r="G629" s="164"/>
      <c r="H629" s="164"/>
      <c r="I629" s="164"/>
      <c r="J629" s="164"/>
    </row>
    <row r="630" spans="1:10" x14ac:dyDescent="0.25">
      <c r="A630" s="16"/>
      <c r="B630" s="16"/>
      <c r="C630" s="165"/>
      <c r="D630" s="165"/>
      <c r="E630" s="165"/>
      <c r="F630" s="165"/>
      <c r="G630" s="164"/>
      <c r="H630" s="164"/>
      <c r="I630" s="164"/>
      <c r="J630" s="164"/>
    </row>
    <row r="631" spans="1:10" x14ac:dyDescent="0.25">
      <c r="A631" s="16"/>
      <c r="B631" s="16"/>
      <c r="C631" s="165"/>
      <c r="D631" s="165"/>
      <c r="E631" s="165"/>
      <c r="F631" s="165"/>
      <c r="G631" s="164"/>
      <c r="H631" s="164"/>
      <c r="I631" s="164"/>
      <c r="J631" s="164"/>
    </row>
    <row r="632" spans="1:10" x14ac:dyDescent="0.25">
      <c r="A632" s="16"/>
      <c r="B632" s="16"/>
      <c r="C632" s="165"/>
      <c r="D632" s="165"/>
      <c r="E632" s="165"/>
      <c r="F632" s="165"/>
      <c r="G632" s="164"/>
      <c r="H632" s="164"/>
      <c r="I632" s="164"/>
      <c r="J632" s="164"/>
    </row>
    <row r="633" spans="1:10" x14ac:dyDescent="0.25">
      <c r="A633" s="16"/>
      <c r="B633" s="16"/>
      <c r="C633" s="165"/>
      <c r="D633" s="165"/>
      <c r="E633" s="165"/>
      <c r="F633" s="165"/>
      <c r="G633" s="164"/>
      <c r="H633" s="164"/>
      <c r="I633" s="164"/>
      <c r="J633" s="164"/>
    </row>
    <row r="634" spans="1:10" x14ac:dyDescent="0.25">
      <c r="A634" s="16"/>
      <c r="B634" s="16"/>
      <c r="C634" s="165"/>
      <c r="D634" s="165"/>
      <c r="E634" s="165"/>
      <c r="F634" s="165"/>
      <c r="G634" s="164"/>
      <c r="H634" s="164"/>
      <c r="I634" s="164"/>
      <c r="J634" s="164"/>
    </row>
    <row r="635" spans="1:10" x14ac:dyDescent="0.25">
      <c r="A635" s="16"/>
      <c r="B635" s="16"/>
      <c r="C635" s="165"/>
      <c r="D635" s="165"/>
      <c r="E635" s="165"/>
      <c r="F635" s="165"/>
      <c r="G635" s="164"/>
      <c r="H635" s="164"/>
      <c r="I635" s="164"/>
      <c r="J635" s="164"/>
    </row>
    <row r="636" spans="1:10" x14ac:dyDescent="0.25">
      <c r="A636" s="16"/>
      <c r="B636" s="16"/>
      <c r="C636" s="165"/>
      <c r="D636" s="165"/>
      <c r="E636" s="165"/>
      <c r="F636" s="165"/>
      <c r="G636" s="164"/>
      <c r="H636" s="164"/>
      <c r="I636" s="164"/>
      <c r="J636" s="164"/>
    </row>
    <row r="637" spans="1:10" x14ac:dyDescent="0.25">
      <c r="A637" s="16"/>
      <c r="B637" s="16"/>
      <c r="C637" s="165"/>
      <c r="D637" s="165"/>
      <c r="E637" s="165"/>
      <c r="F637" s="165"/>
      <c r="G637" s="164"/>
      <c r="H637" s="164"/>
      <c r="I637" s="164"/>
      <c r="J637" s="164"/>
    </row>
    <row r="638" spans="1:10" x14ac:dyDescent="0.25">
      <c r="A638" s="16"/>
      <c r="B638" s="16"/>
      <c r="C638" s="165"/>
      <c r="D638" s="165"/>
      <c r="E638" s="165"/>
      <c r="F638" s="165"/>
      <c r="G638" s="164"/>
      <c r="H638" s="164"/>
      <c r="I638" s="164"/>
      <c r="J638" s="164"/>
    </row>
    <row r="639" spans="1:10" x14ac:dyDescent="0.25">
      <c r="A639" s="16"/>
      <c r="B639" s="16"/>
      <c r="C639" s="165"/>
      <c r="D639" s="165"/>
      <c r="E639" s="165"/>
      <c r="F639" s="165"/>
      <c r="G639" s="164"/>
      <c r="H639" s="164"/>
      <c r="I639" s="164"/>
      <c r="J639" s="164"/>
    </row>
    <row r="640" spans="1:10" x14ac:dyDescent="0.25">
      <c r="A640" s="16"/>
      <c r="B640" s="16"/>
      <c r="C640" s="165"/>
      <c r="D640" s="165"/>
      <c r="E640" s="165"/>
      <c r="F640" s="165"/>
      <c r="G640" s="164"/>
      <c r="H640" s="164"/>
      <c r="I640" s="164"/>
      <c r="J640" s="164"/>
    </row>
    <row r="641" spans="1:10" x14ac:dyDescent="0.25">
      <c r="A641" s="16"/>
      <c r="B641" s="16"/>
      <c r="C641" s="165"/>
      <c r="D641" s="165"/>
      <c r="E641" s="165"/>
      <c r="F641" s="165"/>
      <c r="G641" s="164"/>
      <c r="H641" s="164"/>
      <c r="I641" s="164"/>
      <c r="J641" s="164"/>
    </row>
    <row r="642" spans="1:10" x14ac:dyDescent="0.25">
      <c r="A642" s="16"/>
      <c r="B642" s="16"/>
      <c r="C642" s="165"/>
      <c r="D642" s="165"/>
      <c r="E642" s="165"/>
      <c r="F642" s="165"/>
      <c r="G642" s="164"/>
      <c r="H642" s="164"/>
      <c r="I642" s="164"/>
      <c r="J642" s="164"/>
    </row>
    <row r="643" spans="1:10" x14ac:dyDescent="0.25">
      <c r="A643" s="16"/>
      <c r="B643" s="16"/>
      <c r="C643" s="165"/>
      <c r="D643" s="165"/>
      <c r="E643" s="165"/>
      <c r="F643" s="165"/>
      <c r="G643" s="164"/>
      <c r="H643" s="164"/>
      <c r="I643" s="164"/>
      <c r="J643" s="164"/>
    </row>
    <row r="644" spans="1:10" x14ac:dyDescent="0.25">
      <c r="A644" s="16"/>
      <c r="B644" s="16"/>
      <c r="C644" s="165"/>
      <c r="D644" s="165"/>
      <c r="E644" s="165"/>
      <c r="F644" s="165"/>
      <c r="G644" s="164"/>
      <c r="H644" s="164"/>
      <c r="I644" s="164"/>
      <c r="J644" s="164"/>
    </row>
    <row r="645" spans="1:10" x14ac:dyDescent="0.25">
      <c r="A645" s="16"/>
      <c r="B645" s="16"/>
      <c r="C645" s="165"/>
      <c r="D645" s="165"/>
      <c r="E645" s="165"/>
      <c r="F645" s="165"/>
      <c r="G645" s="164"/>
      <c r="H645" s="164"/>
      <c r="I645" s="164"/>
      <c r="J645" s="164"/>
    </row>
    <row r="646" spans="1:10" x14ac:dyDescent="0.25">
      <c r="A646" s="16"/>
      <c r="B646" s="16"/>
      <c r="C646" s="165"/>
      <c r="D646" s="165"/>
      <c r="E646" s="165"/>
      <c r="F646" s="165"/>
      <c r="G646" s="164"/>
      <c r="H646" s="164"/>
      <c r="I646" s="164"/>
      <c r="J646" s="164"/>
    </row>
    <row r="647" spans="1:10" x14ac:dyDescent="0.25">
      <c r="A647" s="16"/>
      <c r="B647" s="16"/>
      <c r="C647" s="165"/>
      <c r="D647" s="165"/>
      <c r="E647" s="165"/>
      <c r="F647" s="165"/>
      <c r="G647" s="164"/>
      <c r="H647" s="164"/>
      <c r="I647" s="164"/>
      <c r="J647" s="164"/>
    </row>
    <row r="648" spans="1:10" x14ac:dyDescent="0.25">
      <c r="A648" s="16"/>
      <c r="B648" s="16"/>
      <c r="C648" s="165"/>
      <c r="D648" s="165"/>
      <c r="E648" s="165"/>
      <c r="F648" s="165"/>
      <c r="G648" s="164"/>
      <c r="H648" s="164"/>
      <c r="I648" s="164"/>
      <c r="J648" s="164"/>
    </row>
    <row r="649" spans="1:10" x14ac:dyDescent="0.25">
      <c r="A649" s="16"/>
      <c r="B649" s="16"/>
      <c r="C649" s="165"/>
      <c r="D649" s="165"/>
      <c r="E649" s="165"/>
      <c r="F649" s="165"/>
      <c r="G649" s="164"/>
      <c r="H649" s="164"/>
      <c r="I649" s="164"/>
      <c r="J649" s="164"/>
    </row>
    <row r="650" spans="1:10" x14ac:dyDescent="0.25">
      <c r="A650" s="16"/>
      <c r="B650" s="16"/>
      <c r="C650" s="165"/>
      <c r="D650" s="165"/>
      <c r="E650" s="165"/>
      <c r="F650" s="165"/>
      <c r="G650" s="164"/>
      <c r="H650" s="164"/>
      <c r="I650" s="164"/>
      <c r="J650" s="164"/>
    </row>
    <row r="651" spans="1:10" x14ac:dyDescent="0.25">
      <c r="A651" s="16"/>
      <c r="B651" s="16"/>
      <c r="C651" s="165"/>
      <c r="D651" s="165"/>
      <c r="E651" s="165"/>
      <c r="F651" s="165"/>
      <c r="G651" s="164"/>
      <c r="H651" s="164"/>
      <c r="I651" s="164"/>
      <c r="J651" s="164"/>
    </row>
    <row r="652" spans="1:10" x14ac:dyDescent="0.25">
      <c r="A652" s="16"/>
      <c r="B652" s="16"/>
      <c r="C652" s="165"/>
      <c r="D652" s="165"/>
      <c r="E652" s="165"/>
      <c r="F652" s="165"/>
      <c r="G652" s="164"/>
      <c r="H652" s="164"/>
      <c r="I652" s="164"/>
      <c r="J652" s="164"/>
    </row>
    <row r="653" spans="1:10" x14ac:dyDescent="0.25">
      <c r="A653" s="16"/>
      <c r="B653" s="16"/>
      <c r="C653" s="165"/>
      <c r="D653" s="165"/>
      <c r="E653" s="165"/>
      <c r="F653" s="165"/>
      <c r="G653" s="164"/>
      <c r="H653" s="164"/>
      <c r="I653" s="164"/>
      <c r="J653" s="164"/>
    </row>
    <row r="654" spans="1:10" x14ac:dyDescent="0.25">
      <c r="A654" s="16"/>
      <c r="B654" s="16"/>
      <c r="C654" s="165"/>
      <c r="D654" s="165"/>
      <c r="E654" s="165"/>
      <c r="F654" s="165"/>
      <c r="G654" s="164"/>
      <c r="H654" s="164"/>
      <c r="I654" s="164"/>
      <c r="J654" s="164"/>
    </row>
    <row r="655" spans="1:10" x14ac:dyDescent="0.25">
      <c r="A655" s="16"/>
      <c r="B655" s="16"/>
      <c r="C655" s="165"/>
      <c r="D655" s="165"/>
      <c r="E655" s="165"/>
      <c r="F655" s="165"/>
      <c r="G655" s="164"/>
      <c r="H655" s="164"/>
      <c r="I655" s="164"/>
      <c r="J655" s="164"/>
    </row>
    <row r="656" spans="1:10" x14ac:dyDescent="0.25">
      <c r="A656" s="16"/>
      <c r="B656" s="16"/>
      <c r="C656" s="165"/>
      <c r="D656" s="165"/>
      <c r="E656" s="165"/>
      <c r="F656" s="165"/>
      <c r="G656" s="164"/>
      <c r="H656" s="164"/>
      <c r="I656" s="164"/>
      <c r="J656" s="164"/>
    </row>
    <row r="657" spans="1:10" x14ac:dyDescent="0.25">
      <c r="A657" s="16"/>
      <c r="B657" s="16"/>
      <c r="C657" s="165"/>
      <c r="D657" s="165"/>
      <c r="E657" s="165"/>
      <c r="F657" s="165"/>
      <c r="G657" s="164"/>
      <c r="H657" s="164"/>
      <c r="I657" s="164"/>
      <c r="J657" s="164"/>
    </row>
    <row r="658" spans="1:10" x14ac:dyDescent="0.25">
      <c r="A658" s="16"/>
      <c r="B658" s="16"/>
      <c r="C658" s="165"/>
      <c r="D658" s="165"/>
      <c r="E658" s="165"/>
      <c r="F658" s="165"/>
      <c r="G658" s="164"/>
      <c r="H658" s="164"/>
      <c r="I658" s="164"/>
      <c r="J658" s="164"/>
    </row>
    <row r="659" spans="1:10" x14ac:dyDescent="0.25">
      <c r="A659" s="16"/>
      <c r="B659" s="16"/>
      <c r="C659" s="165"/>
      <c r="D659" s="165"/>
      <c r="E659" s="165"/>
      <c r="F659" s="165"/>
      <c r="G659" s="164"/>
      <c r="H659" s="164"/>
      <c r="I659" s="164"/>
      <c r="J659" s="164"/>
    </row>
    <row r="660" spans="1:10" x14ac:dyDescent="0.25">
      <c r="A660" s="16"/>
      <c r="B660" s="16"/>
      <c r="C660" s="165"/>
      <c r="D660" s="165"/>
      <c r="E660" s="165"/>
      <c r="F660" s="165"/>
      <c r="G660" s="164"/>
      <c r="H660" s="164"/>
      <c r="I660" s="164"/>
      <c r="J660" s="164"/>
    </row>
    <row r="661" spans="1:10" x14ac:dyDescent="0.25">
      <c r="A661" s="16"/>
      <c r="B661" s="16"/>
      <c r="C661" s="165"/>
      <c r="D661" s="165"/>
      <c r="E661" s="165"/>
      <c r="F661" s="165"/>
      <c r="G661" s="164"/>
      <c r="H661" s="164"/>
      <c r="I661" s="164"/>
      <c r="J661" s="164"/>
    </row>
    <row r="662" spans="1:10" x14ac:dyDescent="0.25">
      <c r="A662" s="16"/>
      <c r="B662" s="16"/>
      <c r="C662" s="165"/>
      <c r="D662" s="165"/>
      <c r="E662" s="165"/>
      <c r="F662" s="165"/>
      <c r="G662" s="164"/>
      <c r="H662" s="164"/>
      <c r="I662" s="164"/>
      <c r="J662" s="164"/>
    </row>
    <row r="663" spans="1:10" x14ac:dyDescent="0.25">
      <c r="A663" s="16"/>
      <c r="B663" s="16"/>
      <c r="C663" s="165"/>
      <c r="D663" s="165"/>
      <c r="E663" s="165"/>
      <c r="F663" s="165"/>
      <c r="G663" s="164"/>
      <c r="H663" s="164"/>
      <c r="I663" s="164"/>
      <c r="J663" s="164"/>
    </row>
    <row r="664" spans="1:10" x14ac:dyDescent="0.25">
      <c r="A664" s="16"/>
      <c r="B664" s="16"/>
      <c r="C664" s="165"/>
      <c r="D664" s="165"/>
      <c r="E664" s="165"/>
      <c r="F664" s="165"/>
      <c r="G664" s="164"/>
      <c r="H664" s="164"/>
      <c r="I664" s="164"/>
      <c r="J664" s="164"/>
    </row>
    <row r="665" spans="1:10" x14ac:dyDescent="0.25">
      <c r="A665" s="16"/>
      <c r="B665" s="16"/>
      <c r="C665" s="165"/>
      <c r="D665" s="165"/>
      <c r="E665" s="165"/>
      <c r="F665" s="165"/>
      <c r="G665" s="164"/>
      <c r="H665" s="164"/>
      <c r="I665" s="164"/>
      <c r="J665" s="164"/>
    </row>
    <row r="666" spans="1:10" x14ac:dyDescent="0.25">
      <c r="A666" s="16"/>
      <c r="B666" s="16"/>
      <c r="C666" s="165"/>
      <c r="D666" s="165"/>
      <c r="E666" s="165"/>
      <c r="F666" s="165"/>
      <c r="G666" s="164"/>
      <c r="H666" s="164"/>
      <c r="I666" s="164"/>
      <c r="J666" s="164"/>
    </row>
    <row r="667" spans="1:10" x14ac:dyDescent="0.25">
      <c r="A667" s="16"/>
      <c r="B667" s="16"/>
      <c r="C667" s="165"/>
      <c r="D667" s="165"/>
      <c r="E667" s="165"/>
      <c r="F667" s="165"/>
      <c r="G667" s="164"/>
      <c r="H667" s="164"/>
      <c r="I667" s="164"/>
      <c r="J667" s="164"/>
    </row>
    <row r="668" spans="1:10" x14ac:dyDescent="0.25">
      <c r="A668" s="16"/>
      <c r="B668" s="16"/>
      <c r="C668" s="165"/>
      <c r="D668" s="165"/>
      <c r="E668" s="165"/>
      <c r="F668" s="165"/>
      <c r="G668" s="164"/>
      <c r="H668" s="164"/>
      <c r="I668" s="164"/>
      <c r="J668" s="164"/>
    </row>
    <row r="669" spans="1:10" x14ac:dyDescent="0.25">
      <c r="A669" s="16"/>
      <c r="B669" s="16"/>
      <c r="C669" s="165"/>
      <c r="D669" s="165"/>
      <c r="E669" s="165"/>
      <c r="F669" s="165"/>
      <c r="G669" s="164"/>
      <c r="H669" s="164"/>
      <c r="I669" s="164"/>
      <c r="J669" s="164"/>
    </row>
    <row r="670" spans="1:10" x14ac:dyDescent="0.25">
      <c r="A670" s="16"/>
      <c r="B670" s="16"/>
      <c r="C670" s="165"/>
      <c r="D670" s="165"/>
      <c r="E670" s="165"/>
      <c r="F670" s="165"/>
      <c r="G670" s="164"/>
      <c r="H670" s="164"/>
      <c r="I670" s="164"/>
      <c r="J670" s="164"/>
    </row>
    <row r="671" spans="1:10" x14ac:dyDescent="0.25">
      <c r="A671" s="16"/>
      <c r="B671" s="16"/>
      <c r="C671" s="165"/>
      <c r="D671" s="165"/>
      <c r="E671" s="165"/>
      <c r="F671" s="165"/>
      <c r="G671" s="164"/>
      <c r="H671" s="164"/>
      <c r="I671" s="164"/>
      <c r="J671" s="164"/>
    </row>
    <row r="672" spans="1:10" x14ac:dyDescent="0.25">
      <c r="A672" s="16"/>
      <c r="B672" s="16"/>
      <c r="C672" s="165"/>
      <c r="D672" s="165"/>
      <c r="E672" s="165"/>
      <c r="F672" s="165"/>
      <c r="G672" s="164"/>
      <c r="H672" s="164"/>
      <c r="I672" s="164"/>
      <c r="J672" s="164"/>
    </row>
    <row r="673" spans="1:10" x14ac:dyDescent="0.25">
      <c r="A673" s="16"/>
      <c r="B673" s="16"/>
      <c r="C673" s="165"/>
      <c r="D673" s="165"/>
      <c r="E673" s="165"/>
      <c r="F673" s="165"/>
      <c r="G673" s="164"/>
      <c r="H673" s="164"/>
      <c r="I673" s="164"/>
      <c r="J673" s="164"/>
    </row>
    <row r="674" spans="1:10" x14ac:dyDescent="0.25">
      <c r="A674" s="16"/>
      <c r="B674" s="16"/>
      <c r="C674" s="165"/>
      <c r="D674" s="165"/>
      <c r="E674" s="165"/>
      <c r="F674" s="165"/>
      <c r="G674" s="164"/>
      <c r="H674" s="164"/>
      <c r="I674" s="164"/>
      <c r="J674" s="164"/>
    </row>
    <row r="675" spans="1:10" x14ac:dyDescent="0.25">
      <c r="A675" s="16"/>
      <c r="B675" s="16"/>
      <c r="C675" s="165"/>
      <c r="D675" s="165"/>
      <c r="E675" s="165"/>
      <c r="F675" s="165"/>
      <c r="G675" s="164"/>
      <c r="H675" s="164"/>
      <c r="I675" s="164"/>
      <c r="J675" s="164"/>
    </row>
    <row r="676" spans="1:10" x14ac:dyDescent="0.25">
      <c r="A676" s="16"/>
      <c r="B676" s="16"/>
      <c r="C676" s="165"/>
      <c r="D676" s="165"/>
      <c r="E676" s="165"/>
      <c r="F676" s="165"/>
      <c r="G676" s="164"/>
      <c r="H676" s="164"/>
      <c r="I676" s="164"/>
      <c r="J676" s="164"/>
    </row>
    <row r="677" spans="1:10" x14ac:dyDescent="0.25">
      <c r="A677" s="16"/>
      <c r="B677" s="16"/>
      <c r="C677" s="165"/>
      <c r="D677" s="165"/>
      <c r="E677" s="165"/>
      <c r="F677" s="165"/>
      <c r="G677" s="164"/>
      <c r="H677" s="164"/>
      <c r="I677" s="164"/>
      <c r="J677" s="164"/>
    </row>
    <row r="678" spans="1:10" x14ac:dyDescent="0.25">
      <c r="A678" s="16"/>
      <c r="B678" s="16"/>
      <c r="C678" s="165"/>
      <c r="D678" s="165"/>
      <c r="E678" s="165"/>
      <c r="F678" s="165"/>
      <c r="G678" s="164"/>
      <c r="H678" s="164"/>
      <c r="I678" s="164"/>
      <c r="J678" s="164"/>
    </row>
    <row r="679" spans="1:10" x14ac:dyDescent="0.25">
      <c r="A679" s="16"/>
      <c r="B679" s="16"/>
      <c r="C679" s="165"/>
      <c r="D679" s="165"/>
      <c r="E679" s="165"/>
      <c r="F679" s="165"/>
      <c r="G679" s="164"/>
      <c r="H679" s="164"/>
      <c r="I679" s="164"/>
      <c r="J679" s="164"/>
    </row>
    <row r="680" spans="1:10" x14ac:dyDescent="0.25">
      <c r="A680" s="16"/>
      <c r="B680" s="16"/>
      <c r="C680" s="165"/>
      <c r="D680" s="165"/>
      <c r="E680" s="165"/>
      <c r="F680" s="165"/>
      <c r="G680" s="164"/>
      <c r="H680" s="164"/>
      <c r="I680" s="164"/>
      <c r="J680" s="164"/>
    </row>
    <row r="681" spans="1:10" x14ac:dyDescent="0.25">
      <c r="A681" s="16"/>
      <c r="B681" s="16"/>
      <c r="C681" s="165"/>
      <c r="D681" s="165"/>
      <c r="E681" s="165"/>
      <c r="F681" s="165"/>
      <c r="G681" s="164"/>
      <c r="H681" s="164"/>
      <c r="I681" s="164"/>
      <c r="J681" s="164"/>
    </row>
    <row r="682" spans="1:10" x14ac:dyDescent="0.25">
      <c r="A682" s="16"/>
      <c r="B682" s="16"/>
      <c r="C682" s="165"/>
      <c r="D682" s="165"/>
      <c r="E682" s="165"/>
      <c r="F682" s="165"/>
      <c r="G682" s="164"/>
      <c r="H682" s="164"/>
      <c r="I682" s="164"/>
      <c r="J682" s="164"/>
    </row>
    <row r="683" spans="1:10" x14ac:dyDescent="0.25">
      <c r="A683" s="16"/>
      <c r="B683" s="16"/>
      <c r="C683" s="165"/>
      <c r="D683" s="165"/>
      <c r="E683" s="165"/>
      <c r="F683" s="165"/>
      <c r="G683" s="164"/>
      <c r="H683" s="164"/>
      <c r="I683" s="164"/>
      <c r="J683" s="164"/>
    </row>
    <row r="684" spans="1:10" x14ac:dyDescent="0.25">
      <c r="A684" s="16"/>
      <c r="B684" s="16"/>
      <c r="C684" s="165"/>
      <c r="D684" s="165"/>
      <c r="E684" s="165"/>
      <c r="F684" s="165"/>
      <c r="G684" s="164"/>
      <c r="H684" s="164"/>
      <c r="I684" s="164"/>
      <c r="J684" s="164"/>
    </row>
    <row r="685" spans="1:10" x14ac:dyDescent="0.25">
      <c r="A685" s="16"/>
      <c r="B685" s="16"/>
      <c r="C685" s="165"/>
      <c r="D685" s="165"/>
      <c r="E685" s="165"/>
      <c r="F685" s="165"/>
      <c r="G685" s="164"/>
      <c r="H685" s="164"/>
      <c r="I685" s="164"/>
      <c r="J685" s="164"/>
    </row>
    <row r="686" spans="1:10" x14ac:dyDescent="0.25">
      <c r="A686" s="16"/>
      <c r="B686" s="16"/>
      <c r="C686" s="165"/>
      <c r="D686" s="165"/>
      <c r="E686" s="165"/>
      <c r="F686" s="165"/>
      <c r="G686" s="164"/>
      <c r="H686" s="164"/>
      <c r="I686" s="164"/>
      <c r="J686" s="164"/>
    </row>
    <row r="687" spans="1:10" x14ac:dyDescent="0.25">
      <c r="A687" s="16"/>
      <c r="B687" s="16"/>
      <c r="C687" s="165"/>
      <c r="D687" s="165"/>
      <c r="E687" s="165"/>
      <c r="F687" s="165"/>
      <c r="G687" s="164"/>
      <c r="H687" s="164"/>
      <c r="I687" s="164"/>
      <c r="J687" s="164"/>
    </row>
    <row r="688" spans="1:10" x14ac:dyDescent="0.25">
      <c r="A688" s="16"/>
      <c r="B688" s="16"/>
      <c r="C688" s="165"/>
      <c r="D688" s="165"/>
      <c r="E688" s="165"/>
      <c r="F688" s="165"/>
      <c r="G688" s="164"/>
      <c r="H688" s="164"/>
      <c r="I688" s="164"/>
      <c r="J688" s="164"/>
    </row>
    <row r="689" spans="1:10" x14ac:dyDescent="0.25">
      <c r="A689" s="16"/>
      <c r="B689" s="16"/>
      <c r="C689" s="165"/>
      <c r="D689" s="165"/>
      <c r="E689" s="165"/>
      <c r="F689" s="165"/>
      <c r="G689" s="164"/>
      <c r="H689" s="164"/>
      <c r="I689" s="164"/>
      <c r="J689" s="164"/>
    </row>
    <row r="690" spans="1:10" x14ac:dyDescent="0.25">
      <c r="A690" s="16"/>
      <c r="B690" s="16"/>
      <c r="C690" s="165"/>
      <c r="D690" s="165"/>
      <c r="E690" s="165"/>
      <c r="F690" s="165"/>
      <c r="G690" s="164"/>
      <c r="H690" s="164"/>
      <c r="I690" s="164"/>
      <c r="J690" s="164"/>
    </row>
    <row r="691" spans="1:10" x14ac:dyDescent="0.25">
      <c r="A691" s="16"/>
      <c r="B691" s="16"/>
      <c r="C691" s="165"/>
      <c r="D691" s="165"/>
      <c r="E691" s="165"/>
      <c r="F691" s="165"/>
      <c r="G691" s="164"/>
      <c r="H691" s="164"/>
      <c r="I691" s="164"/>
      <c r="J691" s="164"/>
    </row>
    <row r="692" spans="1:10" x14ac:dyDescent="0.25">
      <c r="A692" s="16"/>
      <c r="B692" s="16"/>
      <c r="C692" s="165"/>
      <c r="D692" s="165"/>
      <c r="E692" s="165"/>
      <c r="F692" s="165"/>
      <c r="G692" s="164"/>
      <c r="H692" s="164"/>
      <c r="I692" s="164"/>
      <c r="J692" s="164"/>
    </row>
    <row r="693" spans="1:10" x14ac:dyDescent="0.25">
      <c r="A693" s="16"/>
      <c r="B693" s="16"/>
      <c r="C693" s="165"/>
      <c r="D693" s="165"/>
      <c r="E693" s="165"/>
      <c r="F693" s="165"/>
      <c r="G693" s="164"/>
      <c r="H693" s="164"/>
      <c r="I693" s="164"/>
      <c r="J693" s="164"/>
    </row>
    <row r="694" spans="1:10" x14ac:dyDescent="0.25">
      <c r="A694" s="16"/>
      <c r="B694" s="16"/>
      <c r="C694" s="165"/>
      <c r="D694" s="165"/>
      <c r="E694" s="165"/>
      <c r="F694" s="165"/>
      <c r="G694" s="164"/>
      <c r="H694" s="164"/>
      <c r="I694" s="164"/>
      <c r="J694" s="164"/>
    </row>
    <row r="695" spans="1:10" x14ac:dyDescent="0.25">
      <c r="A695" s="16"/>
      <c r="B695" s="16"/>
      <c r="C695" s="165"/>
      <c r="D695" s="165"/>
      <c r="E695" s="165"/>
      <c r="F695" s="165"/>
      <c r="G695" s="164"/>
      <c r="H695" s="164"/>
      <c r="I695" s="164"/>
      <c r="J695" s="164"/>
    </row>
    <row r="696" spans="1:10" x14ac:dyDescent="0.25">
      <c r="A696" s="16"/>
      <c r="B696" s="16"/>
      <c r="C696" s="165"/>
      <c r="D696" s="165"/>
      <c r="E696" s="165"/>
      <c r="F696" s="165"/>
      <c r="G696" s="164"/>
      <c r="H696" s="164"/>
      <c r="I696" s="164"/>
      <c r="J696" s="164"/>
    </row>
    <row r="697" spans="1:10" x14ac:dyDescent="0.25">
      <c r="A697" s="16"/>
      <c r="B697" s="16"/>
      <c r="C697" s="165"/>
      <c r="D697" s="165"/>
      <c r="E697" s="165"/>
      <c r="F697" s="165"/>
      <c r="G697" s="164"/>
      <c r="H697" s="164"/>
      <c r="I697" s="164"/>
      <c r="J697" s="164"/>
    </row>
    <row r="698" spans="1:10" x14ac:dyDescent="0.25">
      <c r="A698" s="16"/>
      <c r="B698" s="16"/>
      <c r="C698" s="165"/>
      <c r="D698" s="165"/>
      <c r="E698" s="165"/>
      <c r="F698" s="165"/>
      <c r="G698" s="164"/>
      <c r="H698" s="164"/>
      <c r="I698" s="164"/>
      <c r="J698" s="164"/>
    </row>
    <row r="699" spans="1:10" x14ac:dyDescent="0.25">
      <c r="A699" s="16"/>
      <c r="B699" s="16"/>
      <c r="C699" s="165"/>
      <c r="D699" s="165"/>
      <c r="E699" s="165"/>
      <c r="F699" s="165"/>
      <c r="G699" s="164"/>
      <c r="H699" s="164"/>
      <c r="I699" s="164"/>
      <c r="J699" s="164"/>
    </row>
    <row r="700" spans="1:10" x14ac:dyDescent="0.25">
      <c r="A700" s="16"/>
      <c r="B700" s="16"/>
      <c r="C700" s="165"/>
      <c r="D700" s="165"/>
      <c r="E700" s="165"/>
      <c r="F700" s="165"/>
      <c r="G700" s="164"/>
      <c r="H700" s="164"/>
      <c r="I700" s="164"/>
      <c r="J700" s="164"/>
    </row>
    <row r="701" spans="1:10" x14ac:dyDescent="0.25">
      <c r="A701" s="16"/>
      <c r="B701" s="16"/>
      <c r="C701" s="165"/>
      <c r="D701" s="165"/>
      <c r="E701" s="165"/>
      <c r="F701" s="165"/>
      <c r="G701" s="164"/>
      <c r="H701" s="164"/>
      <c r="I701" s="164"/>
      <c r="J701" s="164"/>
    </row>
    <row r="702" spans="1:10" x14ac:dyDescent="0.25">
      <c r="A702" s="16"/>
      <c r="B702" s="16"/>
      <c r="C702" s="165"/>
      <c r="D702" s="165"/>
      <c r="E702" s="165"/>
      <c r="F702" s="165"/>
      <c r="G702" s="164"/>
      <c r="H702" s="164"/>
      <c r="I702" s="164"/>
      <c r="J702" s="164"/>
    </row>
    <row r="703" spans="1:10" x14ac:dyDescent="0.25">
      <c r="A703" s="16"/>
      <c r="B703" s="16"/>
      <c r="C703" s="165"/>
      <c r="D703" s="165"/>
      <c r="E703" s="165"/>
      <c r="F703" s="165"/>
      <c r="G703" s="164"/>
      <c r="H703" s="164"/>
      <c r="I703" s="164"/>
      <c r="J703" s="164"/>
    </row>
    <row r="704" spans="1:10" x14ac:dyDescent="0.25">
      <c r="A704" s="16"/>
      <c r="B704" s="16"/>
      <c r="C704" s="165"/>
      <c r="D704" s="165"/>
      <c r="E704" s="165"/>
      <c r="F704" s="165"/>
      <c r="G704" s="164"/>
      <c r="H704" s="164"/>
      <c r="I704" s="164"/>
      <c r="J704" s="164"/>
    </row>
    <row r="705" spans="1:10" x14ac:dyDescent="0.25">
      <c r="A705" s="16"/>
      <c r="B705" s="16"/>
      <c r="C705" s="165"/>
      <c r="D705" s="165"/>
      <c r="E705" s="165"/>
      <c r="F705" s="165"/>
      <c r="G705" s="164"/>
      <c r="H705" s="164"/>
      <c r="I705" s="164"/>
      <c r="J705" s="164"/>
    </row>
    <row r="706" spans="1:10" x14ac:dyDescent="0.25">
      <c r="A706" s="16"/>
      <c r="B706" s="16"/>
      <c r="C706" s="165"/>
      <c r="D706" s="165"/>
      <c r="E706" s="165"/>
      <c r="F706" s="165"/>
      <c r="G706" s="164"/>
      <c r="H706" s="164"/>
      <c r="I706" s="164"/>
      <c r="J706" s="164"/>
    </row>
    <row r="707" spans="1:10" x14ac:dyDescent="0.25">
      <c r="A707" s="16"/>
      <c r="B707" s="16"/>
      <c r="C707" s="165"/>
      <c r="D707" s="165"/>
      <c r="E707" s="165"/>
      <c r="F707" s="165"/>
      <c r="G707" s="164"/>
      <c r="H707" s="164"/>
      <c r="I707" s="164"/>
      <c r="J707" s="164"/>
    </row>
    <row r="708" spans="1:10" x14ac:dyDescent="0.25">
      <c r="A708" s="16"/>
      <c r="B708" s="16"/>
      <c r="C708" s="165"/>
      <c r="D708" s="165"/>
      <c r="E708" s="165"/>
      <c r="F708" s="165"/>
      <c r="G708" s="164"/>
      <c r="H708" s="164"/>
      <c r="I708" s="164"/>
      <c r="J708" s="164"/>
    </row>
    <row r="709" spans="1:10" x14ac:dyDescent="0.25">
      <c r="A709" s="16"/>
      <c r="B709" s="16"/>
      <c r="C709" s="165"/>
      <c r="D709" s="165"/>
      <c r="E709" s="165"/>
      <c r="F709" s="165"/>
      <c r="G709" s="164"/>
      <c r="H709" s="164"/>
      <c r="I709" s="164"/>
      <c r="J709" s="164"/>
    </row>
    <row r="710" spans="1:10" x14ac:dyDescent="0.25">
      <c r="A710" s="16"/>
      <c r="B710" s="16"/>
      <c r="C710" s="165"/>
      <c r="D710" s="165"/>
      <c r="E710" s="165"/>
      <c r="F710" s="165"/>
      <c r="G710" s="164"/>
      <c r="H710" s="164"/>
      <c r="I710" s="164"/>
      <c r="J710" s="164"/>
    </row>
    <row r="711" spans="1:10" x14ac:dyDescent="0.25">
      <c r="A711" s="16"/>
      <c r="B711" s="16"/>
      <c r="C711" s="165"/>
      <c r="D711" s="165"/>
      <c r="E711" s="165"/>
      <c r="F711" s="165"/>
      <c r="G711" s="164"/>
      <c r="H711" s="164"/>
      <c r="I711" s="164"/>
      <c r="J711" s="164"/>
    </row>
    <row r="712" spans="1:10" x14ac:dyDescent="0.25">
      <c r="A712" s="16"/>
      <c r="B712" s="16"/>
      <c r="C712" s="165"/>
      <c r="D712" s="165"/>
      <c r="E712" s="165"/>
      <c r="F712" s="165"/>
      <c r="G712" s="164"/>
      <c r="H712" s="164"/>
      <c r="I712" s="164"/>
      <c r="J712" s="164"/>
    </row>
    <row r="713" spans="1:10" x14ac:dyDescent="0.25">
      <c r="A713" s="16"/>
      <c r="B713" s="16"/>
      <c r="C713" s="165"/>
      <c r="D713" s="165"/>
      <c r="E713" s="165"/>
      <c r="F713" s="165"/>
      <c r="G713" s="164"/>
      <c r="H713" s="164"/>
      <c r="I713" s="164"/>
      <c r="J713" s="164"/>
    </row>
    <row r="714" spans="1:10" x14ac:dyDescent="0.25">
      <c r="A714" s="16"/>
      <c r="B714" s="16"/>
      <c r="C714" s="165"/>
      <c r="D714" s="165"/>
      <c r="E714" s="165"/>
      <c r="F714" s="165"/>
      <c r="G714" s="164"/>
      <c r="H714" s="164"/>
      <c r="I714" s="164"/>
      <c r="J714" s="164"/>
    </row>
    <row r="715" spans="1:10" x14ac:dyDescent="0.25">
      <c r="A715" s="16"/>
      <c r="B715" s="16"/>
      <c r="C715" s="165"/>
      <c r="D715" s="165"/>
      <c r="E715" s="165"/>
      <c r="F715" s="165"/>
      <c r="G715" s="164"/>
      <c r="H715" s="164"/>
      <c r="I715" s="164"/>
      <c r="J715" s="164"/>
    </row>
    <row r="716" spans="1:10" x14ac:dyDescent="0.25">
      <c r="A716" s="16"/>
      <c r="B716" s="16"/>
      <c r="C716" s="165"/>
      <c r="D716" s="165"/>
      <c r="E716" s="165"/>
      <c r="F716" s="165"/>
      <c r="G716" s="164"/>
      <c r="H716" s="164"/>
      <c r="I716" s="164"/>
      <c r="J716" s="164"/>
    </row>
    <row r="717" spans="1:10" x14ac:dyDescent="0.25">
      <c r="A717" s="16"/>
      <c r="B717" s="16"/>
      <c r="C717" s="165"/>
      <c r="D717" s="165"/>
      <c r="E717" s="165"/>
      <c r="F717" s="165"/>
      <c r="G717" s="164"/>
      <c r="H717" s="164"/>
      <c r="I717" s="164"/>
      <c r="J717" s="164"/>
    </row>
    <row r="718" spans="1:10" x14ac:dyDescent="0.25">
      <c r="A718" s="16"/>
      <c r="B718" s="16"/>
      <c r="C718" s="165"/>
      <c r="D718" s="165"/>
      <c r="E718" s="165"/>
      <c r="F718" s="165"/>
      <c r="G718" s="164"/>
      <c r="H718" s="164"/>
      <c r="I718" s="164"/>
      <c r="J718" s="164"/>
    </row>
    <row r="719" spans="1:10" x14ac:dyDescent="0.25">
      <c r="A719" s="16"/>
      <c r="B719" s="16"/>
      <c r="C719" s="165"/>
      <c r="D719" s="165"/>
      <c r="E719" s="165"/>
      <c r="F719" s="165"/>
      <c r="G719" s="164"/>
      <c r="H719" s="164"/>
      <c r="I719" s="164"/>
      <c r="J719" s="164"/>
    </row>
    <row r="720" spans="1:10" x14ac:dyDescent="0.25">
      <c r="A720" s="16"/>
      <c r="B720" s="16"/>
      <c r="C720" s="165"/>
      <c r="D720" s="165"/>
      <c r="E720" s="165"/>
      <c r="F720" s="165"/>
      <c r="G720" s="164"/>
      <c r="H720" s="164"/>
      <c r="I720" s="164"/>
      <c r="J720" s="164"/>
    </row>
    <row r="721" spans="1:10" x14ac:dyDescent="0.25">
      <c r="A721" s="16"/>
      <c r="B721" s="16"/>
      <c r="C721" s="165"/>
      <c r="D721" s="165"/>
      <c r="E721" s="165"/>
      <c r="F721" s="165"/>
      <c r="G721" s="164"/>
      <c r="H721" s="164"/>
      <c r="I721" s="164"/>
      <c r="J721" s="164"/>
    </row>
    <row r="722" spans="1:10" x14ac:dyDescent="0.25">
      <c r="A722" s="16"/>
      <c r="B722" s="16"/>
      <c r="C722" s="165"/>
      <c r="D722" s="165"/>
      <c r="E722" s="165"/>
      <c r="F722" s="165"/>
      <c r="G722" s="164"/>
      <c r="H722" s="164"/>
      <c r="I722" s="164"/>
      <c r="J722" s="164"/>
    </row>
    <row r="723" spans="1:10" x14ac:dyDescent="0.25">
      <c r="A723" s="16"/>
      <c r="B723" s="16"/>
      <c r="C723" s="165"/>
      <c r="D723" s="165"/>
      <c r="E723" s="165"/>
      <c r="F723" s="165"/>
      <c r="G723" s="164"/>
      <c r="H723" s="164"/>
      <c r="I723" s="164"/>
      <c r="J723" s="164"/>
    </row>
    <row r="724" spans="1:10" x14ac:dyDescent="0.25">
      <c r="A724" s="16"/>
      <c r="B724" s="16"/>
      <c r="C724" s="165"/>
      <c r="D724" s="165"/>
      <c r="E724" s="165"/>
      <c r="F724" s="165"/>
      <c r="G724" s="164"/>
      <c r="H724" s="164"/>
      <c r="I724" s="164"/>
      <c r="J724" s="164"/>
    </row>
    <row r="725" spans="1:10" x14ac:dyDescent="0.25">
      <c r="A725" s="16"/>
      <c r="B725" s="16"/>
      <c r="C725" s="165"/>
      <c r="D725" s="165"/>
      <c r="E725" s="165"/>
      <c r="F725" s="165"/>
      <c r="G725" s="164"/>
      <c r="H725" s="164"/>
      <c r="I725" s="164"/>
      <c r="J725" s="164"/>
    </row>
    <row r="726" spans="1:10" x14ac:dyDescent="0.25">
      <c r="A726" s="16"/>
      <c r="B726" s="16"/>
      <c r="C726" s="165"/>
      <c r="D726" s="165"/>
      <c r="E726" s="165"/>
      <c r="F726" s="165"/>
      <c r="G726" s="164"/>
      <c r="H726" s="164"/>
      <c r="I726" s="164"/>
      <c r="J726" s="164"/>
    </row>
    <row r="727" spans="1:10" x14ac:dyDescent="0.25">
      <c r="A727" s="16"/>
      <c r="B727" s="16"/>
      <c r="C727" s="165"/>
      <c r="D727" s="165"/>
      <c r="E727" s="165"/>
      <c r="F727" s="165"/>
      <c r="G727" s="164"/>
      <c r="H727" s="164"/>
      <c r="I727" s="164"/>
      <c r="J727" s="164"/>
    </row>
    <row r="728" spans="1:10" x14ac:dyDescent="0.25">
      <c r="A728" s="16"/>
      <c r="B728" s="16"/>
      <c r="C728" s="165"/>
      <c r="D728" s="165"/>
      <c r="E728" s="165"/>
      <c r="F728" s="165"/>
      <c r="G728" s="164"/>
      <c r="H728" s="164"/>
      <c r="I728" s="164"/>
      <c r="J728" s="164"/>
    </row>
    <row r="729" spans="1:10" x14ac:dyDescent="0.25">
      <c r="A729" s="16"/>
      <c r="B729" s="16"/>
      <c r="C729" s="165"/>
      <c r="D729" s="165"/>
      <c r="E729" s="165"/>
      <c r="F729" s="165"/>
      <c r="G729" s="164"/>
      <c r="H729" s="164"/>
      <c r="I729" s="164"/>
      <c r="J729" s="164"/>
    </row>
    <row r="730" spans="1:10" x14ac:dyDescent="0.25">
      <c r="A730" s="16"/>
      <c r="B730" s="16"/>
      <c r="C730" s="165"/>
      <c r="D730" s="165"/>
      <c r="E730" s="165"/>
      <c r="F730" s="165"/>
      <c r="G730" s="164"/>
      <c r="H730" s="164"/>
      <c r="I730" s="164"/>
      <c r="J730" s="164"/>
    </row>
    <row r="731" spans="1:10" x14ac:dyDescent="0.25">
      <c r="A731" s="16"/>
      <c r="B731" s="16"/>
      <c r="C731" s="165"/>
      <c r="D731" s="165"/>
      <c r="E731" s="165"/>
      <c r="F731" s="165"/>
      <c r="G731" s="164"/>
      <c r="H731" s="164"/>
      <c r="I731" s="164"/>
      <c r="J731" s="164"/>
    </row>
    <row r="732" spans="1:10" x14ac:dyDescent="0.25">
      <c r="A732" s="16"/>
      <c r="B732" s="16"/>
      <c r="C732" s="165"/>
      <c r="D732" s="165"/>
      <c r="E732" s="165"/>
      <c r="F732" s="165"/>
      <c r="G732" s="164"/>
      <c r="H732" s="164"/>
      <c r="I732" s="164"/>
      <c r="J732" s="164"/>
    </row>
    <row r="733" spans="1:10" x14ac:dyDescent="0.25">
      <c r="A733" s="16"/>
      <c r="B733" s="16"/>
      <c r="C733" s="165"/>
      <c r="D733" s="165"/>
      <c r="E733" s="165"/>
      <c r="F733" s="165"/>
      <c r="G733" s="164"/>
      <c r="H733" s="164"/>
      <c r="I733" s="164"/>
      <c r="J733" s="164"/>
    </row>
    <row r="734" spans="1:10" x14ac:dyDescent="0.25">
      <c r="A734" s="16"/>
      <c r="B734" s="16"/>
      <c r="C734" s="165"/>
      <c r="D734" s="165"/>
      <c r="E734" s="165"/>
      <c r="F734" s="165"/>
      <c r="G734" s="164"/>
      <c r="H734" s="164"/>
      <c r="I734" s="164"/>
      <c r="J734" s="164"/>
    </row>
    <row r="735" spans="1:10" x14ac:dyDescent="0.25">
      <c r="A735" s="16"/>
      <c r="B735" s="16"/>
      <c r="C735" s="165"/>
      <c r="D735" s="165"/>
      <c r="E735" s="165"/>
      <c r="F735" s="165"/>
      <c r="G735" s="164"/>
      <c r="H735" s="164"/>
      <c r="I735" s="164"/>
      <c r="J735" s="164"/>
    </row>
    <row r="736" spans="1:10" x14ac:dyDescent="0.25">
      <c r="A736" s="16"/>
      <c r="B736" s="16"/>
      <c r="C736" s="165"/>
      <c r="D736" s="165"/>
      <c r="E736" s="165"/>
      <c r="F736" s="165"/>
      <c r="G736" s="164"/>
      <c r="H736" s="164"/>
      <c r="I736" s="164"/>
      <c r="J736" s="164"/>
    </row>
    <row r="737" spans="1:10" x14ac:dyDescent="0.25">
      <c r="A737" s="16"/>
      <c r="B737" s="16"/>
      <c r="C737" s="165"/>
      <c r="D737" s="165"/>
      <c r="E737" s="165"/>
      <c r="F737" s="165"/>
      <c r="G737" s="164"/>
      <c r="H737" s="164"/>
      <c r="I737" s="164"/>
      <c r="J737" s="164"/>
    </row>
    <row r="738" spans="1:10" x14ac:dyDescent="0.25">
      <c r="A738" s="16"/>
      <c r="B738" s="16"/>
      <c r="C738" s="165"/>
      <c r="D738" s="165"/>
      <c r="E738" s="165"/>
      <c r="F738" s="165"/>
      <c r="G738" s="164"/>
      <c r="H738" s="164"/>
      <c r="I738" s="164"/>
      <c r="J738" s="164"/>
    </row>
    <row r="739" spans="1:10" x14ac:dyDescent="0.25">
      <c r="A739" s="16"/>
      <c r="B739" s="16"/>
      <c r="C739" s="165"/>
      <c r="D739" s="165"/>
      <c r="E739" s="165"/>
      <c r="F739" s="165"/>
      <c r="G739" s="164"/>
      <c r="H739" s="164"/>
      <c r="I739" s="164"/>
      <c r="J739" s="164"/>
    </row>
    <row r="740" spans="1:10" x14ac:dyDescent="0.25">
      <c r="A740" s="16"/>
      <c r="B740" s="16"/>
      <c r="C740" s="165"/>
      <c r="D740" s="165"/>
      <c r="E740" s="165"/>
      <c r="F740" s="165"/>
      <c r="G740" s="164"/>
      <c r="H740" s="164"/>
      <c r="I740" s="164"/>
      <c r="J740" s="164"/>
    </row>
    <row r="741" spans="1:10" x14ac:dyDescent="0.25">
      <c r="A741" s="16"/>
      <c r="B741" s="16"/>
      <c r="C741" s="165"/>
      <c r="D741" s="165"/>
      <c r="E741" s="165"/>
      <c r="F741" s="165"/>
      <c r="G741" s="164"/>
      <c r="H741" s="164"/>
      <c r="I741" s="164"/>
      <c r="J741" s="164"/>
    </row>
    <row r="742" spans="1:10" x14ac:dyDescent="0.25">
      <c r="A742" s="16"/>
      <c r="B742" s="16"/>
      <c r="C742" s="165"/>
      <c r="D742" s="165"/>
      <c r="E742" s="165"/>
      <c r="F742" s="165"/>
      <c r="G742" s="164"/>
      <c r="H742" s="164"/>
      <c r="I742" s="164"/>
      <c r="J742" s="164"/>
    </row>
    <row r="743" spans="1:10" x14ac:dyDescent="0.25">
      <c r="A743" s="16"/>
      <c r="B743" s="16"/>
      <c r="C743" s="165"/>
      <c r="D743" s="165"/>
      <c r="E743" s="165"/>
      <c r="F743" s="165"/>
      <c r="G743" s="164"/>
      <c r="H743" s="164"/>
      <c r="I743" s="164"/>
      <c r="J743" s="164"/>
    </row>
    <row r="744" spans="1:10" x14ac:dyDescent="0.25">
      <c r="A744" s="16"/>
      <c r="B744" s="16"/>
      <c r="C744" s="165"/>
      <c r="D744" s="165"/>
      <c r="E744" s="165"/>
      <c r="F744" s="165"/>
      <c r="G744" s="164"/>
      <c r="H744" s="164"/>
      <c r="I744" s="164"/>
      <c r="J744" s="164"/>
    </row>
    <row r="745" spans="1:10" x14ac:dyDescent="0.25">
      <c r="A745" s="16"/>
      <c r="B745" s="16"/>
      <c r="C745" s="165"/>
      <c r="D745" s="165"/>
      <c r="E745" s="165"/>
      <c r="F745" s="165"/>
      <c r="G745" s="164"/>
      <c r="H745" s="164"/>
      <c r="I745" s="164"/>
      <c r="J745" s="164"/>
    </row>
    <row r="746" spans="1:10" x14ac:dyDescent="0.25">
      <c r="A746" s="16"/>
      <c r="B746" s="16"/>
      <c r="C746" s="165"/>
      <c r="D746" s="165"/>
      <c r="E746" s="165"/>
      <c r="F746" s="165"/>
      <c r="G746" s="164"/>
      <c r="H746" s="164"/>
      <c r="I746" s="164"/>
      <c r="J746" s="164"/>
    </row>
    <row r="747" spans="1:10" x14ac:dyDescent="0.25">
      <c r="A747" s="16"/>
      <c r="B747" s="16"/>
      <c r="C747" s="165"/>
      <c r="D747" s="165"/>
      <c r="E747" s="165"/>
      <c r="F747" s="165"/>
      <c r="G747" s="164"/>
      <c r="H747" s="164"/>
      <c r="I747" s="164"/>
      <c r="J747" s="164"/>
    </row>
    <row r="748" spans="1:10" x14ac:dyDescent="0.25">
      <c r="A748" s="16"/>
      <c r="B748" s="16"/>
      <c r="C748" s="165"/>
      <c r="D748" s="165"/>
      <c r="E748" s="165"/>
      <c r="F748" s="165"/>
      <c r="G748" s="164"/>
      <c r="H748" s="164"/>
      <c r="I748" s="164"/>
      <c r="J748" s="164"/>
    </row>
    <row r="749" spans="1:10" x14ac:dyDescent="0.25">
      <c r="A749" s="16"/>
      <c r="B749" s="16"/>
      <c r="C749" s="165"/>
      <c r="D749" s="165"/>
      <c r="E749" s="165"/>
      <c r="F749" s="165"/>
      <c r="G749" s="164"/>
      <c r="H749" s="164"/>
      <c r="I749" s="164"/>
      <c r="J749" s="164"/>
    </row>
    <row r="750" spans="1:10" x14ac:dyDescent="0.25">
      <c r="A750" s="16"/>
      <c r="B750" s="16"/>
      <c r="C750" s="165"/>
      <c r="D750" s="165"/>
      <c r="E750" s="165"/>
      <c r="F750" s="165"/>
      <c r="G750" s="164"/>
      <c r="H750" s="164"/>
      <c r="I750" s="164"/>
      <c r="J750" s="164"/>
    </row>
    <row r="751" spans="1:10" x14ac:dyDescent="0.25">
      <c r="A751" s="16"/>
      <c r="B751" s="16"/>
      <c r="C751" s="165"/>
      <c r="D751" s="165"/>
      <c r="E751" s="165"/>
      <c r="F751" s="165"/>
      <c r="G751" s="164"/>
      <c r="H751" s="164"/>
      <c r="I751" s="164"/>
      <c r="J751" s="164"/>
    </row>
    <row r="752" spans="1:10" x14ac:dyDescent="0.25">
      <c r="A752" s="16"/>
      <c r="B752" s="16"/>
      <c r="C752" s="165"/>
      <c r="D752" s="165"/>
      <c r="E752" s="165"/>
      <c r="F752" s="165"/>
      <c r="G752" s="164"/>
      <c r="H752" s="164"/>
      <c r="I752" s="164"/>
      <c r="J752" s="164"/>
    </row>
    <row r="753" spans="1:10" x14ac:dyDescent="0.25">
      <c r="A753" s="16"/>
      <c r="B753" s="16"/>
      <c r="C753" s="165"/>
      <c r="D753" s="165"/>
      <c r="E753" s="165"/>
      <c r="F753" s="165"/>
      <c r="G753" s="164"/>
      <c r="H753" s="164"/>
      <c r="I753" s="164"/>
      <c r="J753" s="164"/>
    </row>
    <row r="754" spans="1:10" x14ac:dyDescent="0.25">
      <c r="A754" s="16"/>
      <c r="B754" s="16"/>
      <c r="C754" s="165"/>
      <c r="D754" s="165"/>
      <c r="E754" s="165"/>
      <c r="F754" s="165"/>
      <c r="G754" s="164"/>
      <c r="H754" s="164"/>
      <c r="I754" s="164"/>
      <c r="J754" s="164"/>
    </row>
    <row r="755" spans="1:10" x14ac:dyDescent="0.25">
      <c r="A755" s="16"/>
      <c r="B755" s="16"/>
      <c r="C755" s="165"/>
      <c r="D755" s="165"/>
      <c r="E755" s="165"/>
      <c r="F755" s="165"/>
      <c r="G755" s="164"/>
      <c r="H755" s="164"/>
      <c r="I755" s="164"/>
      <c r="J755" s="164"/>
    </row>
    <row r="756" spans="1:10" x14ac:dyDescent="0.25">
      <c r="A756" s="16"/>
      <c r="B756" s="16"/>
      <c r="C756" s="165"/>
      <c r="D756" s="165"/>
      <c r="E756" s="165"/>
      <c r="F756" s="165"/>
      <c r="G756" s="164"/>
      <c r="H756" s="164"/>
      <c r="I756" s="164"/>
      <c r="J756" s="164"/>
    </row>
    <row r="757" spans="1:10" x14ac:dyDescent="0.25">
      <c r="A757" s="16"/>
      <c r="B757" s="16"/>
      <c r="C757" s="165"/>
      <c r="D757" s="165"/>
      <c r="E757" s="165"/>
      <c r="F757" s="165"/>
      <c r="G757" s="164"/>
      <c r="H757" s="164"/>
      <c r="I757" s="164"/>
      <c r="J757" s="164"/>
    </row>
    <row r="758" spans="1:10" x14ac:dyDescent="0.25">
      <c r="A758" s="16"/>
      <c r="B758" s="16"/>
      <c r="C758" s="165"/>
      <c r="D758" s="165"/>
      <c r="E758" s="165"/>
      <c r="F758" s="165"/>
      <c r="G758" s="164"/>
      <c r="H758" s="164"/>
      <c r="I758" s="164"/>
      <c r="J758" s="164"/>
    </row>
    <row r="759" spans="1:10" x14ac:dyDescent="0.25">
      <c r="A759" s="16"/>
      <c r="B759" s="16"/>
      <c r="C759" s="165"/>
      <c r="D759" s="165"/>
      <c r="E759" s="165"/>
      <c r="F759" s="165"/>
      <c r="G759" s="164"/>
      <c r="H759" s="164"/>
      <c r="I759" s="164"/>
      <c r="J759" s="164"/>
    </row>
    <row r="760" spans="1:10" x14ac:dyDescent="0.25">
      <c r="A760" s="16"/>
      <c r="B760" s="16"/>
      <c r="C760" s="165"/>
      <c r="D760" s="165"/>
      <c r="E760" s="165"/>
      <c r="F760" s="165"/>
      <c r="G760" s="164"/>
      <c r="H760" s="164"/>
      <c r="I760" s="164"/>
      <c r="J760" s="164"/>
    </row>
    <row r="761" spans="1:10" x14ac:dyDescent="0.25">
      <c r="A761" s="16"/>
      <c r="B761" s="16"/>
      <c r="C761" s="165"/>
      <c r="D761" s="165"/>
      <c r="E761" s="165"/>
      <c r="F761" s="165"/>
      <c r="G761" s="164"/>
      <c r="H761" s="164"/>
      <c r="I761" s="164"/>
      <c r="J761" s="164"/>
    </row>
    <row r="762" spans="1:10" x14ac:dyDescent="0.25">
      <c r="A762" s="16"/>
      <c r="B762" s="16"/>
      <c r="C762" s="165"/>
      <c r="D762" s="165"/>
      <c r="E762" s="165"/>
      <c r="F762" s="165"/>
      <c r="G762" s="164"/>
      <c r="H762" s="164"/>
      <c r="I762" s="164"/>
      <c r="J762" s="164"/>
    </row>
    <row r="763" spans="1:10" x14ac:dyDescent="0.25">
      <c r="A763" s="16"/>
      <c r="B763" s="16"/>
      <c r="C763" s="165"/>
      <c r="D763" s="165"/>
      <c r="E763" s="165"/>
      <c r="F763" s="165"/>
      <c r="G763" s="164"/>
      <c r="H763" s="164"/>
      <c r="I763" s="164"/>
      <c r="J763" s="164"/>
    </row>
    <row r="764" spans="1:10" x14ac:dyDescent="0.25">
      <c r="A764" s="16"/>
      <c r="B764" s="16"/>
      <c r="C764" s="165"/>
      <c r="D764" s="165"/>
      <c r="E764" s="165"/>
      <c r="F764" s="165"/>
      <c r="G764" s="164"/>
      <c r="H764" s="164"/>
      <c r="I764" s="164"/>
      <c r="J764" s="164"/>
    </row>
    <row r="765" spans="1:10" x14ac:dyDescent="0.25">
      <c r="A765" s="16"/>
      <c r="B765" s="16"/>
      <c r="C765" s="165"/>
      <c r="D765" s="165"/>
      <c r="E765" s="165"/>
      <c r="F765" s="165"/>
      <c r="G765" s="164"/>
      <c r="H765" s="164"/>
      <c r="I765" s="164"/>
      <c r="J765" s="164"/>
    </row>
    <row r="766" spans="1:10" x14ac:dyDescent="0.25">
      <c r="A766" s="16"/>
      <c r="B766" s="16"/>
      <c r="C766" s="165"/>
      <c r="D766" s="165"/>
      <c r="E766" s="165"/>
      <c r="F766" s="165"/>
      <c r="G766" s="164"/>
      <c r="H766" s="164"/>
      <c r="I766" s="164"/>
      <c r="J766" s="164"/>
    </row>
    <row r="767" spans="1:10" x14ac:dyDescent="0.25">
      <c r="A767" s="16"/>
      <c r="B767" s="16"/>
      <c r="C767" s="165"/>
      <c r="D767" s="165"/>
      <c r="E767" s="165"/>
      <c r="F767" s="165"/>
      <c r="G767" s="164"/>
      <c r="H767" s="164"/>
      <c r="I767" s="164"/>
      <c r="J767" s="164"/>
    </row>
    <row r="768" spans="1:10" x14ac:dyDescent="0.25">
      <c r="A768" s="16"/>
      <c r="B768" s="16"/>
      <c r="C768" s="165"/>
      <c r="D768" s="165"/>
      <c r="E768" s="165"/>
      <c r="F768" s="165"/>
      <c r="G768" s="164"/>
      <c r="H768" s="164"/>
      <c r="I768" s="164"/>
      <c r="J768" s="164"/>
    </row>
    <row r="769" spans="1:10" x14ac:dyDescent="0.25">
      <c r="A769" s="16"/>
      <c r="B769" s="16"/>
      <c r="C769" s="165"/>
      <c r="D769" s="165"/>
      <c r="E769" s="165"/>
      <c r="F769" s="165"/>
      <c r="G769" s="164"/>
      <c r="H769" s="164"/>
      <c r="I769" s="164"/>
      <c r="J769" s="164"/>
    </row>
    <row r="770" spans="1:10" x14ac:dyDescent="0.25">
      <c r="A770" s="16"/>
      <c r="B770" s="16"/>
      <c r="C770" s="165"/>
      <c r="D770" s="165"/>
      <c r="E770" s="165"/>
      <c r="F770" s="165"/>
      <c r="G770" s="164"/>
      <c r="H770" s="164"/>
      <c r="I770" s="164"/>
      <c r="J770" s="164"/>
    </row>
    <row r="771" spans="1:10" x14ac:dyDescent="0.25">
      <c r="A771" s="16"/>
      <c r="B771" s="16"/>
      <c r="C771" s="165"/>
      <c r="D771" s="165"/>
      <c r="E771" s="165"/>
      <c r="F771" s="165"/>
      <c r="G771" s="164"/>
      <c r="H771" s="164"/>
      <c r="I771" s="164"/>
      <c r="J771" s="164"/>
    </row>
    <row r="772" spans="1:10" x14ac:dyDescent="0.25">
      <c r="A772" s="16"/>
      <c r="B772" s="16"/>
      <c r="C772" s="165"/>
      <c r="D772" s="165"/>
      <c r="E772" s="165"/>
      <c r="F772" s="165"/>
      <c r="G772" s="164"/>
      <c r="H772" s="164"/>
      <c r="I772" s="164"/>
      <c r="J772" s="164"/>
    </row>
    <row r="773" spans="1:10" x14ac:dyDescent="0.25">
      <c r="A773" s="16"/>
      <c r="B773" s="16"/>
      <c r="C773" s="165"/>
      <c r="D773" s="165"/>
      <c r="E773" s="165"/>
      <c r="F773" s="165"/>
      <c r="G773" s="164"/>
      <c r="H773" s="164"/>
      <c r="I773" s="164"/>
      <c r="J773" s="164"/>
    </row>
    <row r="774" spans="1:10" x14ac:dyDescent="0.25">
      <c r="A774" s="16"/>
      <c r="B774" s="16"/>
      <c r="C774" s="165"/>
      <c r="D774" s="165"/>
      <c r="E774" s="165"/>
      <c r="F774" s="165"/>
      <c r="G774" s="164"/>
      <c r="H774" s="164"/>
      <c r="I774" s="164"/>
      <c r="J774" s="164"/>
    </row>
    <row r="775" spans="1:10" x14ac:dyDescent="0.25">
      <c r="A775" s="16"/>
      <c r="B775" s="16"/>
      <c r="C775" s="165"/>
      <c r="D775" s="165"/>
      <c r="E775" s="165"/>
      <c r="F775" s="165"/>
      <c r="G775" s="164"/>
      <c r="H775" s="164"/>
      <c r="I775" s="164"/>
      <c r="J775" s="164"/>
    </row>
    <row r="776" spans="1:10" x14ac:dyDescent="0.25">
      <c r="A776" s="16"/>
      <c r="B776" s="16"/>
      <c r="C776" s="165"/>
      <c r="D776" s="165"/>
      <c r="E776" s="165"/>
      <c r="F776" s="165"/>
      <c r="G776" s="164"/>
      <c r="H776" s="164"/>
      <c r="I776" s="164"/>
      <c r="J776" s="164"/>
    </row>
    <row r="777" spans="1:10" x14ac:dyDescent="0.25">
      <c r="A777" s="16"/>
      <c r="B777" s="16"/>
      <c r="C777" s="165"/>
      <c r="D777" s="165"/>
      <c r="E777" s="165"/>
      <c r="F777" s="165"/>
      <c r="G777" s="164"/>
      <c r="H777" s="164"/>
      <c r="I777" s="164"/>
      <c r="J777" s="164"/>
    </row>
    <row r="778" spans="1:10" x14ac:dyDescent="0.25">
      <c r="A778" s="16"/>
      <c r="B778" s="16"/>
      <c r="C778" s="165"/>
      <c r="D778" s="165"/>
      <c r="E778" s="165"/>
      <c r="F778" s="165"/>
      <c r="G778" s="164"/>
      <c r="H778" s="164"/>
      <c r="I778" s="164"/>
      <c r="J778" s="164"/>
    </row>
    <row r="779" spans="1:10" x14ac:dyDescent="0.25">
      <c r="A779" s="16"/>
      <c r="B779" s="16"/>
      <c r="C779" s="165"/>
      <c r="D779" s="165"/>
      <c r="E779" s="165"/>
      <c r="F779" s="165"/>
      <c r="G779" s="164"/>
      <c r="H779" s="164"/>
      <c r="I779" s="164"/>
      <c r="J779" s="164"/>
    </row>
    <row r="780" spans="1:10" x14ac:dyDescent="0.25">
      <c r="A780" s="16"/>
      <c r="B780" s="16"/>
      <c r="C780" s="165"/>
      <c r="D780" s="165"/>
      <c r="E780" s="165"/>
      <c r="F780" s="165"/>
      <c r="G780" s="164"/>
      <c r="H780" s="164"/>
      <c r="I780" s="164"/>
      <c r="J780" s="164"/>
    </row>
    <row r="781" spans="1:10" x14ac:dyDescent="0.25">
      <c r="A781" s="16"/>
      <c r="B781" s="16"/>
      <c r="C781" s="165"/>
      <c r="D781" s="165"/>
      <c r="E781" s="165"/>
      <c r="F781" s="165"/>
      <c r="G781" s="164"/>
      <c r="H781" s="164"/>
      <c r="I781" s="164"/>
      <c r="J781" s="164"/>
    </row>
    <row r="782" spans="1:10" x14ac:dyDescent="0.25">
      <c r="A782" s="16"/>
      <c r="B782" s="16"/>
      <c r="C782" s="165"/>
      <c r="D782" s="165"/>
      <c r="E782" s="165"/>
      <c r="F782" s="165"/>
      <c r="G782" s="164"/>
      <c r="H782" s="164"/>
      <c r="I782" s="164"/>
      <c r="J782" s="164"/>
    </row>
    <row r="783" spans="1:10" x14ac:dyDescent="0.25">
      <c r="A783" s="16"/>
      <c r="B783" s="16"/>
      <c r="C783" s="165"/>
      <c r="D783" s="165"/>
      <c r="E783" s="165"/>
      <c r="F783" s="165"/>
      <c r="G783" s="164"/>
      <c r="H783" s="164"/>
      <c r="I783" s="164"/>
      <c r="J783" s="164"/>
    </row>
    <row r="784" spans="1:10" x14ac:dyDescent="0.25">
      <c r="A784" s="16"/>
      <c r="B784" s="16"/>
      <c r="C784" s="165"/>
      <c r="D784" s="165"/>
      <c r="E784" s="165"/>
      <c r="F784" s="165"/>
      <c r="G784" s="164"/>
      <c r="H784" s="164"/>
      <c r="I784" s="164"/>
      <c r="J784" s="164"/>
    </row>
    <row r="785" spans="1:10" x14ac:dyDescent="0.25">
      <c r="A785" s="16"/>
      <c r="B785" s="16"/>
      <c r="C785" s="165"/>
      <c r="D785" s="165"/>
      <c r="E785" s="165"/>
      <c r="F785" s="165"/>
      <c r="G785" s="164"/>
      <c r="H785" s="164"/>
      <c r="I785" s="164"/>
      <c r="J785" s="164"/>
    </row>
    <row r="786" spans="1:10" x14ac:dyDescent="0.25">
      <c r="A786" s="16"/>
      <c r="B786" s="16"/>
      <c r="C786" s="165"/>
      <c r="D786" s="165"/>
      <c r="E786" s="165"/>
      <c r="F786" s="165"/>
      <c r="G786" s="164"/>
      <c r="H786" s="164"/>
      <c r="I786" s="164"/>
      <c r="J786" s="164"/>
    </row>
    <row r="787" spans="1:10" x14ac:dyDescent="0.25">
      <c r="A787" s="16"/>
      <c r="B787" s="16"/>
      <c r="C787" s="165"/>
      <c r="D787" s="165"/>
      <c r="E787" s="165"/>
      <c r="F787" s="165"/>
      <c r="G787" s="164"/>
      <c r="H787" s="164"/>
      <c r="I787" s="164"/>
      <c r="J787" s="164"/>
    </row>
    <row r="788" spans="1:10" x14ac:dyDescent="0.25">
      <c r="A788" s="16"/>
      <c r="B788" s="16"/>
      <c r="C788" s="165"/>
      <c r="D788" s="165"/>
      <c r="E788" s="165"/>
      <c r="F788" s="165"/>
      <c r="G788" s="164"/>
      <c r="H788" s="164"/>
      <c r="I788" s="164"/>
      <c r="J788" s="164"/>
    </row>
    <row r="789" spans="1:10" x14ac:dyDescent="0.25">
      <c r="A789" s="16"/>
      <c r="B789" s="16"/>
      <c r="C789" s="165"/>
      <c r="D789" s="165"/>
      <c r="E789" s="165"/>
      <c r="F789" s="165"/>
      <c r="G789" s="164"/>
      <c r="H789" s="164"/>
      <c r="I789" s="164"/>
      <c r="J789" s="164"/>
    </row>
    <row r="790" spans="1:10" x14ac:dyDescent="0.25">
      <c r="A790" s="16"/>
      <c r="B790" s="16"/>
      <c r="C790" s="165"/>
      <c r="D790" s="165"/>
      <c r="E790" s="165"/>
      <c r="F790" s="165"/>
      <c r="G790" s="164"/>
      <c r="H790" s="164"/>
      <c r="I790" s="164"/>
      <c r="J790" s="164"/>
    </row>
    <row r="791" spans="1:10" x14ac:dyDescent="0.25">
      <c r="A791" s="16"/>
      <c r="B791" s="16"/>
      <c r="C791" s="165"/>
      <c r="D791" s="165"/>
      <c r="E791" s="165"/>
      <c r="F791" s="165"/>
      <c r="G791" s="164"/>
      <c r="H791" s="164"/>
      <c r="I791" s="164"/>
      <c r="J791" s="164"/>
    </row>
    <row r="792" spans="1:10" x14ac:dyDescent="0.25">
      <c r="A792" s="16"/>
      <c r="B792" s="16"/>
      <c r="C792" s="165"/>
      <c r="D792" s="165"/>
      <c r="E792" s="165"/>
      <c r="F792" s="165"/>
      <c r="G792" s="164"/>
      <c r="H792" s="164"/>
      <c r="I792" s="164"/>
      <c r="J792" s="164"/>
    </row>
    <row r="793" spans="1:10" x14ac:dyDescent="0.25">
      <c r="A793" s="16"/>
      <c r="B793" s="16"/>
      <c r="C793" s="165"/>
      <c r="D793" s="165"/>
      <c r="E793" s="165"/>
      <c r="F793" s="165"/>
      <c r="G793" s="164"/>
      <c r="H793" s="164"/>
      <c r="I793" s="164"/>
      <c r="J793" s="164"/>
    </row>
    <row r="794" spans="1:10" x14ac:dyDescent="0.25">
      <c r="A794" s="16"/>
      <c r="B794" s="16"/>
      <c r="C794" s="165"/>
      <c r="D794" s="165"/>
      <c r="E794" s="165"/>
      <c r="F794" s="165"/>
      <c r="G794" s="164"/>
      <c r="H794" s="164"/>
      <c r="I794" s="164"/>
      <c r="J794" s="164"/>
    </row>
    <row r="795" spans="1:10" x14ac:dyDescent="0.25">
      <c r="A795" s="16"/>
      <c r="B795" s="16"/>
      <c r="C795" s="165"/>
      <c r="D795" s="165"/>
      <c r="E795" s="165"/>
      <c r="F795" s="165"/>
      <c r="G795" s="164"/>
      <c r="H795" s="164"/>
      <c r="I795" s="164"/>
      <c r="J795" s="164"/>
    </row>
    <row r="796" spans="1:10" x14ac:dyDescent="0.25">
      <c r="A796" s="16"/>
      <c r="B796" s="16"/>
      <c r="C796" s="165"/>
      <c r="D796" s="165"/>
      <c r="E796" s="165"/>
      <c r="F796" s="165"/>
      <c r="G796" s="164"/>
      <c r="H796" s="164"/>
      <c r="I796" s="164"/>
      <c r="J796" s="164"/>
    </row>
    <row r="797" spans="1:10" x14ac:dyDescent="0.25">
      <c r="A797" s="16"/>
      <c r="B797" s="16"/>
      <c r="C797" s="165"/>
      <c r="D797" s="165"/>
      <c r="E797" s="165"/>
      <c r="F797" s="165"/>
      <c r="G797" s="164"/>
      <c r="H797" s="164"/>
      <c r="I797" s="164"/>
      <c r="J797" s="164"/>
    </row>
    <row r="798" spans="1:10" x14ac:dyDescent="0.25">
      <c r="A798" s="16"/>
      <c r="B798" s="16"/>
      <c r="C798" s="165"/>
      <c r="D798" s="165"/>
      <c r="E798" s="165"/>
      <c r="F798" s="165"/>
      <c r="G798" s="164"/>
      <c r="H798" s="164"/>
      <c r="I798" s="164"/>
      <c r="J798" s="164"/>
    </row>
    <row r="799" spans="1:10" x14ac:dyDescent="0.25">
      <c r="A799" s="16"/>
      <c r="B799" s="16"/>
      <c r="C799" s="165"/>
      <c r="D799" s="165"/>
      <c r="E799" s="165"/>
      <c r="F799" s="165"/>
      <c r="G799" s="164"/>
      <c r="H799" s="164"/>
      <c r="I799" s="164"/>
      <c r="J799" s="164"/>
    </row>
    <row r="800" spans="1:10" x14ac:dyDescent="0.25">
      <c r="A800" s="16"/>
      <c r="B800" s="16"/>
      <c r="C800" s="165"/>
      <c r="D800" s="165"/>
      <c r="E800" s="165"/>
      <c r="F800" s="165"/>
      <c r="G800" s="164"/>
      <c r="H800" s="164"/>
      <c r="I800" s="164"/>
      <c r="J800" s="164"/>
    </row>
    <row r="801" spans="1:10" x14ac:dyDescent="0.25">
      <c r="A801" s="16"/>
      <c r="B801" s="16"/>
      <c r="C801" s="165"/>
      <c r="D801" s="165"/>
      <c r="E801" s="165"/>
      <c r="F801" s="165"/>
      <c r="G801" s="164"/>
      <c r="H801" s="164"/>
      <c r="I801" s="164"/>
      <c r="J801" s="164"/>
    </row>
    <row r="802" spans="1:10" x14ac:dyDescent="0.25">
      <c r="A802" s="16"/>
      <c r="B802" s="16"/>
      <c r="C802" s="165"/>
      <c r="D802" s="165"/>
      <c r="E802" s="165"/>
      <c r="F802" s="165"/>
      <c r="G802" s="164"/>
      <c r="H802" s="164"/>
      <c r="I802" s="164"/>
      <c r="J802" s="164"/>
    </row>
    <row r="803" spans="1:10" x14ac:dyDescent="0.25">
      <c r="A803" s="16"/>
      <c r="B803" s="16"/>
      <c r="C803" s="165"/>
      <c r="D803" s="165"/>
      <c r="E803" s="165"/>
      <c r="F803" s="165"/>
      <c r="G803" s="164"/>
      <c r="H803" s="164"/>
      <c r="I803" s="164"/>
      <c r="J803" s="164"/>
    </row>
    <row r="804" spans="1:10" x14ac:dyDescent="0.25">
      <c r="A804" s="16"/>
      <c r="B804" s="16"/>
      <c r="C804" s="165"/>
      <c r="D804" s="165"/>
      <c r="E804" s="165"/>
      <c r="F804" s="165"/>
      <c r="G804" s="164"/>
      <c r="H804" s="164"/>
      <c r="I804" s="164"/>
      <c r="J804" s="164"/>
    </row>
    <row r="805" spans="1:10" x14ac:dyDescent="0.25">
      <c r="A805" s="16"/>
      <c r="B805" s="16"/>
      <c r="C805" s="165"/>
      <c r="D805" s="165"/>
      <c r="E805" s="165"/>
      <c r="F805" s="165"/>
      <c r="G805" s="164"/>
      <c r="H805" s="164"/>
      <c r="I805" s="164"/>
      <c r="J805" s="164"/>
    </row>
    <row r="806" spans="1:10" x14ac:dyDescent="0.25">
      <c r="A806" s="16"/>
      <c r="B806" s="16"/>
      <c r="C806" s="165"/>
      <c r="D806" s="165"/>
      <c r="E806" s="165"/>
      <c r="F806" s="165"/>
      <c r="G806" s="164"/>
      <c r="H806" s="164"/>
      <c r="I806" s="164"/>
      <c r="J806" s="164"/>
    </row>
    <row r="807" spans="1:10" x14ac:dyDescent="0.25">
      <c r="A807" s="16"/>
      <c r="B807" s="16"/>
      <c r="C807" s="165"/>
      <c r="D807" s="165"/>
      <c r="E807" s="165"/>
      <c r="F807" s="165"/>
      <c r="G807" s="164"/>
      <c r="H807" s="164"/>
      <c r="I807" s="164"/>
      <c r="J807" s="164"/>
    </row>
    <row r="808" spans="1:10" x14ac:dyDescent="0.25">
      <c r="A808" s="16"/>
      <c r="B808" s="16"/>
      <c r="C808" s="165"/>
      <c r="D808" s="165"/>
      <c r="E808" s="165"/>
      <c r="F808" s="165"/>
      <c r="G808" s="164"/>
      <c r="H808" s="164"/>
      <c r="I808" s="164"/>
      <c r="J808" s="164"/>
    </row>
    <row r="809" spans="1:10" x14ac:dyDescent="0.25">
      <c r="A809" s="16"/>
      <c r="B809" s="16"/>
      <c r="C809" s="165"/>
      <c r="D809" s="165"/>
      <c r="E809" s="165"/>
      <c r="F809" s="165"/>
      <c r="G809" s="164"/>
      <c r="H809" s="164"/>
      <c r="I809" s="164"/>
      <c r="J809" s="164"/>
    </row>
    <row r="810" spans="1:10" x14ac:dyDescent="0.25">
      <c r="A810" s="16"/>
      <c r="B810" s="16"/>
      <c r="C810" s="165"/>
      <c r="D810" s="165"/>
      <c r="E810" s="165"/>
      <c r="F810" s="165"/>
      <c r="G810" s="164"/>
      <c r="H810" s="164"/>
      <c r="I810" s="164"/>
      <c r="J810" s="164"/>
    </row>
    <row r="811" spans="1:10" x14ac:dyDescent="0.25">
      <c r="A811" s="16"/>
      <c r="B811" s="16"/>
      <c r="C811" s="165"/>
      <c r="D811" s="165"/>
      <c r="E811" s="165"/>
      <c r="F811" s="165"/>
      <c r="G811" s="164"/>
      <c r="H811" s="164"/>
      <c r="I811" s="164"/>
      <c r="J811" s="164"/>
    </row>
    <row r="812" spans="1:10" x14ac:dyDescent="0.25">
      <c r="A812" s="16"/>
      <c r="B812" s="16"/>
      <c r="C812" s="165"/>
      <c r="D812" s="165"/>
      <c r="E812" s="165"/>
      <c r="F812" s="165"/>
      <c r="G812" s="164"/>
      <c r="H812" s="164"/>
      <c r="I812" s="164"/>
      <c r="J812" s="164"/>
    </row>
    <row r="813" spans="1:10" x14ac:dyDescent="0.25">
      <c r="A813" s="16"/>
      <c r="B813" s="16"/>
      <c r="C813" s="165"/>
      <c r="D813" s="165"/>
      <c r="E813" s="165"/>
      <c r="F813" s="165"/>
      <c r="G813" s="164"/>
      <c r="H813" s="164"/>
      <c r="I813" s="164"/>
      <c r="J813" s="164"/>
    </row>
    <row r="814" spans="1:10" x14ac:dyDescent="0.25">
      <c r="A814" s="16"/>
      <c r="B814" s="16"/>
      <c r="C814" s="165"/>
      <c r="D814" s="165"/>
      <c r="E814" s="165"/>
      <c r="F814" s="165"/>
      <c r="G814" s="164"/>
      <c r="H814" s="164"/>
      <c r="I814" s="164"/>
      <c r="J814" s="164"/>
    </row>
    <row r="815" spans="1:10" x14ac:dyDescent="0.25">
      <c r="A815" s="16"/>
      <c r="B815" s="16"/>
      <c r="C815" s="165"/>
      <c r="D815" s="165"/>
      <c r="E815" s="165"/>
      <c r="F815" s="165"/>
      <c r="G815" s="164"/>
      <c r="H815" s="164"/>
      <c r="I815" s="164"/>
      <c r="J815" s="164"/>
    </row>
    <row r="816" spans="1:10" x14ac:dyDescent="0.25">
      <c r="A816" s="16"/>
      <c r="B816" s="16"/>
      <c r="C816" s="165"/>
      <c r="D816" s="165"/>
      <c r="E816" s="165"/>
      <c r="F816" s="165"/>
      <c r="G816" s="164"/>
      <c r="H816" s="164"/>
      <c r="I816" s="164"/>
      <c r="J816" s="164"/>
    </row>
    <row r="817" spans="1:10" x14ac:dyDescent="0.25">
      <c r="A817" s="16"/>
      <c r="B817" s="16"/>
      <c r="C817" s="165"/>
      <c r="D817" s="165"/>
      <c r="E817" s="165"/>
      <c r="F817" s="165"/>
      <c r="G817" s="164"/>
      <c r="H817" s="164"/>
      <c r="I817" s="164"/>
      <c r="J817" s="164"/>
    </row>
    <row r="818" spans="1:10" x14ac:dyDescent="0.25">
      <c r="A818" s="16"/>
      <c r="B818" s="16"/>
      <c r="C818" s="165"/>
      <c r="D818" s="165"/>
      <c r="E818" s="165"/>
      <c r="F818" s="165"/>
      <c r="G818" s="164"/>
      <c r="H818" s="164"/>
      <c r="I818" s="164"/>
      <c r="J818" s="164"/>
    </row>
    <row r="819" spans="1:10" x14ac:dyDescent="0.25">
      <c r="A819" s="16"/>
      <c r="B819" s="16"/>
      <c r="C819" s="165"/>
      <c r="D819" s="165"/>
      <c r="E819" s="165"/>
      <c r="F819" s="165"/>
      <c r="G819" s="164"/>
      <c r="H819" s="164"/>
      <c r="I819" s="164"/>
      <c r="J819" s="164"/>
    </row>
    <row r="820" spans="1:10" x14ac:dyDescent="0.25">
      <c r="A820" s="16"/>
      <c r="B820" s="16"/>
      <c r="C820" s="165"/>
      <c r="D820" s="165"/>
      <c r="E820" s="165"/>
      <c r="F820" s="165"/>
      <c r="G820" s="164"/>
      <c r="H820" s="164"/>
      <c r="I820" s="164"/>
      <c r="J820" s="164"/>
    </row>
    <row r="821" spans="1:10" x14ac:dyDescent="0.25">
      <c r="A821" s="16"/>
      <c r="B821" s="16"/>
      <c r="C821" s="165"/>
      <c r="D821" s="165"/>
      <c r="E821" s="165"/>
      <c r="F821" s="165"/>
      <c r="G821" s="164"/>
      <c r="H821" s="164"/>
      <c r="I821" s="164"/>
      <c r="J821" s="164"/>
    </row>
    <row r="822" spans="1:10" x14ac:dyDescent="0.25">
      <c r="A822" s="16"/>
      <c r="B822" s="16"/>
      <c r="C822" s="165"/>
      <c r="D822" s="165"/>
      <c r="E822" s="165"/>
      <c r="F822" s="165"/>
      <c r="G822" s="164"/>
      <c r="H822" s="164"/>
      <c r="I822" s="164"/>
      <c r="J822" s="164"/>
    </row>
    <row r="823" spans="1:10" x14ac:dyDescent="0.25">
      <c r="A823" s="16"/>
      <c r="B823" s="16"/>
      <c r="C823" s="165"/>
      <c r="D823" s="165"/>
      <c r="E823" s="165"/>
      <c r="F823" s="165"/>
      <c r="G823" s="164"/>
      <c r="H823" s="164"/>
      <c r="I823" s="164"/>
      <c r="J823" s="164"/>
    </row>
    <row r="824" spans="1:10" x14ac:dyDescent="0.25">
      <c r="A824" s="16"/>
      <c r="B824" s="16"/>
      <c r="C824" s="165"/>
      <c r="D824" s="165"/>
      <c r="E824" s="165"/>
      <c r="F824" s="165"/>
      <c r="G824" s="164"/>
      <c r="H824" s="164"/>
      <c r="I824" s="164"/>
      <c r="J824" s="164"/>
    </row>
    <row r="825" spans="1:10" x14ac:dyDescent="0.25">
      <c r="A825" s="16"/>
      <c r="B825" s="16"/>
      <c r="C825" s="165"/>
      <c r="D825" s="165"/>
      <c r="E825" s="165"/>
      <c r="F825" s="165"/>
      <c r="G825" s="164"/>
      <c r="H825" s="164"/>
      <c r="I825" s="164"/>
      <c r="J825" s="164"/>
    </row>
    <row r="826" spans="1:10" x14ac:dyDescent="0.25">
      <c r="A826" s="16"/>
      <c r="B826" s="16"/>
      <c r="C826" s="165"/>
      <c r="D826" s="165"/>
      <c r="E826" s="165"/>
      <c r="F826" s="165"/>
      <c r="G826" s="164"/>
      <c r="H826" s="164"/>
      <c r="I826" s="164"/>
      <c r="J826" s="164"/>
    </row>
    <row r="827" spans="1:10" x14ac:dyDescent="0.25">
      <c r="A827" s="16"/>
      <c r="B827" s="16"/>
      <c r="C827" s="165"/>
      <c r="D827" s="165"/>
      <c r="E827" s="165"/>
      <c r="F827" s="165"/>
      <c r="G827" s="164"/>
      <c r="H827" s="164"/>
      <c r="I827" s="164"/>
      <c r="J827" s="164"/>
    </row>
    <row r="828" spans="1:10" x14ac:dyDescent="0.25">
      <c r="A828" s="16"/>
      <c r="B828" s="16"/>
      <c r="C828" s="165"/>
      <c r="D828" s="165"/>
      <c r="E828" s="165"/>
      <c r="F828" s="165"/>
      <c r="G828" s="164"/>
      <c r="H828" s="164"/>
      <c r="I828" s="164"/>
      <c r="J828" s="164"/>
    </row>
    <row r="829" spans="1:10" x14ac:dyDescent="0.25">
      <c r="A829" s="16"/>
      <c r="B829" s="16"/>
      <c r="C829" s="165"/>
      <c r="D829" s="165"/>
      <c r="E829" s="165"/>
      <c r="F829" s="165"/>
      <c r="G829" s="164"/>
      <c r="H829" s="164"/>
      <c r="I829" s="164"/>
      <c r="J829" s="164"/>
    </row>
    <row r="830" spans="1:10" x14ac:dyDescent="0.25">
      <c r="A830" s="16"/>
      <c r="B830" s="16"/>
      <c r="C830" s="165"/>
      <c r="D830" s="165"/>
      <c r="E830" s="165"/>
      <c r="F830" s="165"/>
      <c r="G830" s="164"/>
      <c r="H830" s="164"/>
      <c r="I830" s="164"/>
      <c r="J830" s="164"/>
    </row>
    <row r="831" spans="1:10" x14ac:dyDescent="0.25">
      <c r="A831" s="16"/>
      <c r="B831" s="16"/>
      <c r="C831" s="165"/>
      <c r="D831" s="165"/>
      <c r="E831" s="165"/>
      <c r="F831" s="165"/>
      <c r="G831" s="164"/>
      <c r="H831" s="164"/>
      <c r="I831" s="164"/>
      <c r="J831" s="164"/>
    </row>
    <row r="832" spans="1:10" x14ac:dyDescent="0.25">
      <c r="A832" s="16"/>
      <c r="B832" s="16"/>
      <c r="C832" s="165"/>
      <c r="D832" s="165"/>
      <c r="E832" s="165"/>
      <c r="F832" s="165"/>
      <c r="G832" s="164"/>
      <c r="H832" s="164"/>
      <c r="I832" s="164"/>
      <c r="J832" s="164"/>
    </row>
    <row r="833" spans="1:10" x14ac:dyDescent="0.25">
      <c r="A833" s="16"/>
      <c r="B833" s="16"/>
      <c r="C833" s="165"/>
      <c r="D833" s="165"/>
      <c r="E833" s="165"/>
      <c r="F833" s="165"/>
      <c r="G833" s="164"/>
      <c r="H833" s="164"/>
      <c r="I833" s="164"/>
      <c r="J833" s="164"/>
    </row>
    <row r="834" spans="1:10" x14ac:dyDescent="0.25">
      <c r="A834" s="16"/>
      <c r="B834" s="16"/>
      <c r="C834" s="165"/>
      <c r="D834" s="165"/>
      <c r="E834" s="165"/>
      <c r="F834" s="165"/>
      <c r="G834" s="164"/>
      <c r="H834" s="164"/>
      <c r="I834" s="164"/>
      <c r="J834" s="164"/>
    </row>
    <row r="835" spans="1:10" x14ac:dyDescent="0.25">
      <c r="A835" s="16"/>
      <c r="B835" s="16"/>
      <c r="C835" s="165"/>
      <c r="D835" s="165"/>
      <c r="E835" s="165"/>
      <c r="F835" s="165"/>
      <c r="G835" s="164"/>
      <c r="H835" s="164"/>
      <c r="I835" s="164"/>
      <c r="J835" s="164"/>
    </row>
    <row r="836" spans="1:10" x14ac:dyDescent="0.25">
      <c r="A836" s="16"/>
      <c r="B836" s="16"/>
      <c r="C836" s="165"/>
      <c r="D836" s="165"/>
      <c r="E836" s="165"/>
      <c r="F836" s="165"/>
      <c r="G836" s="164"/>
      <c r="H836" s="164"/>
      <c r="I836" s="164"/>
      <c r="J836" s="164"/>
    </row>
    <row r="837" spans="1:10" x14ac:dyDescent="0.25">
      <c r="A837" s="16"/>
      <c r="B837" s="16"/>
      <c r="C837" s="165"/>
      <c r="D837" s="165"/>
      <c r="E837" s="165"/>
      <c r="F837" s="165"/>
      <c r="G837" s="164"/>
      <c r="H837" s="164"/>
      <c r="I837" s="164"/>
      <c r="J837" s="164"/>
    </row>
    <row r="838" spans="1:10" x14ac:dyDescent="0.25">
      <c r="A838" s="16"/>
      <c r="B838" s="16"/>
      <c r="C838" s="165"/>
      <c r="D838" s="165"/>
      <c r="E838" s="165"/>
      <c r="F838" s="165"/>
      <c r="G838" s="164"/>
      <c r="H838" s="164"/>
      <c r="I838" s="164"/>
      <c r="J838" s="164"/>
    </row>
    <row r="839" spans="1:10" x14ac:dyDescent="0.25">
      <c r="A839" s="16"/>
      <c r="B839" s="16"/>
      <c r="C839" s="165"/>
      <c r="D839" s="165"/>
      <c r="E839" s="165"/>
      <c r="F839" s="165"/>
      <c r="G839" s="164"/>
      <c r="H839" s="164"/>
      <c r="I839" s="164"/>
      <c r="J839" s="164"/>
    </row>
    <row r="840" spans="1:10" x14ac:dyDescent="0.25">
      <c r="A840" s="16"/>
      <c r="B840" s="16"/>
      <c r="C840" s="165"/>
      <c r="D840" s="165"/>
      <c r="E840" s="165"/>
      <c r="F840" s="165"/>
      <c r="G840" s="164"/>
      <c r="H840" s="164"/>
      <c r="I840" s="164"/>
      <c r="J840" s="164"/>
    </row>
    <row r="841" spans="1:10" x14ac:dyDescent="0.25">
      <c r="A841" s="16"/>
      <c r="B841" s="16"/>
      <c r="C841" s="165"/>
      <c r="D841" s="165"/>
      <c r="E841" s="165"/>
      <c r="F841" s="165"/>
      <c r="G841" s="164"/>
      <c r="H841" s="164"/>
      <c r="I841" s="164"/>
      <c r="J841" s="164"/>
    </row>
    <row r="842" spans="1:10" x14ac:dyDescent="0.25">
      <c r="A842" s="16"/>
      <c r="B842" s="16"/>
      <c r="C842" s="165"/>
      <c r="D842" s="165"/>
      <c r="E842" s="165"/>
      <c r="F842" s="165"/>
      <c r="G842" s="164"/>
      <c r="H842" s="164"/>
      <c r="I842" s="164"/>
      <c r="J842" s="164"/>
    </row>
    <row r="843" spans="1:10" x14ac:dyDescent="0.25">
      <c r="A843" s="16"/>
      <c r="B843" s="16"/>
      <c r="C843" s="165"/>
      <c r="D843" s="165"/>
      <c r="E843" s="165"/>
      <c r="F843" s="165"/>
      <c r="G843" s="164"/>
      <c r="H843" s="164"/>
      <c r="I843" s="164"/>
      <c r="J843" s="164"/>
    </row>
    <row r="844" spans="1:10" x14ac:dyDescent="0.25">
      <c r="A844" s="16"/>
      <c r="B844" s="16"/>
      <c r="C844" s="165"/>
      <c r="D844" s="165"/>
      <c r="E844" s="165"/>
      <c r="F844" s="165"/>
      <c r="G844" s="164"/>
      <c r="H844" s="164"/>
      <c r="I844" s="164"/>
      <c r="J844" s="164"/>
    </row>
    <row r="845" spans="1:10" x14ac:dyDescent="0.25">
      <c r="A845" s="16"/>
      <c r="B845" s="16"/>
      <c r="C845" s="165"/>
      <c r="D845" s="165"/>
      <c r="E845" s="165"/>
      <c r="F845" s="165"/>
      <c r="G845" s="164"/>
      <c r="H845" s="164"/>
      <c r="I845" s="164"/>
      <c r="J845" s="164"/>
    </row>
    <row r="846" spans="1:10" x14ac:dyDescent="0.25">
      <c r="A846" s="16"/>
      <c r="B846" s="16"/>
      <c r="C846" s="165"/>
      <c r="D846" s="165"/>
      <c r="E846" s="165"/>
      <c r="F846" s="165"/>
      <c r="G846" s="164"/>
      <c r="H846" s="164"/>
      <c r="I846" s="164"/>
      <c r="J846" s="164"/>
    </row>
    <row r="847" spans="1:10" x14ac:dyDescent="0.25">
      <c r="A847" s="16"/>
      <c r="B847" s="16"/>
      <c r="C847" s="165"/>
      <c r="D847" s="165"/>
      <c r="E847" s="165"/>
      <c r="F847" s="165"/>
      <c r="G847" s="164"/>
      <c r="H847" s="164"/>
      <c r="I847" s="164"/>
      <c r="J847" s="164"/>
    </row>
    <row r="848" spans="1:10" x14ac:dyDescent="0.25">
      <c r="A848" s="16"/>
      <c r="B848" s="16"/>
      <c r="C848" s="165"/>
      <c r="D848" s="165"/>
      <c r="E848" s="165"/>
      <c r="F848" s="165"/>
      <c r="G848" s="164"/>
      <c r="H848" s="164"/>
      <c r="I848" s="164"/>
      <c r="J848" s="164"/>
    </row>
    <row r="849" spans="1:10" x14ac:dyDescent="0.25">
      <c r="A849" s="16"/>
      <c r="B849" s="16"/>
      <c r="C849" s="165"/>
      <c r="D849" s="165"/>
      <c r="E849" s="165"/>
      <c r="F849" s="165"/>
      <c r="G849" s="164"/>
      <c r="H849" s="164"/>
      <c r="I849" s="164"/>
      <c r="J849" s="164"/>
    </row>
    <row r="850" spans="1:10" x14ac:dyDescent="0.25">
      <c r="A850" s="16"/>
      <c r="B850" s="16"/>
      <c r="C850" s="165"/>
      <c r="D850" s="165"/>
      <c r="E850" s="165"/>
      <c r="F850" s="165"/>
      <c r="G850" s="164"/>
      <c r="H850" s="164"/>
      <c r="I850" s="164"/>
      <c r="J850" s="164"/>
    </row>
    <row r="851" spans="1:10" x14ac:dyDescent="0.25">
      <c r="A851" s="16"/>
      <c r="B851" s="16"/>
      <c r="C851" s="165"/>
      <c r="D851" s="165"/>
      <c r="E851" s="165"/>
      <c r="F851" s="165"/>
      <c r="G851" s="164"/>
      <c r="H851" s="164"/>
      <c r="I851" s="164"/>
      <c r="J851" s="164"/>
    </row>
    <row r="852" spans="1:10" x14ac:dyDescent="0.25">
      <c r="A852" s="16"/>
      <c r="B852" s="16"/>
      <c r="C852" s="165"/>
      <c r="D852" s="165"/>
      <c r="E852" s="165"/>
      <c r="F852" s="165"/>
      <c r="G852" s="164"/>
      <c r="H852" s="164"/>
      <c r="I852" s="164"/>
      <c r="J852" s="164"/>
    </row>
    <row r="853" spans="1:10" x14ac:dyDescent="0.25">
      <c r="A853" s="16"/>
      <c r="B853" s="16"/>
      <c r="C853" s="165"/>
      <c r="D853" s="165"/>
      <c r="E853" s="165"/>
      <c r="F853" s="165"/>
      <c r="G853" s="164"/>
      <c r="H853" s="164"/>
      <c r="I853" s="164"/>
      <c r="J853" s="164"/>
    </row>
    <row r="854" spans="1:10" x14ac:dyDescent="0.25">
      <c r="A854" s="16"/>
      <c r="B854" s="16"/>
      <c r="C854" s="165"/>
      <c r="D854" s="165"/>
      <c r="E854" s="165"/>
      <c r="F854" s="165"/>
      <c r="G854" s="164"/>
      <c r="H854" s="164"/>
      <c r="I854" s="164"/>
      <c r="J854" s="164"/>
    </row>
    <row r="855" spans="1:10" x14ac:dyDescent="0.25">
      <c r="A855" s="16"/>
      <c r="B855" s="16"/>
      <c r="C855" s="165"/>
      <c r="D855" s="165"/>
      <c r="E855" s="165"/>
      <c r="F855" s="165"/>
      <c r="G855" s="164"/>
      <c r="H855" s="164"/>
      <c r="I855" s="164"/>
      <c r="J855" s="164"/>
    </row>
    <row r="856" spans="1:10" x14ac:dyDescent="0.25">
      <c r="A856" s="16"/>
      <c r="B856" s="16"/>
      <c r="C856" s="165"/>
      <c r="D856" s="165"/>
      <c r="E856" s="16"/>
      <c r="F856" s="165"/>
      <c r="G856" s="164"/>
      <c r="H856" s="164"/>
      <c r="I856" s="164"/>
      <c r="J856" s="164"/>
    </row>
    <row r="857" spans="1:10" x14ac:dyDescent="0.25">
      <c r="A857" s="16"/>
      <c r="B857" s="16"/>
      <c r="C857" s="165"/>
      <c r="D857" s="165"/>
      <c r="E857" s="16"/>
      <c r="F857" s="165"/>
      <c r="G857" s="164"/>
      <c r="H857" s="164"/>
      <c r="I857" s="164"/>
      <c r="J857" s="164"/>
    </row>
    <row r="858" spans="1:10" x14ac:dyDescent="0.25">
      <c r="A858" s="16"/>
      <c r="B858" s="16"/>
      <c r="C858" s="165"/>
      <c r="D858" s="165"/>
      <c r="E858" s="16"/>
      <c r="F858" s="165"/>
      <c r="G858" s="164"/>
      <c r="H858" s="164"/>
      <c r="I858" s="164"/>
      <c r="J858" s="164"/>
    </row>
    <row r="859" spans="1:10" x14ac:dyDescent="0.25">
      <c r="A859" s="16"/>
      <c r="B859" s="16"/>
      <c r="C859" s="165"/>
      <c r="D859" s="165"/>
      <c r="E859" s="16"/>
      <c r="F859" s="165"/>
      <c r="G859" s="164"/>
      <c r="H859" s="164"/>
      <c r="I859" s="164"/>
      <c r="J859" s="164"/>
    </row>
    <row r="860" spans="1:10" x14ac:dyDescent="0.25">
      <c r="A860" s="16"/>
      <c r="B860" s="16"/>
      <c r="C860" s="165"/>
      <c r="D860" s="165"/>
      <c r="E860" s="16"/>
      <c r="F860" s="165"/>
      <c r="G860" s="164"/>
      <c r="H860" s="164"/>
      <c r="I860" s="164"/>
      <c r="J860" s="164"/>
    </row>
    <row r="861" spans="1:10" x14ac:dyDescent="0.25">
      <c r="A861" s="16"/>
      <c r="B861" s="16"/>
      <c r="C861" s="165"/>
      <c r="D861" s="165"/>
      <c r="E861" s="16"/>
      <c r="F861" s="165"/>
      <c r="G861" s="164"/>
      <c r="H861" s="164"/>
      <c r="I861" s="164"/>
      <c r="J861" s="164"/>
    </row>
    <row r="862" spans="1:10" x14ac:dyDescent="0.25">
      <c r="A862" s="16"/>
      <c r="B862" s="16"/>
      <c r="C862" s="165"/>
      <c r="D862" s="165"/>
      <c r="E862" s="16"/>
      <c r="F862" s="165"/>
      <c r="G862" s="164"/>
      <c r="H862" s="164"/>
      <c r="I862" s="164"/>
      <c r="J862" s="164"/>
    </row>
    <row r="863" spans="1:10" x14ac:dyDescent="0.25">
      <c r="A863" s="16"/>
      <c r="B863" s="16"/>
      <c r="C863" s="165"/>
      <c r="D863" s="165"/>
      <c r="E863" s="16"/>
      <c r="F863" s="165"/>
      <c r="G863" s="164"/>
      <c r="H863" s="164"/>
      <c r="I863" s="164"/>
      <c r="J863" s="164"/>
    </row>
    <row r="864" spans="1:10" x14ac:dyDescent="0.25">
      <c r="A864" s="16"/>
      <c r="B864" s="16"/>
      <c r="C864" s="165"/>
      <c r="D864" s="165"/>
      <c r="E864" s="16"/>
      <c r="F864" s="165"/>
      <c r="G864" s="164"/>
      <c r="H864" s="164"/>
      <c r="I864" s="164"/>
      <c r="J864" s="164"/>
    </row>
    <row r="865" spans="1:10" x14ac:dyDescent="0.25">
      <c r="A865" s="16"/>
      <c r="B865" s="16"/>
      <c r="C865" s="165"/>
      <c r="D865" s="165"/>
      <c r="E865" s="16"/>
      <c r="F865" s="165"/>
      <c r="G865" s="164"/>
      <c r="H865" s="164"/>
      <c r="I865" s="164"/>
      <c r="J865" s="164"/>
    </row>
    <row r="866" spans="1:10" x14ac:dyDescent="0.25">
      <c r="A866" s="16"/>
      <c r="B866" s="16"/>
      <c r="C866" s="165"/>
      <c r="D866" s="165"/>
      <c r="E866" s="16"/>
      <c r="F866" s="165"/>
      <c r="G866" s="164"/>
      <c r="H866" s="164"/>
      <c r="I866" s="164"/>
      <c r="J866" s="164"/>
    </row>
    <row r="867" spans="1:10" x14ac:dyDescent="0.25">
      <c r="A867" s="16"/>
      <c r="B867" s="16"/>
      <c r="C867" s="165"/>
      <c r="D867" s="165"/>
      <c r="E867" s="16"/>
      <c r="F867" s="165"/>
      <c r="G867" s="164"/>
      <c r="H867" s="164"/>
      <c r="I867" s="164"/>
      <c r="J867" s="164"/>
    </row>
    <row r="868" spans="1:10" x14ac:dyDescent="0.25">
      <c r="A868" s="16"/>
      <c r="B868" s="16"/>
      <c r="C868" s="165"/>
      <c r="D868" s="165"/>
      <c r="E868" s="16"/>
      <c r="F868" s="165"/>
      <c r="G868" s="164"/>
      <c r="H868" s="164"/>
      <c r="I868" s="164"/>
      <c r="J868" s="164"/>
    </row>
    <row r="869" spans="1:10" x14ac:dyDescent="0.25">
      <c r="A869" s="16"/>
      <c r="B869" s="16"/>
      <c r="C869" s="165"/>
      <c r="D869" s="165"/>
      <c r="E869" s="16"/>
      <c r="F869" s="165"/>
      <c r="G869" s="164"/>
      <c r="H869" s="164"/>
      <c r="I869" s="164"/>
      <c r="J869" s="164"/>
    </row>
    <row r="870" spans="1:10" x14ac:dyDescent="0.25">
      <c r="A870" s="16"/>
      <c r="B870" s="16"/>
      <c r="C870" s="165"/>
      <c r="D870" s="165"/>
      <c r="E870" s="16"/>
      <c r="F870" s="165"/>
      <c r="G870" s="164"/>
      <c r="H870" s="164"/>
      <c r="I870" s="164"/>
      <c r="J870" s="164"/>
    </row>
    <row r="871" spans="1:10" x14ac:dyDescent="0.25">
      <c r="A871" s="16"/>
      <c r="B871" s="16"/>
      <c r="C871" s="165"/>
      <c r="D871" s="165"/>
      <c r="E871" s="16"/>
      <c r="F871" s="165"/>
      <c r="G871" s="164"/>
      <c r="H871" s="164"/>
      <c r="I871" s="164"/>
      <c r="J871" s="164"/>
    </row>
    <row r="872" spans="1:10" x14ac:dyDescent="0.25">
      <c r="A872" s="16"/>
      <c r="B872" s="16"/>
      <c r="C872" s="165"/>
      <c r="D872" s="165"/>
      <c r="E872" s="16"/>
      <c r="F872" s="165"/>
      <c r="G872" s="164"/>
      <c r="H872" s="164"/>
      <c r="I872" s="164"/>
      <c r="J872" s="164"/>
    </row>
    <row r="873" spans="1:10" x14ac:dyDescent="0.25">
      <c r="A873" s="16"/>
      <c r="B873" s="16"/>
      <c r="C873" s="165"/>
      <c r="D873" s="165"/>
      <c r="E873" s="16"/>
      <c r="F873" s="165"/>
      <c r="G873" s="164"/>
      <c r="H873" s="164"/>
      <c r="I873" s="164"/>
      <c r="J873" s="164"/>
    </row>
    <row r="874" spans="1:10" x14ac:dyDescent="0.25">
      <c r="A874" s="16"/>
      <c r="B874" s="16"/>
      <c r="C874" s="165"/>
      <c r="D874" s="165"/>
      <c r="E874" s="16"/>
      <c r="F874" s="165"/>
      <c r="G874" s="164"/>
      <c r="H874" s="164"/>
      <c r="I874" s="164"/>
      <c r="J874" s="164"/>
    </row>
    <row r="875" spans="1:10" x14ac:dyDescent="0.25">
      <c r="A875" s="16"/>
      <c r="B875" s="16"/>
      <c r="C875" s="165"/>
      <c r="D875" s="165"/>
      <c r="E875" s="16"/>
      <c r="F875" s="165"/>
      <c r="G875" s="164"/>
      <c r="H875" s="164"/>
      <c r="I875" s="164"/>
      <c r="J875" s="164"/>
    </row>
    <row r="876" spans="1:10" x14ac:dyDescent="0.25">
      <c r="A876" s="16"/>
      <c r="B876" s="16"/>
      <c r="C876" s="165"/>
      <c r="D876" s="165"/>
      <c r="E876" s="16"/>
      <c r="F876" s="165"/>
      <c r="G876" s="164"/>
      <c r="H876" s="164"/>
      <c r="I876" s="164"/>
      <c r="J876" s="164"/>
    </row>
    <row r="877" spans="1:10" x14ac:dyDescent="0.25">
      <c r="A877" s="16"/>
      <c r="B877" s="16"/>
      <c r="C877" s="165"/>
      <c r="D877" s="165"/>
      <c r="E877" s="16"/>
      <c r="F877" s="165"/>
      <c r="G877" s="164"/>
      <c r="H877" s="164"/>
      <c r="I877" s="164"/>
      <c r="J877" s="164"/>
    </row>
    <row r="878" spans="1:10" x14ac:dyDescent="0.25">
      <c r="A878" s="16"/>
      <c r="B878" s="16"/>
      <c r="C878" s="165"/>
      <c r="D878" s="165"/>
      <c r="E878" s="16"/>
      <c r="F878" s="165"/>
      <c r="G878" s="164"/>
      <c r="H878" s="164"/>
      <c r="I878" s="164"/>
      <c r="J878" s="164"/>
    </row>
    <row r="879" spans="1:10" x14ac:dyDescent="0.25">
      <c r="A879" s="16"/>
      <c r="B879" s="16"/>
      <c r="C879" s="165"/>
      <c r="D879" s="165"/>
      <c r="E879" s="16"/>
      <c r="F879" s="165"/>
      <c r="G879" s="164"/>
      <c r="H879" s="164"/>
      <c r="I879" s="164"/>
      <c r="J879" s="164"/>
    </row>
    <row r="880" spans="1:10" x14ac:dyDescent="0.25">
      <c r="A880" s="16"/>
      <c r="B880" s="16"/>
      <c r="C880" s="165"/>
      <c r="D880" s="165"/>
      <c r="E880" s="16"/>
      <c r="F880" s="165"/>
      <c r="G880" s="164"/>
      <c r="H880" s="164"/>
      <c r="I880" s="164"/>
      <c r="J880" s="164"/>
    </row>
    <row r="881" spans="1:10" x14ac:dyDescent="0.25">
      <c r="A881" s="16"/>
      <c r="B881" s="16"/>
      <c r="C881" s="165"/>
      <c r="D881" s="165"/>
      <c r="E881" s="16"/>
      <c r="F881" s="165"/>
      <c r="G881" s="164"/>
      <c r="H881" s="164"/>
      <c r="I881" s="164"/>
      <c r="J881" s="164"/>
    </row>
    <row r="882" spans="1:10" x14ac:dyDescent="0.25">
      <c r="A882" s="16"/>
      <c r="B882" s="16"/>
      <c r="C882" s="165"/>
      <c r="D882" s="165"/>
      <c r="E882" s="16"/>
      <c r="F882" s="165"/>
      <c r="G882" s="164"/>
      <c r="H882" s="164"/>
      <c r="I882" s="164"/>
      <c r="J882" s="164"/>
    </row>
    <row r="883" spans="1:10" x14ac:dyDescent="0.25">
      <c r="A883" s="16"/>
      <c r="B883" s="16"/>
      <c r="C883" s="165"/>
      <c r="D883" s="165"/>
      <c r="E883" s="16"/>
      <c r="F883" s="165"/>
      <c r="G883" s="164"/>
      <c r="H883" s="164"/>
      <c r="I883" s="164"/>
      <c r="J883" s="164"/>
    </row>
    <row r="884" spans="1:10" x14ac:dyDescent="0.25">
      <c r="A884" s="16"/>
      <c r="B884" s="16"/>
      <c r="C884" s="165"/>
      <c r="D884" s="165"/>
      <c r="E884" s="16"/>
      <c r="F884" s="165"/>
      <c r="G884" s="164"/>
      <c r="H884" s="164"/>
      <c r="I884" s="164"/>
      <c r="J884" s="164"/>
    </row>
    <row r="885" spans="1:10" x14ac:dyDescent="0.25">
      <c r="A885" s="16"/>
      <c r="B885" s="16"/>
      <c r="C885" s="165"/>
      <c r="D885" s="165"/>
      <c r="E885" s="16"/>
      <c r="F885" s="165"/>
      <c r="G885" s="164"/>
      <c r="H885" s="164"/>
      <c r="I885" s="164"/>
      <c r="J885" s="164"/>
    </row>
    <row r="886" spans="1:10" x14ac:dyDescent="0.25">
      <c r="A886" s="16"/>
      <c r="B886" s="16"/>
      <c r="C886" s="165"/>
      <c r="D886" s="165"/>
      <c r="E886" s="16"/>
      <c r="F886" s="165"/>
      <c r="G886" s="164"/>
      <c r="H886" s="164"/>
      <c r="I886" s="164"/>
      <c r="J886" s="164"/>
    </row>
    <row r="887" spans="1:10" x14ac:dyDescent="0.25">
      <c r="A887" s="16"/>
      <c r="B887" s="16"/>
      <c r="C887" s="165"/>
      <c r="D887" s="165"/>
      <c r="E887" s="16"/>
      <c r="F887" s="165"/>
      <c r="G887" s="164"/>
      <c r="H887" s="164"/>
      <c r="I887" s="164"/>
      <c r="J887" s="164"/>
    </row>
    <row r="888" spans="1:10" x14ac:dyDescent="0.25">
      <c r="A888" s="16"/>
      <c r="B888" s="16"/>
      <c r="C888" s="165"/>
      <c r="D888" s="165"/>
      <c r="E888" s="16"/>
      <c r="F888" s="165"/>
      <c r="G888" s="164"/>
      <c r="H888" s="164"/>
      <c r="I888" s="164"/>
      <c r="J888" s="164"/>
    </row>
    <row r="889" spans="1:10" x14ac:dyDescent="0.25">
      <c r="A889" s="16"/>
      <c r="B889" s="16"/>
      <c r="C889" s="165"/>
      <c r="D889" s="165"/>
      <c r="E889" s="16"/>
      <c r="F889" s="165"/>
      <c r="G889" s="164"/>
      <c r="H889" s="164"/>
      <c r="I889" s="164"/>
      <c r="J889" s="164"/>
    </row>
    <row r="890" spans="1:10" x14ac:dyDescent="0.25">
      <c r="A890" s="16"/>
      <c r="B890" s="16"/>
      <c r="C890" s="165"/>
      <c r="D890" s="165"/>
      <c r="E890" s="16"/>
      <c r="F890" s="165"/>
      <c r="G890" s="164"/>
      <c r="H890" s="164"/>
      <c r="I890" s="164"/>
      <c r="J890" s="164"/>
    </row>
    <row r="891" spans="1:10" x14ac:dyDescent="0.25">
      <c r="A891" s="16"/>
      <c r="B891" s="16"/>
      <c r="C891" s="165"/>
      <c r="D891" s="165"/>
      <c r="E891" s="16"/>
      <c r="F891" s="165"/>
      <c r="G891" s="164"/>
      <c r="H891" s="164"/>
      <c r="I891" s="164"/>
      <c r="J891" s="164"/>
    </row>
    <row r="892" spans="1:10" x14ac:dyDescent="0.25">
      <c r="A892" s="16"/>
      <c r="B892" s="16"/>
      <c r="C892" s="165"/>
      <c r="D892" s="165"/>
      <c r="E892" s="16"/>
      <c r="F892" s="165"/>
      <c r="G892" s="164"/>
      <c r="H892" s="164"/>
      <c r="I892" s="164"/>
      <c r="J892" s="164"/>
    </row>
    <row r="893" spans="1:10" x14ac:dyDescent="0.25">
      <c r="A893" s="16"/>
      <c r="B893" s="16"/>
      <c r="C893" s="165"/>
      <c r="D893" s="165"/>
      <c r="E893" s="16"/>
      <c r="F893" s="165"/>
      <c r="G893" s="164"/>
      <c r="H893" s="164"/>
      <c r="I893" s="164"/>
      <c r="J893" s="164"/>
    </row>
    <row r="894" spans="1:10" x14ac:dyDescent="0.25">
      <c r="A894" s="16"/>
      <c r="B894" s="16"/>
      <c r="C894" s="165"/>
      <c r="D894" s="165"/>
      <c r="E894" s="16"/>
      <c r="F894" s="165"/>
      <c r="G894" s="164"/>
      <c r="H894" s="164"/>
      <c r="I894" s="164"/>
      <c r="J894" s="164"/>
    </row>
    <row r="895" spans="1:10" x14ac:dyDescent="0.25">
      <c r="A895" s="16"/>
      <c r="B895" s="16"/>
      <c r="C895" s="165"/>
      <c r="D895" s="165"/>
      <c r="E895" s="16"/>
      <c r="F895" s="165"/>
      <c r="G895" s="164"/>
      <c r="H895" s="164"/>
      <c r="I895" s="164"/>
      <c r="J895" s="164"/>
    </row>
    <row r="896" spans="1:10" x14ac:dyDescent="0.25">
      <c r="A896" s="16"/>
      <c r="B896" s="16"/>
      <c r="C896" s="165"/>
      <c r="D896" s="165"/>
      <c r="E896" s="16"/>
      <c r="F896" s="165"/>
      <c r="G896" s="164"/>
      <c r="H896" s="164"/>
      <c r="I896" s="164"/>
      <c r="J896" s="164"/>
    </row>
    <row r="897" spans="1:10" x14ac:dyDescent="0.25">
      <c r="A897" s="16"/>
      <c r="B897" s="16"/>
      <c r="C897" s="165"/>
      <c r="D897" s="165"/>
      <c r="E897" s="16"/>
      <c r="F897" s="165"/>
      <c r="G897" s="164"/>
      <c r="H897" s="164"/>
      <c r="I897" s="164"/>
      <c r="J897" s="164"/>
    </row>
    <row r="898" spans="1:10" x14ac:dyDescent="0.25">
      <c r="A898" s="16"/>
      <c r="B898" s="16"/>
      <c r="C898" s="165"/>
      <c r="D898" s="165"/>
      <c r="E898" s="16"/>
      <c r="F898" s="165"/>
      <c r="G898" s="164"/>
      <c r="H898" s="164"/>
      <c r="I898" s="164"/>
      <c r="J898" s="164"/>
    </row>
    <row r="899" spans="1:10" x14ac:dyDescent="0.25">
      <c r="A899" s="16"/>
      <c r="B899" s="16"/>
      <c r="C899" s="165"/>
      <c r="D899" s="165"/>
      <c r="E899" s="16"/>
      <c r="F899" s="165"/>
      <c r="G899" s="164"/>
      <c r="H899" s="164"/>
      <c r="I899" s="164"/>
      <c r="J899" s="164"/>
    </row>
    <row r="900" spans="1:10" x14ac:dyDescent="0.25">
      <c r="A900" s="16"/>
      <c r="B900" s="16"/>
      <c r="C900" s="165"/>
      <c r="D900" s="165"/>
      <c r="E900" s="16"/>
      <c r="F900" s="165"/>
      <c r="G900" s="164"/>
      <c r="H900" s="164"/>
      <c r="I900" s="164"/>
      <c r="J900" s="164"/>
    </row>
    <row r="901" spans="1:10" x14ac:dyDescent="0.25">
      <c r="A901" s="16"/>
      <c r="B901" s="16"/>
      <c r="C901" s="165"/>
      <c r="D901" s="165"/>
      <c r="E901" s="16"/>
      <c r="F901" s="165"/>
      <c r="G901" s="164"/>
      <c r="H901" s="164"/>
      <c r="I901" s="164"/>
      <c r="J901" s="164"/>
    </row>
    <row r="902" spans="1:10" x14ac:dyDescent="0.25">
      <c r="A902" s="16"/>
      <c r="B902" s="16"/>
      <c r="C902" s="165"/>
      <c r="D902" s="165"/>
      <c r="E902" s="16"/>
      <c r="F902" s="165"/>
      <c r="G902" s="164"/>
      <c r="H902" s="164"/>
      <c r="I902" s="164"/>
      <c r="J902" s="164"/>
    </row>
    <row r="903" spans="1:10" x14ac:dyDescent="0.25">
      <c r="A903" s="16"/>
      <c r="B903" s="16"/>
      <c r="C903" s="165"/>
      <c r="D903" s="165"/>
      <c r="E903" s="16"/>
      <c r="F903" s="165"/>
      <c r="G903" s="164"/>
      <c r="H903" s="164"/>
      <c r="I903" s="164"/>
      <c r="J903" s="164"/>
    </row>
    <row r="904" spans="1:10" x14ac:dyDescent="0.25">
      <c r="A904" s="16"/>
      <c r="B904" s="16"/>
      <c r="C904" s="165"/>
      <c r="D904" s="165"/>
      <c r="E904" s="16"/>
      <c r="F904" s="165"/>
      <c r="G904" s="164"/>
      <c r="H904" s="164"/>
      <c r="I904" s="164"/>
      <c r="J904" s="164"/>
    </row>
    <row r="905" spans="1:10" x14ac:dyDescent="0.25">
      <c r="A905" s="16"/>
      <c r="B905" s="16"/>
      <c r="C905" s="165"/>
      <c r="D905" s="165"/>
      <c r="E905" s="16"/>
      <c r="F905" s="165"/>
      <c r="G905" s="164"/>
      <c r="H905" s="164"/>
      <c r="I905" s="164"/>
      <c r="J905" s="164"/>
    </row>
    <row r="906" spans="1:10" x14ac:dyDescent="0.25">
      <c r="A906" s="16"/>
      <c r="B906" s="16"/>
      <c r="C906" s="165"/>
      <c r="D906" s="165"/>
      <c r="E906" s="16"/>
      <c r="F906" s="165"/>
      <c r="G906" s="164"/>
      <c r="H906" s="164"/>
      <c r="I906" s="164"/>
      <c r="J906" s="164"/>
    </row>
    <row r="907" spans="1:10" x14ac:dyDescent="0.25">
      <c r="A907" s="16"/>
      <c r="B907" s="16"/>
      <c r="C907" s="165"/>
      <c r="D907" s="165"/>
      <c r="E907" s="16"/>
      <c r="F907" s="165"/>
      <c r="G907" s="164"/>
      <c r="H907" s="164"/>
      <c r="I907" s="164"/>
      <c r="J907" s="164"/>
    </row>
    <row r="908" spans="1:10" x14ac:dyDescent="0.25">
      <c r="A908" s="16"/>
      <c r="B908" s="16"/>
      <c r="C908" s="165"/>
      <c r="D908" s="165"/>
      <c r="E908" s="16"/>
      <c r="F908" s="165"/>
      <c r="G908" s="164"/>
      <c r="H908" s="164"/>
      <c r="I908" s="164"/>
      <c r="J908" s="164"/>
    </row>
    <row r="909" spans="1:10" x14ac:dyDescent="0.25">
      <c r="A909" s="16"/>
      <c r="B909" s="16"/>
      <c r="C909" s="165"/>
      <c r="D909" s="165"/>
      <c r="E909" s="16"/>
      <c r="F909" s="165"/>
      <c r="G909" s="164"/>
      <c r="H909" s="164"/>
      <c r="I909" s="164"/>
      <c r="J909" s="164"/>
    </row>
    <row r="910" spans="1:10" x14ac:dyDescent="0.25">
      <c r="A910" s="16"/>
      <c r="B910" s="16"/>
      <c r="C910" s="165"/>
      <c r="D910" s="165"/>
      <c r="E910" s="16"/>
      <c r="F910" s="165"/>
      <c r="G910" s="164"/>
      <c r="H910" s="164"/>
      <c r="I910" s="164"/>
      <c r="J910" s="164"/>
    </row>
    <row r="911" spans="1:10" x14ac:dyDescent="0.25">
      <c r="A911" s="16"/>
      <c r="B911" s="16"/>
      <c r="C911" s="165"/>
      <c r="D911" s="165"/>
      <c r="E911" s="16"/>
      <c r="F911" s="165"/>
      <c r="G911" s="164"/>
      <c r="H911" s="164"/>
      <c r="I911" s="164"/>
      <c r="J911" s="164"/>
    </row>
    <row r="912" spans="1:10" x14ac:dyDescent="0.25">
      <c r="A912" s="16"/>
      <c r="B912" s="16"/>
      <c r="C912" s="165"/>
      <c r="D912" s="165"/>
      <c r="E912" s="16"/>
      <c r="F912" s="165"/>
      <c r="G912" s="164"/>
      <c r="H912" s="164"/>
      <c r="I912" s="164"/>
      <c r="J912" s="164"/>
    </row>
    <row r="913" spans="1:10" x14ac:dyDescent="0.25">
      <c r="A913" s="16"/>
      <c r="B913" s="16"/>
      <c r="C913" s="165"/>
      <c r="D913" s="165"/>
      <c r="E913" s="16"/>
      <c r="F913" s="165"/>
      <c r="G913" s="164"/>
      <c r="H913" s="164"/>
      <c r="I913" s="164"/>
      <c r="J913" s="164"/>
    </row>
    <row r="914" spans="1:10" x14ac:dyDescent="0.25">
      <c r="A914" s="16"/>
      <c r="B914" s="16"/>
      <c r="C914" s="165"/>
      <c r="D914" s="165"/>
      <c r="E914" s="16"/>
      <c r="F914" s="165"/>
      <c r="G914" s="164"/>
      <c r="H914" s="164"/>
      <c r="I914" s="164"/>
      <c r="J914" s="164"/>
    </row>
    <row r="915" spans="1:10" x14ac:dyDescent="0.25">
      <c r="A915" s="16"/>
      <c r="B915" s="16"/>
      <c r="C915" s="165"/>
      <c r="D915" s="165"/>
      <c r="E915" s="16"/>
      <c r="F915" s="165"/>
      <c r="G915" s="164"/>
      <c r="H915" s="164"/>
      <c r="I915" s="164"/>
      <c r="J915" s="164"/>
    </row>
    <row r="916" spans="1:10" x14ac:dyDescent="0.25">
      <c r="A916" s="16"/>
      <c r="B916" s="16"/>
      <c r="C916" s="165"/>
      <c r="D916" s="165"/>
      <c r="E916" s="16"/>
      <c r="F916" s="165"/>
      <c r="G916" s="164"/>
      <c r="H916" s="164"/>
      <c r="I916" s="164"/>
      <c r="J916" s="164"/>
    </row>
    <row r="917" spans="1:10" x14ac:dyDescent="0.25">
      <c r="A917" s="16"/>
      <c r="B917" s="16"/>
      <c r="C917" s="165"/>
      <c r="D917" s="165"/>
      <c r="E917" s="16"/>
      <c r="F917" s="165"/>
      <c r="G917" s="164"/>
      <c r="H917" s="164"/>
      <c r="I917" s="164"/>
      <c r="J917" s="164"/>
    </row>
    <row r="918" spans="1:10" x14ac:dyDescent="0.25">
      <c r="A918" s="16"/>
      <c r="B918" s="16"/>
      <c r="C918" s="165"/>
      <c r="D918" s="165"/>
      <c r="E918" s="16"/>
      <c r="F918" s="165"/>
      <c r="G918" s="164"/>
      <c r="H918" s="164"/>
      <c r="I918" s="164"/>
      <c r="J918" s="164"/>
    </row>
    <row r="919" spans="1:10" x14ac:dyDescent="0.25">
      <c r="A919" s="16"/>
      <c r="B919" s="16"/>
      <c r="C919" s="165"/>
      <c r="D919" s="165"/>
      <c r="E919" s="16"/>
      <c r="F919" s="165"/>
      <c r="G919" s="164"/>
      <c r="H919" s="164"/>
      <c r="I919" s="164"/>
      <c r="J919" s="164"/>
    </row>
    <row r="920" spans="1:10" x14ac:dyDescent="0.25">
      <c r="A920" s="16"/>
      <c r="B920" s="16"/>
      <c r="C920" s="165"/>
      <c r="D920" s="165"/>
      <c r="E920" s="16"/>
      <c r="F920" s="165"/>
      <c r="G920" s="164"/>
      <c r="H920" s="164"/>
      <c r="I920" s="164"/>
      <c r="J920" s="164"/>
    </row>
    <row r="921" spans="1:10" x14ac:dyDescent="0.25">
      <c r="A921" s="16"/>
      <c r="B921" s="16"/>
      <c r="C921" s="165"/>
      <c r="D921" s="165"/>
      <c r="E921" s="16"/>
      <c r="F921" s="165"/>
      <c r="G921" s="164"/>
      <c r="H921" s="164"/>
      <c r="I921" s="164"/>
      <c r="J921" s="164"/>
    </row>
    <row r="922" spans="1:10" x14ac:dyDescent="0.25">
      <c r="A922" s="16"/>
      <c r="B922" s="16"/>
      <c r="C922" s="165"/>
      <c r="D922" s="165"/>
      <c r="E922" s="16"/>
      <c r="F922" s="165"/>
      <c r="G922" s="164"/>
      <c r="H922" s="164"/>
      <c r="I922" s="164"/>
      <c r="J922" s="164"/>
    </row>
    <row r="923" spans="1:10" x14ac:dyDescent="0.25">
      <c r="A923" s="16"/>
      <c r="B923" s="16"/>
      <c r="C923" s="165"/>
      <c r="D923" s="165"/>
      <c r="E923" s="16"/>
      <c r="F923" s="165"/>
      <c r="G923" s="164"/>
      <c r="H923" s="164"/>
      <c r="I923" s="164"/>
      <c r="J923" s="164"/>
    </row>
    <row r="924" spans="1:10" x14ac:dyDescent="0.25">
      <c r="A924" s="16"/>
      <c r="B924" s="16"/>
      <c r="C924" s="165"/>
      <c r="D924" s="165"/>
      <c r="E924" s="16"/>
      <c r="F924" s="165"/>
      <c r="G924" s="164"/>
      <c r="H924" s="164"/>
      <c r="I924" s="164"/>
      <c r="J924" s="164"/>
    </row>
    <row r="925" spans="1:10" x14ac:dyDescent="0.25">
      <c r="A925" s="16"/>
      <c r="B925" s="16"/>
      <c r="C925" s="165"/>
      <c r="D925" s="165"/>
      <c r="E925" s="16"/>
      <c r="F925" s="165"/>
      <c r="G925" s="164"/>
      <c r="H925" s="164"/>
      <c r="I925" s="164"/>
      <c r="J925" s="164"/>
    </row>
    <row r="926" spans="1:10" x14ac:dyDescent="0.25">
      <c r="A926" s="16"/>
      <c r="B926" s="16"/>
      <c r="C926" s="165"/>
      <c r="D926" s="165"/>
      <c r="E926" s="16"/>
      <c r="F926" s="165"/>
      <c r="G926" s="164"/>
      <c r="H926" s="164"/>
      <c r="I926" s="164"/>
      <c r="J926" s="164"/>
    </row>
    <row r="927" spans="1:10" x14ac:dyDescent="0.25">
      <c r="A927" s="16"/>
      <c r="B927" s="16"/>
      <c r="C927" s="165"/>
      <c r="D927" s="165"/>
      <c r="E927" s="16"/>
      <c r="F927" s="165"/>
      <c r="G927" s="164"/>
      <c r="H927" s="164"/>
      <c r="I927" s="164"/>
      <c r="J927" s="164"/>
    </row>
    <row r="928" spans="1:10" x14ac:dyDescent="0.25">
      <c r="A928" s="16"/>
      <c r="B928" s="16"/>
      <c r="C928" s="165"/>
      <c r="D928" s="165"/>
      <c r="E928" s="16"/>
      <c r="F928" s="165"/>
      <c r="G928" s="164"/>
      <c r="H928" s="164"/>
      <c r="I928" s="164"/>
      <c r="J928" s="164"/>
    </row>
    <row r="929" spans="1:10" x14ac:dyDescent="0.25">
      <c r="A929" s="16"/>
      <c r="B929" s="16"/>
      <c r="C929" s="165"/>
      <c r="D929" s="165"/>
      <c r="E929" s="16"/>
      <c r="F929" s="165"/>
      <c r="G929" s="164"/>
      <c r="H929" s="164"/>
      <c r="I929" s="164"/>
      <c r="J929" s="164"/>
    </row>
    <row r="930" spans="1:10" x14ac:dyDescent="0.25">
      <c r="A930" s="16"/>
      <c r="B930" s="16"/>
      <c r="C930" s="165"/>
      <c r="D930" s="165"/>
      <c r="E930" s="16"/>
      <c r="F930" s="165"/>
      <c r="G930" s="164"/>
      <c r="H930" s="164"/>
      <c r="I930" s="164"/>
      <c r="J930" s="164"/>
    </row>
    <row r="931" spans="1:10" x14ac:dyDescent="0.25">
      <c r="A931" s="16"/>
      <c r="B931" s="16"/>
      <c r="C931" s="165"/>
      <c r="D931" s="165"/>
      <c r="E931" s="16"/>
      <c r="F931" s="165"/>
      <c r="G931" s="164"/>
      <c r="H931" s="164"/>
      <c r="I931" s="164"/>
      <c r="J931" s="164"/>
    </row>
    <row r="932" spans="1:10" x14ac:dyDescent="0.25">
      <c r="A932" s="16"/>
      <c r="B932" s="16"/>
      <c r="C932" s="165"/>
      <c r="D932" s="165"/>
      <c r="E932" s="16"/>
      <c r="F932" s="165"/>
      <c r="G932" s="164"/>
      <c r="H932" s="164"/>
      <c r="I932" s="164"/>
      <c r="J932" s="164"/>
    </row>
    <row r="933" spans="1:10" x14ac:dyDescent="0.25">
      <c r="A933" s="16"/>
      <c r="B933" s="16"/>
      <c r="C933" s="165"/>
      <c r="D933" s="165"/>
      <c r="E933" s="16"/>
      <c r="F933" s="165"/>
      <c r="G933" s="164"/>
      <c r="H933" s="164"/>
      <c r="I933" s="164"/>
      <c r="J933" s="164"/>
    </row>
    <row r="934" spans="1:10" x14ac:dyDescent="0.25">
      <c r="A934" s="16"/>
      <c r="B934" s="16"/>
      <c r="C934" s="165"/>
      <c r="D934" s="165"/>
      <c r="E934" s="16"/>
      <c r="F934" s="165"/>
      <c r="G934" s="164"/>
      <c r="H934" s="164"/>
      <c r="I934" s="164"/>
      <c r="J934" s="164"/>
    </row>
    <row r="935" spans="1:10" x14ac:dyDescent="0.25">
      <c r="A935" s="16"/>
      <c r="B935" s="16"/>
      <c r="C935" s="165"/>
      <c r="D935" s="165"/>
      <c r="E935" s="16"/>
      <c r="F935" s="165"/>
      <c r="G935" s="164"/>
      <c r="H935" s="164"/>
      <c r="I935" s="164"/>
      <c r="J935" s="164"/>
    </row>
    <row r="936" spans="1:10" x14ac:dyDescent="0.25">
      <c r="A936" s="16"/>
      <c r="B936" s="16"/>
      <c r="C936" s="165"/>
      <c r="D936" s="165"/>
      <c r="E936" s="16"/>
      <c r="F936" s="165"/>
      <c r="G936" s="164"/>
      <c r="H936" s="164"/>
      <c r="I936" s="164"/>
      <c r="J936" s="164"/>
    </row>
    <row r="937" spans="1:10" x14ac:dyDescent="0.25">
      <c r="A937" s="16"/>
      <c r="B937" s="16"/>
      <c r="C937" s="165"/>
      <c r="D937" s="165"/>
      <c r="E937" s="16"/>
      <c r="F937" s="165"/>
      <c r="G937" s="164"/>
      <c r="H937" s="164"/>
      <c r="I937" s="164"/>
      <c r="J937" s="164"/>
    </row>
    <row r="938" spans="1:10" x14ac:dyDescent="0.25">
      <c r="A938" s="16"/>
      <c r="B938" s="16"/>
      <c r="C938" s="165"/>
      <c r="D938" s="165"/>
      <c r="E938" s="16"/>
      <c r="F938" s="165"/>
      <c r="G938" s="164"/>
      <c r="H938" s="164"/>
      <c r="I938" s="164"/>
      <c r="J938" s="164"/>
    </row>
    <row r="939" spans="1:10" x14ac:dyDescent="0.25">
      <c r="A939" s="16"/>
      <c r="B939" s="16"/>
      <c r="C939" s="165"/>
      <c r="D939" s="165"/>
      <c r="E939" s="16"/>
      <c r="F939" s="165"/>
      <c r="G939" s="164"/>
      <c r="H939" s="164"/>
      <c r="I939" s="164"/>
      <c r="J939" s="164"/>
    </row>
    <row r="940" spans="1:10" x14ac:dyDescent="0.25">
      <c r="A940" s="16"/>
      <c r="B940" s="16"/>
      <c r="C940" s="165"/>
      <c r="D940" s="165"/>
      <c r="E940" s="16"/>
      <c r="F940" s="165"/>
      <c r="G940" s="164"/>
      <c r="H940" s="164"/>
      <c r="I940" s="164"/>
      <c r="J940" s="164"/>
    </row>
    <row r="941" spans="1:10" x14ac:dyDescent="0.25">
      <c r="A941" s="16"/>
      <c r="B941" s="16"/>
      <c r="C941" s="165"/>
      <c r="D941" s="165"/>
      <c r="E941" s="16"/>
      <c r="F941" s="165"/>
      <c r="G941" s="164"/>
      <c r="H941" s="164"/>
      <c r="I941" s="164"/>
      <c r="J941" s="164"/>
    </row>
    <row r="942" spans="1:10" x14ac:dyDescent="0.25">
      <c r="A942" s="16"/>
      <c r="B942" s="16"/>
      <c r="C942" s="165"/>
      <c r="D942" s="165"/>
      <c r="E942" s="16"/>
      <c r="F942" s="165"/>
      <c r="G942" s="164"/>
      <c r="H942" s="164"/>
      <c r="I942" s="164"/>
      <c r="J942" s="164"/>
    </row>
    <row r="943" spans="1:10" x14ac:dyDescent="0.25">
      <c r="A943" s="16"/>
      <c r="B943" s="16"/>
      <c r="C943" s="165"/>
      <c r="D943" s="165"/>
      <c r="E943" s="16"/>
      <c r="F943" s="165"/>
      <c r="G943" s="164"/>
      <c r="H943" s="164"/>
      <c r="I943" s="164"/>
      <c r="J943" s="164"/>
    </row>
    <row r="944" spans="1:10" x14ac:dyDescent="0.25">
      <c r="A944" s="16"/>
      <c r="B944" s="16"/>
      <c r="C944" s="165"/>
      <c r="D944" s="165"/>
      <c r="E944" s="16"/>
      <c r="F944" s="165"/>
      <c r="G944" s="164"/>
      <c r="H944" s="164"/>
      <c r="I944" s="164"/>
      <c r="J944" s="164"/>
    </row>
    <row r="945" spans="1:10" x14ac:dyDescent="0.25">
      <c r="A945" s="16"/>
      <c r="B945" s="16"/>
      <c r="C945" s="165"/>
      <c r="D945" s="165"/>
      <c r="E945" s="16"/>
      <c r="F945" s="165"/>
      <c r="G945" s="164"/>
      <c r="H945" s="164"/>
      <c r="I945" s="164"/>
      <c r="J945" s="164"/>
    </row>
    <row r="946" spans="1:10" x14ac:dyDescent="0.25">
      <c r="A946" s="16"/>
      <c r="B946" s="16"/>
      <c r="C946" s="165"/>
      <c r="D946" s="165"/>
      <c r="E946" s="16"/>
      <c r="F946" s="165"/>
      <c r="G946" s="164"/>
      <c r="H946" s="164"/>
      <c r="I946" s="164"/>
      <c r="J946" s="164"/>
    </row>
    <row r="947" spans="1:10" x14ac:dyDescent="0.25">
      <c r="A947" s="16"/>
      <c r="B947" s="16"/>
      <c r="C947" s="165"/>
      <c r="D947" s="165"/>
      <c r="E947" s="16"/>
      <c r="F947" s="165"/>
      <c r="G947" s="164"/>
      <c r="H947" s="164"/>
      <c r="I947" s="164"/>
      <c r="J947" s="164"/>
    </row>
    <row r="948" spans="1:10" x14ac:dyDescent="0.25">
      <c r="A948" s="16"/>
      <c r="B948" s="16"/>
      <c r="C948" s="165"/>
      <c r="D948" s="165"/>
      <c r="E948" s="16"/>
      <c r="F948" s="165"/>
      <c r="G948" s="164"/>
      <c r="H948" s="164"/>
      <c r="I948" s="164"/>
      <c r="J948" s="164"/>
    </row>
    <row r="949" spans="1:10" x14ac:dyDescent="0.25">
      <c r="A949" s="16"/>
      <c r="B949" s="16"/>
      <c r="C949" s="165"/>
      <c r="D949" s="165"/>
      <c r="E949" s="16"/>
      <c r="F949" s="165"/>
      <c r="G949" s="164"/>
      <c r="H949" s="164"/>
      <c r="I949" s="164"/>
      <c r="J949" s="164"/>
    </row>
    <row r="950" spans="1:10" x14ac:dyDescent="0.25">
      <c r="A950" s="16"/>
      <c r="B950" s="16"/>
      <c r="C950" s="165"/>
      <c r="D950" s="165"/>
      <c r="E950" s="16"/>
      <c r="F950" s="165"/>
      <c r="G950" s="164"/>
      <c r="H950" s="164"/>
      <c r="I950" s="164"/>
      <c r="J950" s="164"/>
    </row>
    <row r="951" spans="1:10" x14ac:dyDescent="0.25">
      <c r="A951" s="16"/>
      <c r="B951" s="16"/>
      <c r="C951" s="165"/>
      <c r="D951" s="165"/>
      <c r="E951" s="16"/>
      <c r="F951" s="165"/>
      <c r="G951" s="164"/>
      <c r="H951" s="164"/>
      <c r="I951" s="164"/>
      <c r="J951" s="164"/>
    </row>
    <row r="952" spans="1:10" x14ac:dyDescent="0.25">
      <c r="A952" s="16"/>
      <c r="B952" s="16"/>
      <c r="C952" s="165"/>
      <c r="D952" s="165"/>
      <c r="E952" s="16"/>
      <c r="F952" s="165"/>
      <c r="G952" s="164"/>
      <c r="H952" s="164"/>
      <c r="I952" s="164"/>
      <c r="J952" s="164"/>
    </row>
    <row r="953" spans="1:10" x14ac:dyDescent="0.25">
      <c r="A953" s="16"/>
      <c r="B953" s="16"/>
      <c r="C953" s="165"/>
      <c r="D953" s="165"/>
      <c r="E953" s="16"/>
      <c r="F953" s="165"/>
      <c r="G953" s="164"/>
      <c r="H953" s="164"/>
      <c r="I953" s="164"/>
      <c r="J953" s="164"/>
    </row>
    <row r="954" spans="1:10" x14ac:dyDescent="0.25">
      <c r="A954" s="16"/>
      <c r="B954" s="16"/>
      <c r="C954" s="165"/>
      <c r="D954" s="165"/>
      <c r="E954" s="16"/>
      <c r="F954" s="165"/>
      <c r="G954" s="164"/>
      <c r="H954" s="164"/>
      <c r="I954" s="164"/>
      <c r="J954" s="164"/>
    </row>
    <row r="955" spans="1:10" x14ac:dyDescent="0.25">
      <c r="A955" s="16"/>
      <c r="B955" s="16"/>
      <c r="C955" s="165"/>
      <c r="D955" s="165"/>
      <c r="E955" s="16"/>
      <c r="F955" s="165"/>
      <c r="G955" s="164"/>
      <c r="H955" s="164"/>
      <c r="I955" s="164"/>
      <c r="J955" s="164"/>
    </row>
    <row r="956" spans="1:10" x14ac:dyDescent="0.25">
      <c r="A956" s="16"/>
      <c r="B956" s="16"/>
      <c r="C956" s="165"/>
      <c r="D956" s="165"/>
      <c r="E956" s="16"/>
      <c r="F956" s="165"/>
      <c r="G956" s="164"/>
      <c r="H956" s="164"/>
      <c r="I956" s="164"/>
      <c r="J956" s="164"/>
    </row>
    <row r="957" spans="1:10" x14ac:dyDescent="0.25">
      <c r="A957" s="16"/>
      <c r="B957" s="16"/>
      <c r="C957" s="165"/>
      <c r="D957" s="165"/>
      <c r="E957" s="16"/>
      <c r="F957" s="165"/>
      <c r="G957" s="164"/>
      <c r="H957" s="164"/>
      <c r="I957" s="164"/>
      <c r="J957" s="164"/>
    </row>
    <row r="958" spans="1:10" x14ac:dyDescent="0.25">
      <c r="A958" s="16"/>
      <c r="B958" s="16"/>
      <c r="C958" s="165"/>
      <c r="D958" s="165"/>
      <c r="E958" s="16"/>
      <c r="F958" s="165"/>
      <c r="G958" s="164"/>
      <c r="H958" s="164"/>
      <c r="I958" s="164"/>
      <c r="J958" s="164"/>
    </row>
    <row r="959" spans="1:10" x14ac:dyDescent="0.25">
      <c r="A959" s="16"/>
      <c r="B959" s="16"/>
      <c r="C959" s="165"/>
      <c r="D959" s="165"/>
      <c r="E959" s="16"/>
      <c r="F959" s="165"/>
      <c r="G959" s="164"/>
      <c r="H959" s="164"/>
      <c r="I959" s="164"/>
      <c r="J959" s="164"/>
    </row>
    <row r="960" spans="1:10" x14ac:dyDescent="0.25">
      <c r="A960" s="16"/>
      <c r="B960" s="16"/>
      <c r="C960" s="165"/>
      <c r="D960" s="165"/>
      <c r="E960" s="16"/>
      <c r="F960" s="165"/>
      <c r="G960" s="164"/>
      <c r="H960" s="164"/>
      <c r="I960" s="164"/>
      <c r="J960" s="164"/>
    </row>
    <row r="961" spans="1:10" x14ac:dyDescent="0.25">
      <c r="A961" s="16"/>
      <c r="B961" s="16"/>
      <c r="C961" s="165"/>
      <c r="D961" s="165"/>
      <c r="E961" s="16"/>
      <c r="F961" s="165"/>
      <c r="G961" s="164"/>
      <c r="H961" s="164"/>
      <c r="I961" s="164"/>
      <c r="J961" s="164"/>
    </row>
    <row r="962" spans="1:10" x14ac:dyDescent="0.25">
      <c r="A962" s="16"/>
      <c r="B962" s="16"/>
      <c r="C962" s="165"/>
      <c r="D962" s="165"/>
      <c r="E962" s="16"/>
      <c r="F962" s="165"/>
      <c r="G962" s="164"/>
      <c r="H962" s="164"/>
      <c r="I962" s="164"/>
      <c r="J962" s="164"/>
    </row>
    <row r="963" spans="1:10" x14ac:dyDescent="0.25">
      <c r="A963" s="16"/>
      <c r="B963" s="16"/>
      <c r="C963" s="165"/>
      <c r="D963" s="165"/>
      <c r="E963" s="16"/>
      <c r="F963" s="165"/>
      <c r="G963" s="164"/>
      <c r="H963" s="164"/>
      <c r="I963" s="164"/>
      <c r="J963" s="164"/>
    </row>
    <row r="964" spans="1:10" x14ac:dyDescent="0.25">
      <c r="A964" s="16"/>
      <c r="B964" s="16"/>
      <c r="C964" s="165"/>
      <c r="D964" s="165"/>
      <c r="E964" s="16"/>
      <c r="F964" s="165"/>
      <c r="G964" s="164"/>
      <c r="H964" s="164"/>
      <c r="I964" s="164"/>
      <c r="J964" s="164"/>
    </row>
    <row r="965" spans="1:10" x14ac:dyDescent="0.25">
      <c r="A965" s="16"/>
      <c r="B965" s="16"/>
      <c r="C965" s="165"/>
      <c r="D965" s="165"/>
      <c r="E965" s="16"/>
      <c r="F965" s="165"/>
      <c r="G965" s="164"/>
      <c r="H965" s="164"/>
      <c r="I965" s="164"/>
      <c r="J965" s="164"/>
    </row>
    <row r="966" spans="1:10" x14ac:dyDescent="0.25">
      <c r="A966" s="16"/>
      <c r="B966" s="16"/>
      <c r="C966" s="165"/>
      <c r="D966" s="165"/>
      <c r="E966" s="16"/>
      <c r="F966" s="165"/>
      <c r="G966" s="164"/>
      <c r="H966" s="164"/>
      <c r="I966" s="164"/>
      <c r="J966" s="164"/>
    </row>
    <row r="967" spans="1:10" x14ac:dyDescent="0.25">
      <c r="A967" s="16"/>
      <c r="B967" s="16"/>
      <c r="C967" s="165"/>
      <c r="D967" s="165"/>
      <c r="E967" s="16"/>
      <c r="F967" s="165"/>
      <c r="G967" s="164"/>
      <c r="H967" s="164"/>
      <c r="I967" s="164"/>
      <c r="J967" s="164"/>
    </row>
    <row r="968" spans="1:10" x14ac:dyDescent="0.25">
      <c r="A968" s="16"/>
      <c r="B968" s="16"/>
      <c r="C968" s="165"/>
      <c r="D968" s="165"/>
      <c r="E968" s="16"/>
      <c r="F968" s="165"/>
      <c r="G968" s="164"/>
      <c r="H968" s="164"/>
      <c r="I968" s="164"/>
      <c r="J968" s="164"/>
    </row>
    <row r="969" spans="1:10" x14ac:dyDescent="0.25">
      <c r="A969" s="16"/>
      <c r="B969" s="16"/>
      <c r="C969" s="165"/>
      <c r="D969" s="165"/>
      <c r="E969" s="16"/>
      <c r="F969" s="165"/>
      <c r="G969" s="164"/>
      <c r="H969" s="164"/>
      <c r="I969" s="164"/>
      <c r="J969" s="164"/>
    </row>
    <row r="970" spans="1:10" x14ac:dyDescent="0.25">
      <c r="A970" s="16"/>
      <c r="B970" s="16"/>
      <c r="C970" s="165"/>
      <c r="D970" s="165"/>
      <c r="E970" s="16"/>
      <c r="F970" s="165"/>
      <c r="G970" s="164"/>
      <c r="H970" s="164"/>
      <c r="I970" s="164"/>
      <c r="J970" s="164"/>
    </row>
    <row r="971" spans="1:10" x14ac:dyDescent="0.25">
      <c r="A971" s="16"/>
      <c r="B971" s="16"/>
      <c r="C971" s="165"/>
      <c r="D971" s="165"/>
      <c r="E971" s="16"/>
      <c r="F971" s="165"/>
      <c r="G971" s="164"/>
      <c r="H971" s="164"/>
      <c r="I971" s="164"/>
      <c r="J971" s="164"/>
    </row>
    <row r="972" spans="1:10" x14ac:dyDescent="0.25">
      <c r="A972" s="16"/>
      <c r="B972" s="16"/>
      <c r="C972" s="165"/>
      <c r="D972" s="165"/>
      <c r="E972" s="16"/>
      <c r="F972" s="165"/>
      <c r="G972" s="164"/>
      <c r="H972" s="164"/>
      <c r="I972" s="164"/>
      <c r="J972" s="164"/>
    </row>
    <row r="973" spans="1:10" x14ac:dyDescent="0.25">
      <c r="A973" s="16"/>
      <c r="B973" s="16"/>
      <c r="C973" s="165"/>
      <c r="D973" s="165"/>
      <c r="E973" s="16"/>
      <c r="F973" s="165"/>
      <c r="G973" s="164"/>
      <c r="H973" s="164"/>
      <c r="I973" s="164"/>
      <c r="J973" s="164"/>
    </row>
    <row r="974" spans="1:10" x14ac:dyDescent="0.25">
      <c r="A974" s="16"/>
      <c r="B974" s="16"/>
      <c r="C974" s="165"/>
      <c r="D974" s="165"/>
      <c r="E974" s="16"/>
      <c r="F974" s="165"/>
      <c r="G974" s="164"/>
      <c r="H974" s="164"/>
      <c r="I974" s="164"/>
      <c r="J974" s="164"/>
    </row>
    <row r="975" spans="1:10" x14ac:dyDescent="0.25">
      <c r="A975" s="16"/>
      <c r="B975" s="16"/>
      <c r="C975" s="165"/>
      <c r="D975" s="165"/>
      <c r="E975" s="16"/>
      <c r="F975" s="165"/>
      <c r="G975" s="164"/>
      <c r="H975" s="164"/>
      <c r="I975" s="164"/>
      <c r="J975" s="164"/>
    </row>
    <row r="976" spans="1:10" x14ac:dyDescent="0.25">
      <c r="A976" s="16"/>
      <c r="B976" s="16"/>
      <c r="C976" s="165"/>
      <c r="D976" s="165"/>
      <c r="E976" s="16"/>
      <c r="F976" s="165"/>
      <c r="G976" s="164"/>
      <c r="H976" s="164"/>
      <c r="I976" s="164"/>
      <c r="J976" s="164"/>
    </row>
    <row r="977" spans="1:10" x14ac:dyDescent="0.25">
      <c r="A977" s="16"/>
      <c r="B977" s="16"/>
      <c r="C977" s="165"/>
      <c r="D977" s="165"/>
      <c r="E977" s="16"/>
      <c r="F977" s="165"/>
      <c r="G977" s="164"/>
      <c r="H977" s="164"/>
      <c r="I977" s="164"/>
      <c r="J977" s="164"/>
    </row>
    <row r="978" spans="1:10" x14ac:dyDescent="0.25">
      <c r="A978" s="16"/>
      <c r="B978" s="16"/>
      <c r="C978" s="165"/>
      <c r="D978" s="165"/>
      <c r="E978" s="16"/>
      <c r="F978" s="165"/>
      <c r="G978" s="164"/>
      <c r="H978" s="164"/>
      <c r="I978" s="164"/>
      <c r="J978" s="164"/>
    </row>
    <row r="979" spans="1:10" x14ac:dyDescent="0.25">
      <c r="A979" s="16"/>
      <c r="B979" s="16"/>
      <c r="C979" s="165"/>
      <c r="D979" s="165"/>
      <c r="E979" s="16"/>
      <c r="F979" s="165"/>
      <c r="G979" s="164"/>
      <c r="H979" s="164"/>
      <c r="I979" s="164"/>
      <c r="J979" s="164"/>
    </row>
    <row r="980" spans="1:10" x14ac:dyDescent="0.25">
      <c r="A980" s="16"/>
      <c r="B980" s="16"/>
      <c r="C980" s="165"/>
      <c r="D980" s="165"/>
      <c r="E980" s="16"/>
      <c r="F980" s="165"/>
      <c r="G980" s="164"/>
      <c r="H980" s="164"/>
      <c r="I980" s="164"/>
      <c r="J980" s="164"/>
    </row>
    <row r="981" spans="1:10" x14ac:dyDescent="0.25">
      <c r="A981" s="16"/>
      <c r="B981" s="16"/>
      <c r="C981" s="165"/>
      <c r="D981" s="165"/>
      <c r="E981" s="16"/>
      <c r="F981" s="165"/>
      <c r="G981" s="164"/>
      <c r="H981" s="164"/>
      <c r="I981" s="164"/>
      <c r="J981" s="164"/>
    </row>
    <row r="982" spans="1:10" x14ac:dyDescent="0.25">
      <c r="A982" s="16"/>
      <c r="B982" s="16"/>
      <c r="C982" s="165"/>
      <c r="D982" s="165"/>
      <c r="E982" s="16"/>
      <c r="F982" s="165"/>
      <c r="G982" s="164"/>
      <c r="H982" s="164"/>
      <c r="I982" s="164"/>
      <c r="J982" s="164"/>
    </row>
    <row r="983" spans="1:10" x14ac:dyDescent="0.25">
      <c r="A983" s="16"/>
      <c r="B983" s="16"/>
      <c r="C983" s="165"/>
      <c r="D983" s="165"/>
      <c r="E983" s="16"/>
      <c r="F983" s="165"/>
      <c r="G983" s="164"/>
      <c r="H983" s="164"/>
      <c r="I983" s="164"/>
      <c r="J983" s="164"/>
    </row>
    <row r="984" spans="1:10" x14ac:dyDescent="0.25">
      <c r="A984" s="16"/>
      <c r="B984" s="16"/>
      <c r="C984" s="165"/>
      <c r="D984" s="165"/>
      <c r="E984" s="16"/>
      <c r="F984" s="165"/>
      <c r="G984" s="164"/>
      <c r="H984" s="164"/>
      <c r="I984" s="164"/>
      <c r="J984" s="164"/>
    </row>
    <row r="985" spans="1:10" x14ac:dyDescent="0.25">
      <c r="A985" s="16"/>
      <c r="B985" s="16"/>
      <c r="C985" s="165"/>
      <c r="D985" s="165"/>
      <c r="E985" s="16"/>
      <c r="F985" s="165"/>
      <c r="G985" s="164"/>
      <c r="H985" s="164"/>
      <c r="I985" s="164"/>
      <c r="J985" s="164"/>
    </row>
    <row r="986" spans="1:10" x14ac:dyDescent="0.25">
      <c r="A986" s="16"/>
      <c r="B986" s="16"/>
      <c r="C986" s="165"/>
      <c r="D986" s="165"/>
      <c r="E986" s="16"/>
      <c r="F986" s="165"/>
      <c r="G986" s="164"/>
      <c r="H986" s="164"/>
      <c r="I986" s="164"/>
      <c r="J986" s="164"/>
    </row>
    <row r="987" spans="1:10" x14ac:dyDescent="0.25">
      <c r="A987" s="16"/>
      <c r="B987" s="16"/>
      <c r="C987" s="165"/>
      <c r="D987" s="165"/>
      <c r="E987" s="16"/>
      <c r="F987" s="165"/>
      <c r="G987" s="164"/>
      <c r="H987" s="164"/>
      <c r="I987" s="164"/>
      <c r="J987" s="164"/>
    </row>
    <row r="988" spans="1:10" x14ac:dyDescent="0.25">
      <c r="A988" s="16"/>
      <c r="B988" s="16"/>
      <c r="C988" s="165"/>
      <c r="D988" s="165"/>
      <c r="E988" s="16"/>
      <c r="F988" s="165"/>
      <c r="G988" s="164"/>
      <c r="H988" s="164"/>
      <c r="I988" s="164"/>
      <c r="J988" s="164"/>
    </row>
    <row r="989" spans="1:10" x14ac:dyDescent="0.25">
      <c r="A989" s="16"/>
      <c r="B989" s="16"/>
      <c r="C989" s="165"/>
      <c r="D989" s="165"/>
      <c r="E989" s="16"/>
      <c r="F989" s="165"/>
      <c r="G989" s="164"/>
      <c r="H989" s="164"/>
      <c r="I989" s="164"/>
      <c r="J989" s="164"/>
    </row>
    <row r="990" spans="1:10" x14ac:dyDescent="0.25">
      <c r="A990" s="16"/>
      <c r="B990" s="16"/>
      <c r="C990" s="165"/>
      <c r="D990" s="165"/>
      <c r="E990" s="16"/>
      <c r="F990" s="165"/>
      <c r="G990" s="164"/>
      <c r="H990" s="164"/>
      <c r="I990" s="164"/>
      <c r="J990" s="164"/>
    </row>
    <row r="991" spans="1:10" x14ac:dyDescent="0.25">
      <c r="A991" s="16"/>
      <c r="B991" s="16"/>
      <c r="C991" s="165"/>
      <c r="D991" s="165"/>
      <c r="E991" s="16"/>
      <c r="F991" s="165"/>
      <c r="G991" s="164"/>
      <c r="H991" s="164"/>
      <c r="I991" s="164"/>
      <c r="J991" s="164"/>
    </row>
    <row r="992" spans="1:10" x14ac:dyDescent="0.25">
      <c r="A992" s="16"/>
      <c r="B992" s="16"/>
      <c r="C992" s="165"/>
      <c r="D992" s="165"/>
      <c r="E992" s="16"/>
      <c r="F992" s="165"/>
      <c r="G992" s="164"/>
      <c r="H992" s="164"/>
      <c r="I992" s="164"/>
      <c r="J992" s="164"/>
    </row>
    <row r="993" spans="1:10" x14ac:dyDescent="0.25">
      <c r="A993" s="16"/>
      <c r="B993" s="16"/>
      <c r="C993" s="165"/>
      <c r="D993" s="165"/>
      <c r="E993" s="16"/>
      <c r="F993" s="165"/>
      <c r="G993" s="164"/>
      <c r="H993" s="164"/>
      <c r="I993" s="164"/>
      <c r="J993" s="164"/>
    </row>
    <row r="994" spans="1:10" x14ac:dyDescent="0.25">
      <c r="A994" s="16"/>
      <c r="B994" s="16"/>
      <c r="C994" s="165"/>
      <c r="D994" s="165"/>
      <c r="E994" s="16"/>
      <c r="F994" s="165"/>
      <c r="G994" s="164"/>
      <c r="H994" s="164"/>
      <c r="I994" s="164"/>
      <c r="J994" s="164"/>
    </row>
    <row r="995" spans="1:10" x14ac:dyDescent="0.25">
      <c r="A995" s="16"/>
      <c r="B995" s="16"/>
      <c r="C995" s="165"/>
      <c r="D995" s="165"/>
      <c r="E995" s="16"/>
      <c r="F995" s="165"/>
      <c r="G995" s="164"/>
      <c r="H995" s="164"/>
      <c r="I995" s="164"/>
      <c r="J995" s="164"/>
    </row>
    <row r="996" spans="1:10" x14ac:dyDescent="0.25">
      <c r="A996" s="16"/>
      <c r="B996" s="16"/>
      <c r="C996" s="165"/>
      <c r="D996" s="165"/>
      <c r="E996" s="16"/>
      <c r="F996" s="165"/>
      <c r="G996" s="164"/>
      <c r="H996" s="164"/>
      <c r="I996" s="164"/>
      <c r="J996" s="164"/>
    </row>
    <row r="997" spans="1:10" x14ac:dyDescent="0.25">
      <c r="A997" s="16"/>
      <c r="B997" s="16"/>
      <c r="C997" s="165"/>
      <c r="D997" s="165"/>
      <c r="E997" s="16"/>
      <c r="F997" s="165"/>
      <c r="G997" s="164"/>
      <c r="H997" s="164"/>
      <c r="I997" s="164"/>
      <c r="J997" s="164"/>
    </row>
    <row r="998" spans="1:10" x14ac:dyDescent="0.25">
      <c r="A998" s="16"/>
      <c r="B998" s="16"/>
      <c r="C998" s="165"/>
      <c r="D998" s="165"/>
      <c r="E998" s="16"/>
      <c r="F998" s="165"/>
      <c r="G998" s="164"/>
      <c r="H998" s="164"/>
      <c r="I998" s="164"/>
      <c r="J998" s="164"/>
    </row>
    <row r="999" spans="1:10" x14ac:dyDescent="0.25">
      <c r="A999" s="16"/>
      <c r="B999" s="16"/>
      <c r="C999" s="165"/>
      <c r="D999" s="165"/>
      <c r="E999" s="16"/>
      <c r="F999" s="165"/>
      <c r="G999" s="164"/>
      <c r="H999" s="164"/>
      <c r="I999" s="164"/>
      <c r="J999" s="164"/>
    </row>
    <row r="1000" spans="1:10" x14ac:dyDescent="0.25">
      <c r="A1000" s="171"/>
      <c r="B1000" s="171"/>
      <c r="C1000" s="165"/>
      <c r="D1000" s="165"/>
      <c r="E1000" s="16"/>
      <c r="F1000" s="165"/>
      <c r="G1000" s="164"/>
      <c r="H1000" s="164"/>
      <c r="I1000" s="164"/>
      <c r="J1000" s="164"/>
    </row>
    <row r="1001" spans="1:10" x14ac:dyDescent="0.25">
      <c r="C1001" s="165"/>
      <c r="D1001" s="165"/>
      <c r="E1001" s="16"/>
      <c r="F1001" s="165"/>
      <c r="G1001" s="164"/>
      <c r="H1001" s="164"/>
      <c r="I1001" s="164"/>
      <c r="J1001" s="164"/>
    </row>
    <row r="1002" spans="1:10" x14ac:dyDescent="0.25">
      <c r="C1002" s="165"/>
      <c r="D1002" s="165"/>
      <c r="E1002" s="16"/>
      <c r="F1002" s="165"/>
      <c r="G1002" s="164"/>
      <c r="H1002" s="164"/>
      <c r="I1002" s="164"/>
      <c r="J1002" s="164"/>
    </row>
    <row r="1003" spans="1:10" x14ac:dyDescent="0.25">
      <c r="C1003" s="165"/>
      <c r="D1003" s="165"/>
      <c r="E1003" s="16"/>
      <c r="F1003" s="165"/>
      <c r="G1003" s="164"/>
      <c r="H1003" s="164"/>
      <c r="I1003" s="164"/>
      <c r="J1003" s="164"/>
    </row>
    <row r="1004" spans="1:10" x14ac:dyDescent="0.25">
      <c r="C1004" s="164"/>
      <c r="D1004" s="164"/>
      <c r="F1004" s="164"/>
      <c r="G1004" s="164"/>
      <c r="H1004" s="164"/>
      <c r="I1004" s="164"/>
      <c r="J1004" s="164"/>
    </row>
    <row r="1005" spans="1:10" x14ac:dyDescent="0.25">
      <c r="C1005" s="164"/>
      <c r="D1005" s="164"/>
      <c r="F1005" s="164"/>
      <c r="G1005" s="164"/>
      <c r="H1005" s="164"/>
      <c r="I1005" s="164"/>
      <c r="J1005" s="164"/>
    </row>
    <row r="1006" spans="1:10" x14ac:dyDescent="0.25">
      <c r="C1006" s="164"/>
      <c r="D1006" s="164"/>
      <c r="F1006" s="164"/>
      <c r="G1006" s="164"/>
      <c r="H1006" s="164"/>
      <c r="I1006" s="164"/>
      <c r="J1006" s="164"/>
    </row>
    <row r="1007" spans="1:10" x14ac:dyDescent="0.25">
      <c r="C1007" s="164"/>
      <c r="D1007" s="164"/>
      <c r="F1007" s="164"/>
      <c r="G1007" s="164"/>
      <c r="H1007" s="164"/>
      <c r="I1007" s="164"/>
      <c r="J1007" s="164"/>
    </row>
    <row r="1008" spans="1:10" x14ac:dyDescent="0.25">
      <c r="C1008" s="164"/>
      <c r="D1008" s="164"/>
      <c r="F1008" s="164"/>
      <c r="G1008" s="164"/>
      <c r="H1008" s="164"/>
      <c r="I1008" s="164"/>
      <c r="J1008" s="164"/>
    </row>
    <row r="1009" spans="3:10" x14ac:dyDescent="0.25">
      <c r="C1009" s="164"/>
      <c r="D1009" s="164"/>
      <c r="F1009" s="164"/>
      <c r="G1009" s="164"/>
      <c r="H1009" s="164"/>
      <c r="I1009" s="164"/>
      <c r="J1009" s="164"/>
    </row>
    <row r="1010" spans="3:10" x14ac:dyDescent="0.25">
      <c r="C1010" s="164"/>
      <c r="D1010" s="164"/>
      <c r="F1010" s="164"/>
      <c r="G1010" s="164"/>
      <c r="H1010" s="164"/>
      <c r="I1010" s="164"/>
      <c r="J1010" s="164"/>
    </row>
    <row r="1011" spans="3:10" x14ac:dyDescent="0.25">
      <c r="C1011" s="164"/>
      <c r="D1011" s="164"/>
      <c r="F1011" s="164"/>
      <c r="G1011" s="164"/>
      <c r="H1011" s="164"/>
      <c r="I1011" s="164"/>
      <c r="J1011" s="164"/>
    </row>
    <row r="1012" spans="3:10" x14ac:dyDescent="0.25">
      <c r="C1012" s="164"/>
      <c r="D1012" s="164"/>
      <c r="F1012" s="164"/>
      <c r="G1012" s="164"/>
      <c r="H1012" s="164"/>
      <c r="I1012" s="164"/>
      <c r="J1012" s="164"/>
    </row>
    <row r="1013" spans="3:10" x14ac:dyDescent="0.25">
      <c r="C1013" s="164"/>
      <c r="D1013" s="164"/>
      <c r="F1013" s="164"/>
      <c r="G1013" s="164"/>
      <c r="H1013" s="164"/>
      <c r="I1013" s="164"/>
      <c r="J1013" s="164"/>
    </row>
    <row r="1014" spans="3:10" x14ac:dyDescent="0.25">
      <c r="C1014" s="164"/>
      <c r="D1014" s="164"/>
      <c r="F1014" s="164"/>
      <c r="G1014" s="164"/>
      <c r="H1014" s="164"/>
      <c r="I1014" s="164"/>
      <c r="J1014" s="164"/>
    </row>
    <row r="1015" spans="3:10" x14ac:dyDescent="0.25">
      <c r="C1015" s="164"/>
      <c r="D1015" s="164"/>
      <c r="F1015" s="164"/>
      <c r="G1015" s="164"/>
      <c r="H1015" s="164"/>
      <c r="I1015" s="164"/>
      <c r="J1015" s="164"/>
    </row>
    <row r="1016" spans="3:10" x14ac:dyDescent="0.25">
      <c r="C1016" s="164"/>
      <c r="D1016" s="164"/>
      <c r="F1016" s="164"/>
      <c r="G1016" s="164"/>
      <c r="H1016" s="164"/>
      <c r="I1016" s="164"/>
      <c r="J1016" s="164"/>
    </row>
    <row r="1017" spans="3:10" x14ac:dyDescent="0.25">
      <c r="C1017" s="164"/>
      <c r="D1017" s="164"/>
      <c r="F1017" s="164"/>
      <c r="G1017" s="164"/>
      <c r="H1017" s="164"/>
      <c r="I1017" s="164"/>
      <c r="J1017" s="164"/>
    </row>
    <row r="1018" spans="3:10" x14ac:dyDescent="0.25">
      <c r="C1018" s="164"/>
      <c r="D1018" s="164"/>
      <c r="F1018" s="164"/>
      <c r="G1018" s="164"/>
      <c r="H1018" s="164"/>
      <c r="I1018" s="164"/>
      <c r="J1018" s="164"/>
    </row>
    <row r="1019" spans="3:10" x14ac:dyDescent="0.25">
      <c r="C1019" s="164"/>
      <c r="D1019" s="164"/>
      <c r="F1019" s="164"/>
      <c r="G1019" s="164"/>
      <c r="H1019" s="164"/>
      <c r="I1019" s="164"/>
      <c r="J1019" s="164"/>
    </row>
    <row r="1020" spans="3:10" x14ac:dyDescent="0.25">
      <c r="C1020" s="164"/>
      <c r="D1020" s="164"/>
      <c r="F1020" s="164"/>
      <c r="G1020" s="164"/>
      <c r="H1020" s="164"/>
      <c r="I1020" s="164"/>
      <c r="J1020" s="164"/>
    </row>
    <row r="1021" spans="3:10" x14ac:dyDescent="0.25">
      <c r="C1021" s="164"/>
      <c r="D1021" s="164"/>
      <c r="F1021" s="164"/>
      <c r="G1021" s="164"/>
      <c r="H1021" s="164"/>
      <c r="I1021" s="164"/>
      <c r="J1021" s="164"/>
    </row>
    <row r="1022" spans="3:10" x14ac:dyDescent="0.25">
      <c r="C1022" s="164"/>
      <c r="D1022" s="164"/>
      <c r="F1022" s="164"/>
      <c r="G1022" s="164"/>
      <c r="H1022" s="164"/>
      <c r="I1022" s="164"/>
      <c r="J1022" s="164"/>
    </row>
    <row r="1023" spans="3:10" x14ac:dyDescent="0.25">
      <c r="C1023" s="164"/>
      <c r="D1023" s="164"/>
      <c r="F1023" s="164"/>
      <c r="G1023" s="164"/>
      <c r="H1023" s="164"/>
      <c r="I1023" s="164"/>
      <c r="J1023" s="164"/>
    </row>
    <row r="1024" spans="3:10" x14ac:dyDescent="0.25">
      <c r="C1024" s="164"/>
      <c r="D1024" s="164"/>
      <c r="F1024" s="164"/>
      <c r="G1024" s="164"/>
      <c r="H1024" s="164"/>
      <c r="I1024" s="164"/>
      <c r="J1024" s="164"/>
    </row>
    <row r="1025" spans="3:10" x14ac:dyDescent="0.25">
      <c r="C1025" s="164"/>
      <c r="D1025" s="164"/>
      <c r="F1025" s="164"/>
      <c r="G1025" s="164"/>
      <c r="H1025" s="164"/>
      <c r="I1025" s="164"/>
      <c r="J1025" s="164"/>
    </row>
    <row r="1026" spans="3:10" x14ac:dyDescent="0.25">
      <c r="C1026" s="164"/>
      <c r="D1026" s="164"/>
      <c r="F1026" s="164"/>
      <c r="G1026" s="164"/>
      <c r="H1026" s="164"/>
      <c r="I1026" s="164"/>
      <c r="J1026" s="164"/>
    </row>
    <row r="1027" spans="3:10" x14ac:dyDescent="0.25">
      <c r="C1027" s="164"/>
      <c r="D1027" s="164"/>
      <c r="F1027" s="164"/>
      <c r="G1027" s="164"/>
      <c r="H1027" s="164"/>
      <c r="I1027" s="164"/>
      <c r="J1027" s="164"/>
    </row>
    <row r="1028" spans="3:10" x14ac:dyDescent="0.25">
      <c r="C1028" s="164"/>
      <c r="D1028" s="164"/>
      <c r="F1028" s="164"/>
      <c r="G1028" s="164"/>
      <c r="H1028" s="164"/>
      <c r="I1028" s="164"/>
      <c r="J1028" s="164"/>
    </row>
    <row r="1029" spans="3:10" x14ac:dyDescent="0.25">
      <c r="C1029" s="164"/>
      <c r="D1029" s="164"/>
      <c r="F1029" s="164"/>
      <c r="G1029" s="164"/>
      <c r="H1029" s="164"/>
      <c r="I1029" s="164"/>
      <c r="J1029" s="164"/>
    </row>
    <row r="1030" spans="3:10" x14ac:dyDescent="0.25">
      <c r="C1030" s="164"/>
      <c r="D1030" s="164"/>
      <c r="F1030" s="164"/>
      <c r="G1030" s="164"/>
      <c r="H1030" s="164"/>
      <c r="I1030" s="164"/>
      <c r="J1030" s="164"/>
    </row>
    <row r="1031" spans="3:10" x14ac:dyDescent="0.25">
      <c r="C1031" s="164"/>
      <c r="D1031" s="164"/>
      <c r="F1031" s="164"/>
      <c r="G1031" s="164"/>
      <c r="H1031" s="164"/>
      <c r="I1031" s="164"/>
      <c r="J1031" s="164"/>
    </row>
    <row r="1032" spans="3:10" x14ac:dyDescent="0.25">
      <c r="C1032" s="164"/>
      <c r="D1032" s="164"/>
      <c r="F1032" s="164"/>
      <c r="G1032" s="164"/>
      <c r="H1032" s="164"/>
      <c r="I1032" s="164"/>
      <c r="J1032" s="164"/>
    </row>
    <row r="1033" spans="3:10" x14ac:dyDescent="0.25">
      <c r="C1033" s="164"/>
      <c r="D1033" s="164"/>
      <c r="F1033" s="164"/>
      <c r="G1033" s="164"/>
      <c r="H1033" s="164"/>
      <c r="I1033" s="164"/>
      <c r="J1033" s="164"/>
    </row>
    <row r="1034" spans="3:10" x14ac:dyDescent="0.25">
      <c r="C1034" s="164"/>
      <c r="D1034" s="164"/>
      <c r="F1034" s="164"/>
      <c r="G1034" s="164"/>
      <c r="H1034" s="164"/>
      <c r="I1034" s="164"/>
      <c r="J1034" s="164"/>
    </row>
    <row r="1035" spans="3:10" x14ac:dyDescent="0.25">
      <c r="C1035" s="164"/>
      <c r="D1035" s="164"/>
      <c r="F1035" s="164"/>
      <c r="G1035" s="164"/>
      <c r="H1035" s="164"/>
      <c r="I1035" s="164"/>
      <c r="J1035" s="164"/>
    </row>
    <row r="1036" spans="3:10" x14ac:dyDescent="0.25">
      <c r="C1036" s="164"/>
      <c r="D1036" s="164"/>
      <c r="F1036" s="164"/>
      <c r="G1036" s="164"/>
      <c r="H1036" s="164"/>
      <c r="I1036" s="164"/>
      <c r="J1036" s="164"/>
    </row>
    <row r="1037" spans="3:10" x14ac:dyDescent="0.25">
      <c r="C1037" s="164"/>
      <c r="D1037" s="164"/>
      <c r="F1037" s="164"/>
      <c r="G1037" s="164"/>
      <c r="H1037" s="164"/>
      <c r="I1037" s="164"/>
      <c r="J1037" s="164"/>
    </row>
    <row r="1038" spans="3:10" x14ac:dyDescent="0.25">
      <c r="C1038" s="164"/>
      <c r="D1038" s="164"/>
      <c r="F1038" s="164"/>
      <c r="G1038" s="164"/>
      <c r="H1038" s="164"/>
      <c r="I1038" s="164"/>
      <c r="J1038" s="164"/>
    </row>
    <row r="1039" spans="3:10" x14ac:dyDescent="0.25">
      <c r="C1039" s="164"/>
      <c r="D1039" s="164"/>
      <c r="F1039" s="164"/>
      <c r="G1039" s="164"/>
      <c r="H1039" s="164"/>
      <c r="I1039" s="164"/>
      <c r="J1039" s="164"/>
    </row>
    <row r="1040" spans="3:10" x14ac:dyDescent="0.25">
      <c r="C1040" s="164"/>
      <c r="D1040" s="164"/>
      <c r="F1040" s="164"/>
      <c r="G1040" s="164"/>
      <c r="H1040" s="164"/>
      <c r="I1040" s="164"/>
      <c r="J1040" s="164"/>
    </row>
    <row r="1041" spans="3:10" x14ac:dyDescent="0.25">
      <c r="C1041" s="164"/>
      <c r="D1041" s="164"/>
      <c r="F1041" s="164"/>
      <c r="G1041" s="164"/>
      <c r="H1041" s="164"/>
      <c r="I1041" s="164"/>
      <c r="J1041" s="164"/>
    </row>
    <row r="1042" spans="3:10" x14ac:dyDescent="0.25">
      <c r="C1042" s="164"/>
      <c r="D1042" s="164"/>
      <c r="F1042" s="164"/>
      <c r="G1042" s="164"/>
      <c r="H1042" s="164"/>
      <c r="I1042" s="164"/>
      <c r="J1042" s="164"/>
    </row>
    <row r="1043" spans="3:10" x14ac:dyDescent="0.25">
      <c r="C1043" s="164"/>
      <c r="D1043" s="164"/>
      <c r="F1043" s="164"/>
      <c r="G1043" s="164"/>
      <c r="H1043" s="164"/>
      <c r="I1043" s="164"/>
      <c r="J1043" s="164"/>
    </row>
    <row r="1044" spans="3:10" x14ac:dyDescent="0.25">
      <c r="C1044" s="164"/>
      <c r="D1044" s="164"/>
      <c r="F1044" s="164"/>
      <c r="G1044" s="164"/>
      <c r="H1044" s="164"/>
      <c r="I1044" s="164"/>
      <c r="J1044" s="164"/>
    </row>
    <row r="1045" spans="3:10" x14ac:dyDescent="0.25">
      <c r="C1045" s="164"/>
      <c r="D1045" s="164"/>
      <c r="F1045" s="164"/>
      <c r="G1045" s="164"/>
      <c r="H1045" s="164"/>
      <c r="I1045" s="164"/>
      <c r="J1045" s="164"/>
    </row>
    <row r="1046" spans="3:10" x14ac:dyDescent="0.25">
      <c r="C1046" s="164"/>
      <c r="D1046" s="164"/>
      <c r="F1046" s="164"/>
      <c r="G1046" s="164"/>
      <c r="H1046" s="164"/>
      <c r="I1046" s="164"/>
      <c r="J1046" s="164"/>
    </row>
    <row r="1047" spans="3:10" x14ac:dyDescent="0.25">
      <c r="C1047" s="164"/>
      <c r="D1047" s="164"/>
      <c r="F1047" s="164"/>
      <c r="G1047" s="164"/>
      <c r="H1047" s="164"/>
      <c r="I1047" s="164"/>
      <c r="J1047" s="164"/>
    </row>
    <row r="1048" spans="3:10" x14ac:dyDescent="0.25">
      <c r="C1048" s="164"/>
      <c r="D1048" s="164"/>
      <c r="F1048" s="164"/>
      <c r="G1048" s="164"/>
      <c r="H1048" s="164"/>
      <c r="I1048" s="164"/>
      <c r="J1048" s="164"/>
    </row>
    <row r="1049" spans="3:10" x14ac:dyDescent="0.25">
      <c r="C1049" s="164"/>
      <c r="D1049" s="164"/>
      <c r="F1049" s="164"/>
      <c r="G1049" s="164"/>
      <c r="H1049" s="164"/>
      <c r="I1049" s="164"/>
      <c r="J1049" s="164"/>
    </row>
    <row r="1050" spans="3:10" x14ac:dyDescent="0.25">
      <c r="C1050" s="164"/>
      <c r="D1050" s="164"/>
      <c r="F1050" s="164"/>
      <c r="G1050" s="164"/>
      <c r="H1050" s="164"/>
      <c r="I1050" s="164"/>
      <c r="J1050" s="164"/>
    </row>
    <row r="1051" spans="3:10" x14ac:dyDescent="0.25">
      <c r="C1051" s="164"/>
      <c r="D1051" s="164"/>
      <c r="F1051" s="164"/>
      <c r="G1051" s="164"/>
      <c r="H1051" s="164"/>
      <c r="I1051" s="164"/>
      <c r="J1051" s="164"/>
    </row>
    <row r="1052" spans="3:10" x14ac:dyDescent="0.25">
      <c r="C1052" s="164"/>
      <c r="D1052" s="164"/>
      <c r="F1052" s="164"/>
      <c r="G1052" s="164"/>
      <c r="H1052" s="164"/>
      <c r="I1052" s="164"/>
      <c r="J1052" s="164"/>
    </row>
    <row r="1053" spans="3:10" x14ac:dyDescent="0.25">
      <c r="C1053" s="164"/>
      <c r="D1053" s="164"/>
      <c r="F1053" s="164"/>
      <c r="G1053" s="164"/>
      <c r="H1053" s="164"/>
      <c r="I1053" s="164"/>
      <c r="J1053" s="164"/>
    </row>
    <row r="1054" spans="3:10" x14ac:dyDescent="0.25">
      <c r="C1054" s="164"/>
      <c r="D1054" s="164"/>
      <c r="F1054" s="164"/>
      <c r="G1054" s="164"/>
      <c r="H1054" s="164"/>
      <c r="I1054" s="164"/>
      <c r="J1054" s="164"/>
    </row>
    <row r="1055" spans="3:10" x14ac:dyDescent="0.25">
      <c r="C1055" s="164"/>
      <c r="D1055" s="164"/>
      <c r="F1055" s="164"/>
      <c r="G1055" s="164"/>
      <c r="H1055" s="164"/>
      <c r="I1055" s="164"/>
      <c r="J1055" s="164"/>
    </row>
    <row r="1056" spans="3:10" x14ac:dyDescent="0.25">
      <c r="C1056" s="164"/>
      <c r="D1056" s="164"/>
      <c r="F1056" s="164"/>
      <c r="G1056" s="164"/>
      <c r="H1056" s="164"/>
      <c r="I1056" s="164"/>
      <c r="J1056" s="164"/>
    </row>
    <row r="1057" spans="3:10" x14ac:dyDescent="0.25">
      <c r="C1057" s="164"/>
      <c r="D1057" s="164"/>
      <c r="F1057" s="164"/>
      <c r="G1057" s="164"/>
      <c r="H1057" s="164"/>
      <c r="I1057" s="164"/>
      <c r="J1057" s="164"/>
    </row>
    <row r="1058" spans="3:10" x14ac:dyDescent="0.25">
      <c r="C1058" s="164"/>
      <c r="D1058" s="164"/>
      <c r="F1058" s="164"/>
      <c r="G1058" s="164"/>
      <c r="H1058" s="164"/>
      <c r="I1058" s="164"/>
      <c r="J1058" s="164"/>
    </row>
    <row r="1059" spans="3:10" x14ac:dyDescent="0.25">
      <c r="C1059" s="164"/>
      <c r="D1059" s="164"/>
      <c r="F1059" s="164"/>
      <c r="G1059" s="164"/>
      <c r="H1059" s="164"/>
      <c r="I1059" s="164"/>
      <c r="J1059" s="164"/>
    </row>
    <row r="1060" spans="3:10" x14ac:dyDescent="0.25">
      <c r="C1060" s="164"/>
      <c r="D1060" s="164"/>
      <c r="F1060" s="164"/>
      <c r="G1060" s="164"/>
      <c r="H1060" s="164"/>
      <c r="I1060" s="164"/>
      <c r="J1060" s="164"/>
    </row>
    <row r="1061" spans="3:10" x14ac:dyDescent="0.25">
      <c r="C1061" s="164"/>
      <c r="D1061" s="164"/>
      <c r="F1061" s="164"/>
      <c r="G1061" s="164"/>
      <c r="H1061" s="164"/>
      <c r="I1061" s="164"/>
      <c r="J1061" s="164"/>
    </row>
    <row r="1062" spans="3:10" x14ac:dyDescent="0.25">
      <c r="C1062" s="164"/>
      <c r="D1062" s="164"/>
      <c r="F1062" s="164"/>
      <c r="G1062" s="164"/>
      <c r="H1062" s="164"/>
      <c r="I1062" s="164"/>
      <c r="J1062" s="164"/>
    </row>
    <row r="1063" spans="3:10" x14ac:dyDescent="0.25">
      <c r="C1063" s="164"/>
      <c r="D1063" s="164"/>
      <c r="F1063" s="164"/>
      <c r="G1063" s="164"/>
      <c r="H1063" s="164"/>
      <c r="I1063" s="164"/>
      <c r="J1063" s="164"/>
    </row>
    <row r="1064" spans="3:10" x14ac:dyDescent="0.25">
      <c r="C1064" s="164"/>
      <c r="D1064" s="164"/>
      <c r="F1064" s="164"/>
      <c r="G1064" s="164"/>
      <c r="H1064" s="164"/>
      <c r="I1064" s="164"/>
      <c r="J1064" s="164"/>
    </row>
    <row r="1065" spans="3:10" x14ac:dyDescent="0.25">
      <c r="C1065" s="164"/>
      <c r="D1065" s="164"/>
      <c r="F1065" s="164"/>
      <c r="G1065" s="164"/>
      <c r="H1065" s="164"/>
      <c r="I1065" s="164"/>
      <c r="J1065" s="164"/>
    </row>
    <row r="1066" spans="3:10" x14ac:dyDescent="0.25">
      <c r="C1066" s="164"/>
      <c r="D1066" s="164"/>
      <c r="F1066" s="164"/>
      <c r="G1066" s="164"/>
      <c r="H1066" s="164"/>
      <c r="I1066" s="164"/>
      <c r="J1066" s="164"/>
    </row>
    <row r="1067" spans="3:10" x14ac:dyDescent="0.25">
      <c r="C1067" s="164"/>
      <c r="D1067" s="164"/>
      <c r="F1067" s="164"/>
      <c r="G1067" s="164"/>
      <c r="H1067" s="164"/>
      <c r="I1067" s="164"/>
      <c r="J1067" s="164"/>
    </row>
    <row r="1068" spans="3:10" x14ac:dyDescent="0.25">
      <c r="C1068" s="164"/>
      <c r="D1068" s="164"/>
      <c r="F1068" s="164"/>
      <c r="G1068" s="164"/>
      <c r="H1068" s="164"/>
      <c r="I1068" s="164"/>
      <c r="J1068" s="164"/>
    </row>
    <row r="1069" spans="3:10" x14ac:dyDescent="0.25">
      <c r="C1069" s="164"/>
      <c r="D1069" s="164"/>
      <c r="F1069" s="164"/>
      <c r="G1069" s="164"/>
      <c r="H1069" s="164"/>
      <c r="I1069" s="164"/>
      <c r="J1069" s="164"/>
    </row>
    <row r="1070" spans="3:10" x14ac:dyDescent="0.25">
      <c r="C1070" s="164"/>
      <c r="D1070" s="164"/>
      <c r="F1070" s="164"/>
      <c r="G1070" s="164"/>
      <c r="H1070" s="164"/>
      <c r="I1070" s="164"/>
      <c r="J1070" s="164"/>
    </row>
    <row r="1071" spans="3:10" x14ac:dyDescent="0.25">
      <c r="C1071" s="164"/>
      <c r="D1071" s="164"/>
      <c r="F1071" s="164"/>
      <c r="G1071" s="164"/>
      <c r="H1071" s="164"/>
      <c r="I1071" s="164"/>
      <c r="J1071" s="164"/>
    </row>
    <row r="1072" spans="3:10" x14ac:dyDescent="0.25">
      <c r="C1072" s="164"/>
      <c r="D1072" s="164"/>
      <c r="F1072" s="164"/>
      <c r="G1072" s="164"/>
      <c r="H1072" s="164"/>
      <c r="I1072" s="164"/>
      <c r="J1072" s="164"/>
    </row>
    <row r="1073" spans="3:10" x14ac:dyDescent="0.25">
      <c r="C1073" s="164"/>
      <c r="D1073" s="164"/>
      <c r="F1073" s="164"/>
      <c r="G1073" s="164"/>
      <c r="H1073" s="164"/>
      <c r="I1073" s="164"/>
      <c r="J1073" s="164"/>
    </row>
    <row r="1074" spans="3:10" x14ac:dyDescent="0.25">
      <c r="C1074" s="164"/>
      <c r="D1074" s="164"/>
      <c r="F1074" s="164"/>
      <c r="G1074" s="164"/>
      <c r="H1074" s="164"/>
      <c r="I1074" s="164"/>
      <c r="J1074" s="164"/>
    </row>
    <row r="1075" spans="3:10" x14ac:dyDescent="0.25">
      <c r="C1075" s="164"/>
      <c r="D1075" s="164"/>
      <c r="F1075" s="164"/>
      <c r="G1075" s="164"/>
      <c r="H1075" s="164"/>
      <c r="I1075" s="164"/>
      <c r="J1075" s="164"/>
    </row>
    <row r="1076" spans="3:10" x14ac:dyDescent="0.25">
      <c r="C1076" s="164"/>
      <c r="D1076" s="164"/>
      <c r="F1076" s="164"/>
      <c r="G1076" s="164"/>
      <c r="H1076" s="164"/>
      <c r="I1076" s="164"/>
      <c r="J1076" s="164"/>
    </row>
    <row r="1077" spans="3:10" x14ac:dyDescent="0.25">
      <c r="C1077" s="164"/>
      <c r="D1077" s="164"/>
      <c r="F1077" s="164"/>
      <c r="G1077" s="164"/>
      <c r="H1077" s="164"/>
      <c r="I1077" s="164"/>
      <c r="J1077" s="164"/>
    </row>
    <row r="1078" spans="3:10" x14ac:dyDescent="0.25">
      <c r="C1078" s="164"/>
      <c r="D1078" s="164"/>
      <c r="F1078" s="164"/>
      <c r="G1078" s="164"/>
      <c r="H1078" s="164"/>
      <c r="I1078" s="164"/>
      <c r="J1078" s="164"/>
    </row>
    <row r="1079" spans="3:10" x14ac:dyDescent="0.25">
      <c r="C1079" s="164"/>
      <c r="D1079" s="164"/>
      <c r="F1079" s="164"/>
      <c r="G1079" s="164"/>
      <c r="H1079" s="164"/>
      <c r="I1079" s="164"/>
      <c r="J1079" s="164"/>
    </row>
    <row r="1080" spans="3:10" x14ac:dyDescent="0.25">
      <c r="C1080" s="164"/>
      <c r="D1080" s="164"/>
      <c r="F1080" s="164"/>
      <c r="G1080" s="164"/>
      <c r="H1080" s="164"/>
      <c r="I1080" s="164"/>
      <c r="J1080" s="164"/>
    </row>
    <row r="1081" spans="3:10" x14ac:dyDescent="0.25">
      <c r="C1081" s="164"/>
      <c r="D1081" s="164"/>
      <c r="F1081" s="164"/>
      <c r="G1081" s="164"/>
      <c r="H1081" s="164"/>
      <c r="I1081" s="164"/>
      <c r="J1081" s="164"/>
    </row>
    <row r="1082" spans="3:10" x14ac:dyDescent="0.25">
      <c r="C1082" s="164"/>
      <c r="D1082" s="164"/>
      <c r="F1082" s="164"/>
      <c r="G1082" s="164"/>
      <c r="H1082" s="164"/>
      <c r="I1082" s="164"/>
      <c r="J1082" s="164"/>
    </row>
    <row r="1083" spans="3:10" x14ac:dyDescent="0.25">
      <c r="C1083" s="164"/>
      <c r="D1083" s="164"/>
      <c r="F1083" s="164"/>
      <c r="G1083" s="164"/>
      <c r="H1083" s="164"/>
      <c r="I1083" s="164"/>
      <c r="J1083" s="164"/>
    </row>
    <row r="1084" spans="3:10" x14ac:dyDescent="0.25">
      <c r="C1084" s="164"/>
      <c r="D1084" s="164"/>
      <c r="F1084" s="164"/>
      <c r="G1084" s="164"/>
      <c r="H1084" s="164"/>
      <c r="I1084" s="164"/>
      <c r="J1084" s="164"/>
    </row>
    <row r="1085" spans="3:10" x14ac:dyDescent="0.25">
      <c r="C1085" s="164"/>
      <c r="D1085" s="164"/>
      <c r="F1085" s="164"/>
      <c r="G1085" s="164"/>
      <c r="H1085" s="164"/>
      <c r="I1085" s="164"/>
      <c r="J1085" s="164"/>
    </row>
    <row r="1086" spans="3:10" x14ac:dyDescent="0.25">
      <c r="C1086" s="164"/>
      <c r="D1086" s="164"/>
      <c r="F1086" s="164"/>
      <c r="G1086" s="164"/>
      <c r="H1086" s="164"/>
      <c r="I1086" s="164"/>
      <c r="J1086" s="164"/>
    </row>
    <row r="1087" spans="3:10" x14ac:dyDescent="0.25">
      <c r="C1087" s="164"/>
      <c r="D1087" s="164"/>
      <c r="F1087" s="164"/>
      <c r="G1087" s="164"/>
      <c r="H1087" s="164"/>
      <c r="I1087" s="164"/>
      <c r="J1087" s="164"/>
    </row>
    <row r="1088" spans="3:10" x14ac:dyDescent="0.25">
      <c r="C1088" s="164"/>
      <c r="D1088" s="164"/>
      <c r="F1088" s="164"/>
      <c r="G1088" s="164"/>
      <c r="H1088" s="164"/>
      <c r="I1088" s="164"/>
      <c r="J1088" s="164"/>
    </row>
    <row r="1089" spans="3:10" x14ac:dyDescent="0.25">
      <c r="C1089" s="164"/>
      <c r="D1089" s="164"/>
      <c r="F1089" s="164"/>
      <c r="G1089" s="164"/>
      <c r="H1089" s="164"/>
      <c r="I1089" s="164"/>
      <c r="J1089" s="164"/>
    </row>
    <row r="1090" spans="3:10" x14ac:dyDescent="0.25">
      <c r="C1090" s="164"/>
      <c r="D1090" s="164"/>
      <c r="F1090" s="164"/>
      <c r="G1090" s="164"/>
      <c r="H1090" s="164"/>
      <c r="I1090" s="164"/>
      <c r="J1090" s="164"/>
    </row>
    <row r="1091" spans="3:10" x14ac:dyDescent="0.25">
      <c r="C1091" s="164"/>
      <c r="D1091" s="164"/>
      <c r="F1091" s="164"/>
      <c r="G1091" s="164"/>
      <c r="H1091" s="164"/>
      <c r="I1091" s="164"/>
      <c r="J1091" s="164"/>
    </row>
    <row r="1092" spans="3:10" x14ac:dyDescent="0.25">
      <c r="C1092" s="164"/>
      <c r="D1092" s="164"/>
      <c r="F1092" s="164"/>
      <c r="G1092" s="164"/>
      <c r="H1092" s="164"/>
      <c r="I1092" s="164"/>
      <c r="J1092" s="164"/>
    </row>
    <row r="1093" spans="3:10" x14ac:dyDescent="0.25">
      <c r="C1093" s="164"/>
      <c r="D1093" s="164"/>
      <c r="F1093" s="164"/>
      <c r="G1093" s="164"/>
      <c r="H1093" s="164"/>
      <c r="I1093" s="164"/>
      <c r="J1093" s="164"/>
    </row>
    <row r="1094" spans="3:10" x14ac:dyDescent="0.25">
      <c r="C1094" s="164"/>
      <c r="D1094" s="164"/>
      <c r="F1094" s="164"/>
      <c r="G1094" s="164"/>
      <c r="H1094" s="164"/>
      <c r="I1094" s="164"/>
      <c r="J1094" s="164"/>
    </row>
    <row r="1095" spans="3:10" x14ac:dyDescent="0.25">
      <c r="C1095" s="164"/>
      <c r="D1095" s="164"/>
      <c r="F1095" s="164"/>
      <c r="G1095" s="164"/>
      <c r="H1095" s="164"/>
      <c r="I1095" s="164"/>
      <c r="J1095" s="164"/>
    </row>
    <row r="1096" spans="3:10" x14ac:dyDescent="0.25">
      <c r="C1096" s="164"/>
      <c r="D1096" s="164"/>
      <c r="F1096" s="164"/>
      <c r="G1096" s="164"/>
      <c r="H1096" s="164"/>
      <c r="I1096" s="164"/>
      <c r="J1096" s="164"/>
    </row>
    <row r="1097" spans="3:10" x14ac:dyDescent="0.25">
      <c r="C1097" s="164"/>
      <c r="D1097" s="164"/>
      <c r="F1097" s="164"/>
      <c r="G1097" s="164"/>
      <c r="H1097" s="164"/>
      <c r="I1097" s="164"/>
      <c r="J1097" s="164"/>
    </row>
    <row r="1098" spans="3:10" x14ac:dyDescent="0.25">
      <c r="C1098" s="164"/>
      <c r="D1098" s="164"/>
      <c r="F1098" s="164"/>
      <c r="G1098" s="164"/>
      <c r="H1098" s="164"/>
      <c r="I1098" s="164"/>
      <c r="J1098" s="164"/>
    </row>
    <row r="1099" spans="3:10" x14ac:dyDescent="0.25">
      <c r="C1099" s="164"/>
      <c r="D1099" s="164"/>
      <c r="F1099" s="164"/>
      <c r="G1099" s="164"/>
      <c r="H1099" s="164"/>
      <c r="I1099" s="164"/>
      <c r="J1099" s="164"/>
    </row>
    <row r="1100" spans="3:10" x14ac:dyDescent="0.25">
      <c r="C1100" s="164"/>
      <c r="D1100" s="164"/>
      <c r="F1100" s="164"/>
      <c r="G1100" s="164"/>
      <c r="H1100" s="164"/>
      <c r="I1100" s="164"/>
      <c r="J1100" s="164"/>
    </row>
    <row r="1101" spans="3:10" x14ac:dyDescent="0.25">
      <c r="C1101" s="164"/>
      <c r="D1101" s="164"/>
      <c r="F1101" s="164"/>
      <c r="G1101" s="164"/>
      <c r="H1101" s="164"/>
      <c r="I1101" s="164"/>
      <c r="J1101" s="164"/>
    </row>
    <row r="1102" spans="3:10" x14ac:dyDescent="0.25">
      <c r="C1102" s="164"/>
      <c r="D1102" s="164"/>
      <c r="F1102" s="164"/>
      <c r="G1102" s="164"/>
      <c r="H1102" s="164"/>
      <c r="I1102" s="164"/>
      <c r="J1102" s="164"/>
    </row>
    <row r="1103" spans="3:10" x14ac:dyDescent="0.25">
      <c r="C1103" s="164"/>
      <c r="D1103" s="164"/>
      <c r="F1103" s="164"/>
      <c r="G1103" s="164"/>
      <c r="H1103" s="164"/>
      <c r="I1103" s="164"/>
      <c r="J1103" s="164"/>
    </row>
    <row r="1104" spans="3:10" x14ac:dyDescent="0.25">
      <c r="C1104" s="164"/>
      <c r="D1104" s="164"/>
      <c r="F1104" s="164"/>
      <c r="G1104" s="164"/>
      <c r="H1104" s="164"/>
      <c r="I1104" s="164"/>
      <c r="J1104" s="164"/>
    </row>
    <row r="1105" spans="3:10" x14ac:dyDescent="0.25">
      <c r="C1105" s="164"/>
      <c r="D1105" s="164"/>
      <c r="F1105" s="164"/>
      <c r="G1105" s="164"/>
      <c r="H1105" s="164"/>
      <c r="I1105" s="164"/>
      <c r="J1105" s="164"/>
    </row>
    <row r="1106" spans="3:10" x14ac:dyDescent="0.25">
      <c r="C1106" s="164"/>
      <c r="D1106" s="164"/>
      <c r="F1106" s="164"/>
      <c r="G1106" s="164"/>
      <c r="H1106" s="164"/>
      <c r="I1106" s="164"/>
      <c r="J1106" s="164"/>
    </row>
    <row r="1107" spans="3:10" x14ac:dyDescent="0.25">
      <c r="C1107" s="164"/>
      <c r="D1107" s="164"/>
      <c r="F1107" s="164"/>
      <c r="G1107" s="164"/>
      <c r="H1107" s="164"/>
      <c r="I1107" s="164"/>
      <c r="J1107" s="164"/>
    </row>
    <row r="1108" spans="3:10" x14ac:dyDescent="0.25">
      <c r="C1108" s="164"/>
      <c r="D1108" s="164"/>
      <c r="F1108" s="164"/>
      <c r="G1108" s="164"/>
      <c r="H1108" s="164"/>
      <c r="I1108" s="164"/>
      <c r="J1108" s="164"/>
    </row>
    <row r="1109" spans="3:10" x14ac:dyDescent="0.25">
      <c r="C1109" s="164"/>
      <c r="D1109" s="164"/>
      <c r="F1109" s="164"/>
      <c r="G1109" s="164"/>
      <c r="H1109" s="164"/>
      <c r="I1109" s="164"/>
      <c r="J1109" s="164"/>
    </row>
    <row r="1110" spans="3:10" x14ac:dyDescent="0.25">
      <c r="C1110" s="164"/>
      <c r="D1110" s="164"/>
      <c r="F1110" s="164"/>
      <c r="G1110" s="164"/>
      <c r="H1110" s="164"/>
      <c r="I1110" s="164"/>
      <c r="J1110" s="164"/>
    </row>
    <row r="1111" spans="3:10" x14ac:dyDescent="0.25">
      <c r="C1111" s="164"/>
      <c r="D1111" s="164"/>
      <c r="F1111" s="164"/>
      <c r="G1111" s="164"/>
      <c r="H1111" s="164"/>
      <c r="I1111" s="164"/>
      <c r="J1111" s="164"/>
    </row>
    <row r="1112" spans="3:10" x14ac:dyDescent="0.25">
      <c r="C1112" s="164"/>
      <c r="D1112" s="164"/>
      <c r="F1112" s="164"/>
      <c r="G1112" s="164"/>
      <c r="H1112" s="164"/>
      <c r="I1112" s="164"/>
      <c r="J1112" s="164"/>
    </row>
    <row r="1113" spans="3:10" x14ac:dyDescent="0.25">
      <c r="C1113" s="164"/>
      <c r="D1113" s="164"/>
      <c r="F1113" s="164"/>
      <c r="G1113" s="164"/>
      <c r="H1113" s="164"/>
      <c r="I1113" s="164"/>
      <c r="J1113" s="164"/>
    </row>
    <row r="1114" spans="3:10" x14ac:dyDescent="0.25">
      <c r="C1114" s="164"/>
      <c r="D1114" s="164"/>
      <c r="F1114" s="164"/>
      <c r="G1114" s="164"/>
      <c r="H1114" s="164"/>
      <c r="I1114" s="164"/>
      <c r="J1114" s="164"/>
    </row>
    <row r="1115" spans="3:10" x14ac:dyDescent="0.25">
      <c r="C1115" s="164"/>
      <c r="D1115" s="164"/>
      <c r="F1115" s="164"/>
      <c r="G1115" s="164"/>
      <c r="H1115" s="164"/>
      <c r="I1115" s="164"/>
      <c r="J1115" s="164"/>
    </row>
    <row r="1116" spans="3:10" x14ac:dyDescent="0.25">
      <c r="C1116" s="164"/>
      <c r="D1116" s="164"/>
      <c r="F1116" s="164"/>
      <c r="G1116" s="164"/>
      <c r="H1116" s="164"/>
      <c r="I1116" s="164"/>
      <c r="J1116" s="164"/>
    </row>
    <row r="1117" spans="3:10" x14ac:dyDescent="0.25">
      <c r="C1117" s="164"/>
      <c r="D1117" s="164"/>
      <c r="F1117" s="164"/>
      <c r="G1117" s="164"/>
      <c r="H1117" s="164"/>
      <c r="I1117" s="164"/>
      <c r="J1117" s="164"/>
    </row>
    <row r="1118" spans="3:10" x14ac:dyDescent="0.25">
      <c r="C1118" s="164"/>
      <c r="D1118" s="164"/>
      <c r="F1118" s="164"/>
      <c r="G1118" s="164"/>
      <c r="H1118" s="164"/>
      <c r="I1118" s="164"/>
      <c r="J1118" s="164"/>
    </row>
    <row r="1119" spans="3:10" x14ac:dyDescent="0.25">
      <c r="C1119" s="164"/>
      <c r="D1119" s="164"/>
      <c r="F1119" s="164"/>
      <c r="G1119" s="164"/>
      <c r="H1119" s="164"/>
      <c r="I1119" s="164"/>
      <c r="J1119" s="164"/>
    </row>
    <row r="1120" spans="3:10" x14ac:dyDescent="0.25">
      <c r="C1120" s="164"/>
      <c r="D1120" s="164"/>
      <c r="F1120" s="164"/>
      <c r="G1120" s="164"/>
      <c r="H1120" s="164"/>
      <c r="I1120" s="164"/>
      <c r="J1120" s="164"/>
    </row>
    <row r="1121" spans="3:10" x14ac:dyDescent="0.25">
      <c r="C1121" s="164"/>
      <c r="D1121" s="164"/>
      <c r="F1121" s="164"/>
      <c r="G1121" s="164"/>
      <c r="H1121" s="164"/>
      <c r="I1121" s="164"/>
      <c r="J1121" s="164"/>
    </row>
    <row r="1122" spans="3:10" x14ac:dyDescent="0.25">
      <c r="C1122" s="164"/>
      <c r="D1122" s="164"/>
      <c r="F1122" s="164"/>
      <c r="G1122" s="164"/>
      <c r="H1122" s="164"/>
      <c r="I1122" s="164"/>
      <c r="J1122" s="164"/>
    </row>
    <row r="1123" spans="3:10" x14ac:dyDescent="0.25">
      <c r="C1123" s="164"/>
      <c r="D1123" s="164"/>
      <c r="F1123" s="164"/>
      <c r="G1123" s="164"/>
      <c r="H1123" s="164"/>
      <c r="I1123" s="164"/>
      <c r="J1123" s="164"/>
    </row>
    <row r="1124" spans="3:10" x14ac:dyDescent="0.25">
      <c r="C1124" s="164"/>
      <c r="D1124" s="164"/>
      <c r="F1124" s="164"/>
      <c r="G1124" s="164"/>
      <c r="H1124" s="164"/>
      <c r="I1124" s="164"/>
      <c r="J1124" s="164"/>
    </row>
    <row r="1125" spans="3:10" x14ac:dyDescent="0.25">
      <c r="C1125" s="164"/>
      <c r="D1125" s="164"/>
      <c r="F1125" s="164"/>
      <c r="G1125" s="164"/>
      <c r="H1125" s="164"/>
      <c r="I1125" s="164"/>
      <c r="J1125" s="164"/>
    </row>
    <row r="1126" spans="3:10" x14ac:dyDescent="0.25">
      <c r="C1126" s="164"/>
      <c r="D1126" s="164"/>
      <c r="F1126" s="164"/>
      <c r="G1126" s="164"/>
      <c r="H1126" s="164"/>
      <c r="I1126" s="164"/>
      <c r="J1126" s="164"/>
    </row>
    <row r="1127" spans="3:10" x14ac:dyDescent="0.25">
      <c r="C1127" s="164"/>
      <c r="D1127" s="164"/>
      <c r="F1127" s="164"/>
      <c r="G1127" s="164"/>
      <c r="H1127" s="164"/>
      <c r="I1127" s="164"/>
      <c r="J1127" s="164"/>
    </row>
    <row r="1128" spans="3:10" x14ac:dyDescent="0.25">
      <c r="C1128" s="164"/>
      <c r="D1128" s="164"/>
      <c r="F1128" s="164"/>
      <c r="G1128" s="164"/>
      <c r="H1128" s="164"/>
      <c r="I1128" s="164"/>
      <c r="J1128" s="164"/>
    </row>
    <row r="1129" spans="3:10" x14ac:dyDescent="0.25">
      <c r="C1129" s="164"/>
      <c r="D1129" s="164"/>
      <c r="F1129" s="164"/>
      <c r="G1129" s="164"/>
      <c r="H1129" s="164"/>
      <c r="I1129" s="164"/>
      <c r="J1129" s="164"/>
    </row>
    <row r="1130" spans="3:10" x14ac:dyDescent="0.25">
      <c r="C1130" s="164"/>
      <c r="D1130" s="164"/>
      <c r="F1130" s="164"/>
      <c r="G1130" s="164"/>
      <c r="H1130" s="164"/>
      <c r="I1130" s="164"/>
      <c r="J1130" s="164"/>
    </row>
    <row r="1131" spans="3:10" x14ac:dyDescent="0.25">
      <c r="C1131" s="164"/>
      <c r="D1131" s="164"/>
      <c r="F1131" s="164"/>
      <c r="G1131" s="164"/>
      <c r="H1131" s="164"/>
      <c r="I1131" s="164"/>
      <c r="J1131" s="164"/>
    </row>
    <row r="1132" spans="3:10" x14ac:dyDescent="0.25">
      <c r="C1132" s="164"/>
      <c r="D1132" s="164"/>
      <c r="F1132" s="164"/>
      <c r="G1132" s="164"/>
      <c r="H1132" s="164"/>
      <c r="I1132" s="164"/>
      <c r="J1132" s="164"/>
    </row>
    <row r="1133" spans="3:10" x14ac:dyDescent="0.25">
      <c r="C1133" s="164"/>
      <c r="D1133" s="164"/>
      <c r="F1133" s="164"/>
      <c r="G1133" s="164"/>
      <c r="H1133" s="164"/>
      <c r="I1133" s="164"/>
      <c r="J1133" s="164"/>
    </row>
    <row r="1134" spans="3:10" x14ac:dyDescent="0.25">
      <c r="C1134" s="164"/>
      <c r="D1134" s="164"/>
      <c r="F1134" s="164"/>
      <c r="G1134" s="164"/>
      <c r="H1134" s="164"/>
      <c r="I1134" s="164"/>
      <c r="J1134" s="164"/>
    </row>
    <row r="1135" spans="3:10" x14ac:dyDescent="0.25">
      <c r="C1135" s="164"/>
      <c r="D1135" s="164"/>
      <c r="F1135" s="164"/>
      <c r="G1135" s="164"/>
      <c r="H1135" s="164"/>
      <c r="I1135" s="164"/>
      <c r="J1135" s="164"/>
    </row>
    <row r="1136" spans="3:10" x14ac:dyDescent="0.25">
      <c r="C1136" s="164"/>
      <c r="D1136" s="164"/>
      <c r="F1136" s="164"/>
      <c r="G1136" s="164"/>
      <c r="H1136" s="164"/>
      <c r="I1136" s="164"/>
      <c r="J1136" s="164"/>
    </row>
    <row r="1137" spans="3:10" x14ac:dyDescent="0.25">
      <c r="C1137" s="164"/>
      <c r="D1137" s="164"/>
      <c r="F1137" s="164"/>
      <c r="G1137" s="164"/>
      <c r="H1137" s="164"/>
      <c r="I1137" s="164"/>
      <c r="J1137" s="164"/>
    </row>
    <row r="1138" spans="3:10" x14ac:dyDescent="0.25">
      <c r="C1138" s="164"/>
      <c r="D1138" s="164"/>
      <c r="F1138" s="164"/>
      <c r="G1138" s="164"/>
      <c r="H1138" s="164"/>
      <c r="I1138" s="164"/>
      <c r="J1138" s="164"/>
    </row>
    <row r="1139" spans="3:10" x14ac:dyDescent="0.25">
      <c r="C1139" s="164"/>
      <c r="D1139" s="164"/>
      <c r="F1139" s="164"/>
      <c r="G1139" s="164"/>
      <c r="H1139" s="164"/>
      <c r="I1139" s="164"/>
      <c r="J1139" s="164"/>
    </row>
    <row r="1140" spans="3:10" x14ac:dyDescent="0.25">
      <c r="C1140" s="164"/>
      <c r="D1140" s="164"/>
      <c r="F1140" s="164"/>
      <c r="G1140" s="164"/>
      <c r="H1140" s="164"/>
      <c r="I1140" s="164"/>
      <c r="J1140" s="164"/>
    </row>
    <row r="1141" spans="3:10" x14ac:dyDescent="0.25">
      <c r="C1141" s="164"/>
      <c r="D1141" s="164"/>
      <c r="F1141" s="164"/>
      <c r="G1141" s="164"/>
      <c r="H1141" s="164"/>
      <c r="I1141" s="164"/>
      <c r="J1141" s="164"/>
    </row>
    <row r="1142" spans="3:10" x14ac:dyDescent="0.25">
      <c r="C1142" s="164"/>
      <c r="D1142" s="164"/>
      <c r="F1142" s="164"/>
      <c r="G1142" s="164"/>
      <c r="H1142" s="164"/>
      <c r="I1142" s="164"/>
      <c r="J1142" s="164"/>
    </row>
    <row r="1143" spans="3:10" x14ac:dyDescent="0.25">
      <c r="C1143" s="164"/>
      <c r="D1143" s="164"/>
      <c r="F1143" s="164"/>
      <c r="G1143" s="164"/>
      <c r="H1143" s="164"/>
      <c r="I1143" s="164"/>
      <c r="J1143" s="164"/>
    </row>
    <row r="1144" spans="3:10" x14ac:dyDescent="0.25">
      <c r="C1144" s="164"/>
      <c r="D1144" s="164"/>
      <c r="F1144" s="164"/>
      <c r="G1144" s="164"/>
      <c r="H1144" s="164"/>
      <c r="I1144" s="164"/>
      <c r="J1144" s="164"/>
    </row>
    <row r="1145" spans="3:10" x14ac:dyDescent="0.25">
      <c r="C1145" s="164"/>
      <c r="D1145" s="164"/>
      <c r="F1145" s="164"/>
      <c r="G1145" s="164"/>
      <c r="H1145" s="164"/>
      <c r="I1145" s="164"/>
      <c r="J1145" s="164"/>
    </row>
    <row r="1146" spans="3:10" x14ac:dyDescent="0.25">
      <c r="C1146" s="164"/>
      <c r="D1146" s="164"/>
      <c r="F1146" s="164"/>
      <c r="G1146" s="164"/>
      <c r="H1146" s="164"/>
      <c r="I1146" s="164"/>
      <c r="J1146" s="164"/>
    </row>
    <row r="1147" spans="3:10" x14ac:dyDescent="0.25">
      <c r="C1147" s="164"/>
      <c r="D1147" s="164"/>
      <c r="F1147" s="164"/>
      <c r="G1147" s="164"/>
      <c r="H1147" s="164"/>
      <c r="I1147" s="164"/>
      <c r="J1147" s="164"/>
    </row>
    <row r="1148" spans="3:10" x14ac:dyDescent="0.25">
      <c r="C1148" s="164"/>
      <c r="D1148" s="164"/>
      <c r="F1148" s="164"/>
      <c r="G1148" s="164"/>
      <c r="H1148" s="164"/>
      <c r="I1148" s="164"/>
      <c r="J1148" s="164"/>
    </row>
    <row r="1149" spans="3:10" x14ac:dyDescent="0.25">
      <c r="C1149" s="164"/>
      <c r="D1149" s="164"/>
      <c r="F1149" s="164"/>
      <c r="G1149" s="164"/>
      <c r="H1149" s="164"/>
      <c r="I1149" s="164"/>
      <c r="J1149" s="164"/>
    </row>
    <row r="1150" spans="3:10" x14ac:dyDescent="0.25">
      <c r="C1150" s="164"/>
      <c r="D1150" s="164"/>
      <c r="F1150" s="164"/>
      <c r="G1150" s="164"/>
      <c r="H1150" s="164"/>
      <c r="I1150" s="164"/>
      <c r="J1150" s="164"/>
    </row>
    <row r="1151" spans="3:10" x14ac:dyDescent="0.25">
      <c r="C1151" s="164"/>
      <c r="D1151" s="164"/>
      <c r="F1151" s="164"/>
      <c r="G1151" s="164"/>
      <c r="H1151" s="164"/>
      <c r="I1151" s="164"/>
      <c r="J1151" s="164"/>
    </row>
    <row r="1152" spans="3:10" x14ac:dyDescent="0.25">
      <c r="C1152" s="164"/>
      <c r="D1152" s="164"/>
      <c r="F1152" s="164"/>
      <c r="G1152" s="164"/>
      <c r="H1152" s="164"/>
      <c r="I1152" s="164"/>
      <c r="J1152" s="164"/>
    </row>
    <row r="1153" spans="3:10" x14ac:dyDescent="0.25">
      <c r="C1153" s="164"/>
      <c r="D1153" s="164"/>
      <c r="F1153" s="164"/>
      <c r="G1153" s="164"/>
      <c r="H1153" s="164"/>
      <c r="I1153" s="164"/>
      <c r="J1153" s="164"/>
    </row>
    <row r="1154" spans="3:10" x14ac:dyDescent="0.25">
      <c r="C1154" s="164"/>
      <c r="D1154" s="164"/>
      <c r="F1154" s="164"/>
      <c r="G1154" s="164"/>
      <c r="H1154" s="164"/>
      <c r="I1154" s="164"/>
      <c r="J1154" s="164"/>
    </row>
    <row r="1155" spans="3:10" x14ac:dyDescent="0.25">
      <c r="C1155" s="164"/>
      <c r="D1155" s="164"/>
      <c r="F1155" s="164"/>
      <c r="G1155" s="164"/>
      <c r="H1155" s="164"/>
      <c r="I1155" s="164"/>
      <c r="J1155" s="164"/>
    </row>
    <row r="1156" spans="3:10" x14ac:dyDescent="0.25">
      <c r="C1156" s="164"/>
      <c r="D1156" s="164"/>
      <c r="F1156" s="164"/>
      <c r="G1156" s="164"/>
      <c r="H1156" s="164"/>
      <c r="I1156" s="164"/>
      <c r="J1156" s="164"/>
    </row>
    <row r="1157" spans="3:10" x14ac:dyDescent="0.25">
      <c r="C1157" s="164"/>
      <c r="D1157" s="164"/>
      <c r="F1157" s="164"/>
      <c r="G1157" s="164"/>
      <c r="H1157" s="164"/>
      <c r="I1157" s="164"/>
      <c r="J1157" s="164"/>
    </row>
    <row r="1158" spans="3:10" x14ac:dyDescent="0.25">
      <c r="C1158" s="164"/>
      <c r="D1158" s="164"/>
      <c r="F1158" s="164"/>
      <c r="G1158" s="164"/>
      <c r="H1158" s="164"/>
      <c r="I1158" s="164"/>
      <c r="J1158" s="164"/>
    </row>
    <row r="1159" spans="3:10" x14ac:dyDescent="0.25">
      <c r="C1159" s="164"/>
      <c r="D1159" s="164"/>
      <c r="F1159" s="164"/>
      <c r="G1159" s="164"/>
      <c r="H1159" s="164"/>
      <c r="I1159" s="164"/>
      <c r="J1159" s="164"/>
    </row>
    <row r="1160" spans="3:10" x14ac:dyDescent="0.25">
      <c r="C1160" s="164"/>
      <c r="D1160" s="164"/>
      <c r="F1160" s="164"/>
      <c r="G1160" s="164"/>
      <c r="H1160" s="164"/>
      <c r="I1160" s="164"/>
      <c r="J1160" s="164"/>
    </row>
    <row r="1161" spans="3:10" x14ac:dyDescent="0.25">
      <c r="C1161" s="164"/>
      <c r="D1161" s="164"/>
      <c r="F1161" s="164"/>
      <c r="G1161" s="164"/>
      <c r="H1161" s="164"/>
      <c r="I1161" s="164"/>
      <c r="J1161" s="164"/>
    </row>
    <row r="1162" spans="3:10" x14ac:dyDescent="0.25">
      <c r="C1162" s="164"/>
      <c r="D1162" s="164"/>
      <c r="F1162" s="164"/>
      <c r="G1162" s="164"/>
      <c r="H1162" s="164"/>
      <c r="I1162" s="164"/>
      <c r="J1162" s="164"/>
    </row>
    <row r="1163" spans="3:10" x14ac:dyDescent="0.25">
      <c r="C1163" s="164"/>
      <c r="D1163" s="164"/>
      <c r="F1163" s="164"/>
      <c r="G1163" s="164"/>
      <c r="H1163" s="164"/>
      <c r="I1163" s="164"/>
      <c r="J1163" s="164"/>
    </row>
    <row r="1164" spans="3:10" x14ac:dyDescent="0.25">
      <c r="C1164" s="164"/>
      <c r="D1164" s="164"/>
      <c r="F1164" s="164"/>
      <c r="G1164" s="164"/>
      <c r="H1164" s="164"/>
      <c r="I1164" s="164"/>
      <c r="J1164" s="164"/>
    </row>
    <row r="1165" spans="3:10" x14ac:dyDescent="0.25">
      <c r="C1165" s="164"/>
      <c r="D1165" s="164"/>
      <c r="F1165" s="164"/>
      <c r="G1165" s="164"/>
      <c r="H1165" s="164"/>
      <c r="I1165" s="164"/>
      <c r="J1165" s="164"/>
    </row>
    <row r="1166" spans="3:10" x14ac:dyDescent="0.25">
      <c r="C1166" s="164"/>
      <c r="D1166" s="164"/>
      <c r="F1166" s="164"/>
      <c r="G1166" s="164"/>
      <c r="H1166" s="164"/>
      <c r="I1166" s="164"/>
      <c r="J1166" s="164"/>
    </row>
    <row r="1167" spans="3:10" x14ac:dyDescent="0.25">
      <c r="C1167" s="164"/>
      <c r="D1167" s="164"/>
      <c r="F1167" s="164"/>
      <c r="G1167" s="164"/>
      <c r="H1167" s="164"/>
      <c r="I1167" s="164"/>
      <c r="J1167" s="164"/>
    </row>
    <row r="1168" spans="3:10" x14ac:dyDescent="0.25">
      <c r="C1168" s="164"/>
      <c r="D1168" s="164"/>
      <c r="F1168" s="164"/>
      <c r="G1168" s="164"/>
      <c r="H1168" s="164"/>
      <c r="I1168" s="164"/>
      <c r="J1168" s="164"/>
    </row>
    <row r="1169" spans="3:10" x14ac:dyDescent="0.25">
      <c r="C1169" s="164"/>
      <c r="D1169" s="164"/>
      <c r="F1169" s="164"/>
      <c r="G1169" s="164"/>
      <c r="H1169" s="164"/>
      <c r="I1169" s="164"/>
      <c r="J1169" s="164"/>
    </row>
    <row r="1170" spans="3:10" x14ac:dyDescent="0.25">
      <c r="C1170" s="164"/>
      <c r="D1170" s="164"/>
      <c r="F1170" s="164"/>
      <c r="G1170" s="164"/>
      <c r="H1170" s="164"/>
      <c r="I1170" s="164"/>
      <c r="J1170" s="164"/>
    </row>
    <row r="1171" spans="3:10" x14ac:dyDescent="0.25">
      <c r="C1171" s="164"/>
      <c r="D1171" s="164"/>
      <c r="F1171" s="164"/>
      <c r="G1171" s="164"/>
      <c r="H1171" s="164"/>
      <c r="I1171" s="164"/>
      <c r="J1171" s="164"/>
    </row>
    <row r="1172" spans="3:10" x14ac:dyDescent="0.25">
      <c r="C1172" s="164"/>
      <c r="D1172" s="164"/>
      <c r="F1172" s="164"/>
      <c r="G1172" s="164"/>
      <c r="H1172" s="164"/>
      <c r="I1172" s="164"/>
      <c r="J1172" s="164"/>
    </row>
    <row r="1173" spans="3:10" x14ac:dyDescent="0.25">
      <c r="C1173" s="164"/>
      <c r="D1173" s="164"/>
      <c r="F1173" s="164"/>
      <c r="G1173" s="164"/>
      <c r="H1173" s="164"/>
      <c r="I1173" s="164"/>
      <c r="J1173" s="164"/>
    </row>
    <row r="1174" spans="3:10" x14ac:dyDescent="0.25">
      <c r="C1174" s="164"/>
      <c r="D1174" s="164"/>
      <c r="F1174" s="164"/>
      <c r="G1174" s="164"/>
      <c r="H1174" s="164"/>
      <c r="I1174" s="164"/>
      <c r="J1174" s="164"/>
    </row>
    <row r="1175" spans="3:10" x14ac:dyDescent="0.25">
      <c r="C1175" s="164"/>
      <c r="D1175" s="164"/>
      <c r="F1175" s="164"/>
      <c r="G1175" s="164"/>
      <c r="H1175" s="164"/>
      <c r="I1175" s="164"/>
      <c r="J1175" s="164"/>
    </row>
    <row r="1176" spans="3:10" x14ac:dyDescent="0.25">
      <c r="C1176" s="164"/>
      <c r="D1176" s="164"/>
      <c r="F1176" s="164"/>
      <c r="G1176" s="164"/>
      <c r="H1176" s="164"/>
      <c r="I1176" s="164"/>
      <c r="J1176" s="164"/>
    </row>
    <row r="1177" spans="3:10" x14ac:dyDescent="0.25">
      <c r="C1177" s="164"/>
      <c r="D1177" s="164"/>
      <c r="F1177" s="164"/>
      <c r="G1177" s="164"/>
      <c r="H1177" s="164"/>
      <c r="I1177" s="164"/>
      <c r="J1177" s="164"/>
    </row>
    <row r="1178" spans="3:10" x14ac:dyDescent="0.25">
      <c r="C1178" s="164"/>
      <c r="D1178" s="164"/>
      <c r="F1178" s="164"/>
      <c r="G1178" s="164"/>
      <c r="H1178" s="164"/>
      <c r="I1178" s="164"/>
      <c r="J1178" s="164"/>
    </row>
    <row r="1179" spans="3:10" x14ac:dyDescent="0.25">
      <c r="C1179" s="164"/>
      <c r="D1179" s="164"/>
      <c r="F1179" s="164"/>
      <c r="G1179" s="164"/>
      <c r="H1179" s="164"/>
      <c r="I1179" s="164"/>
      <c r="J1179" s="164"/>
    </row>
    <row r="1180" spans="3:10" x14ac:dyDescent="0.25">
      <c r="C1180" s="164"/>
      <c r="D1180" s="164"/>
      <c r="F1180" s="164"/>
      <c r="G1180" s="164"/>
      <c r="H1180" s="164"/>
      <c r="I1180" s="164"/>
      <c r="J1180" s="164"/>
    </row>
    <row r="1181" spans="3:10" x14ac:dyDescent="0.25">
      <c r="C1181" s="164"/>
      <c r="D1181" s="164"/>
      <c r="F1181" s="164"/>
      <c r="G1181" s="164"/>
      <c r="H1181" s="164"/>
      <c r="I1181" s="164"/>
      <c r="J1181" s="164"/>
    </row>
    <row r="1182" spans="3:10" x14ac:dyDescent="0.25">
      <c r="C1182" s="164"/>
      <c r="D1182" s="164"/>
      <c r="F1182" s="164"/>
      <c r="G1182" s="164"/>
      <c r="H1182" s="164"/>
      <c r="I1182" s="164"/>
      <c r="J1182" s="164"/>
    </row>
    <row r="1183" spans="3:10" x14ac:dyDescent="0.25">
      <c r="C1183" s="164"/>
      <c r="D1183" s="164"/>
      <c r="F1183" s="164"/>
      <c r="G1183" s="164"/>
      <c r="H1183" s="164"/>
      <c r="I1183" s="164"/>
      <c r="J1183" s="164"/>
    </row>
    <row r="1184" spans="3:10" x14ac:dyDescent="0.25">
      <c r="C1184" s="164"/>
      <c r="D1184" s="164"/>
      <c r="F1184" s="164"/>
      <c r="G1184" s="164"/>
      <c r="H1184" s="164"/>
      <c r="I1184" s="164"/>
      <c r="J1184" s="164"/>
    </row>
    <row r="1185" spans="3:10" x14ac:dyDescent="0.25">
      <c r="C1185" s="164"/>
      <c r="D1185" s="164"/>
      <c r="F1185" s="164"/>
      <c r="G1185" s="164"/>
      <c r="H1185" s="164"/>
      <c r="I1185" s="164"/>
      <c r="J1185" s="164"/>
    </row>
    <row r="1186" spans="3:10" x14ac:dyDescent="0.25">
      <c r="C1186" s="164"/>
      <c r="D1186" s="164"/>
      <c r="F1186" s="164"/>
      <c r="G1186" s="164"/>
      <c r="H1186" s="164"/>
      <c r="I1186" s="164"/>
      <c r="J1186" s="164"/>
    </row>
    <row r="1187" spans="3:10" x14ac:dyDescent="0.25">
      <c r="C1187" s="164"/>
      <c r="D1187" s="164"/>
      <c r="F1187" s="164"/>
      <c r="G1187" s="164"/>
      <c r="H1187" s="164"/>
      <c r="I1187" s="164"/>
      <c r="J1187" s="164"/>
    </row>
    <row r="1188" spans="3:10" x14ac:dyDescent="0.25">
      <c r="C1188" s="164"/>
      <c r="D1188" s="164"/>
      <c r="F1188" s="164"/>
      <c r="G1188" s="164"/>
      <c r="H1188" s="164"/>
      <c r="I1188" s="164"/>
      <c r="J1188" s="164"/>
    </row>
    <row r="1189" spans="3:10" x14ac:dyDescent="0.25">
      <c r="C1189" s="164"/>
      <c r="D1189" s="164"/>
      <c r="F1189" s="164"/>
      <c r="G1189" s="164"/>
      <c r="H1189" s="164"/>
      <c r="I1189" s="164"/>
      <c r="J1189" s="164"/>
    </row>
    <row r="1190" spans="3:10" x14ac:dyDescent="0.25">
      <c r="C1190" s="164"/>
      <c r="D1190" s="164"/>
      <c r="F1190" s="164"/>
      <c r="G1190" s="164"/>
      <c r="H1190" s="164"/>
      <c r="I1190" s="164"/>
      <c r="J1190" s="164"/>
    </row>
    <row r="1191" spans="3:10" x14ac:dyDescent="0.25">
      <c r="C1191" s="164"/>
      <c r="D1191" s="164"/>
      <c r="F1191" s="164"/>
      <c r="G1191" s="164"/>
      <c r="H1191" s="164"/>
      <c r="I1191" s="164"/>
      <c r="J1191" s="164"/>
    </row>
    <row r="1192" spans="3:10" x14ac:dyDescent="0.25">
      <c r="C1192" s="164"/>
      <c r="D1192" s="164"/>
      <c r="F1192" s="164"/>
      <c r="G1192" s="164"/>
      <c r="H1192" s="164"/>
      <c r="I1192" s="164"/>
      <c r="J1192" s="164"/>
    </row>
    <row r="1193" spans="3:10" x14ac:dyDescent="0.25">
      <c r="C1193" s="164"/>
      <c r="D1193" s="164"/>
      <c r="F1193" s="164"/>
      <c r="G1193" s="164"/>
      <c r="H1193" s="164"/>
      <c r="I1193" s="164"/>
      <c r="J1193" s="164"/>
    </row>
    <row r="1194" spans="3:10" x14ac:dyDescent="0.25">
      <c r="C1194" s="164"/>
      <c r="D1194" s="164"/>
      <c r="F1194" s="164"/>
      <c r="G1194" s="164"/>
      <c r="H1194" s="164"/>
      <c r="I1194" s="164"/>
      <c r="J1194" s="164"/>
    </row>
    <row r="1195" spans="3:10" x14ac:dyDescent="0.25">
      <c r="C1195" s="164"/>
      <c r="D1195" s="164"/>
      <c r="F1195" s="164"/>
      <c r="G1195" s="164"/>
      <c r="H1195" s="164"/>
      <c r="I1195" s="164"/>
      <c r="J1195" s="164"/>
    </row>
    <row r="1196" spans="3:10" x14ac:dyDescent="0.25">
      <c r="C1196" s="164"/>
      <c r="D1196" s="164"/>
      <c r="F1196" s="164"/>
      <c r="G1196" s="164"/>
      <c r="H1196" s="164"/>
      <c r="I1196" s="164"/>
      <c r="J1196" s="164"/>
    </row>
    <row r="1197" spans="3:10" x14ac:dyDescent="0.25">
      <c r="C1197" s="164"/>
      <c r="D1197" s="164"/>
      <c r="F1197" s="164"/>
      <c r="G1197" s="164"/>
      <c r="H1197" s="164"/>
      <c r="I1197" s="164"/>
      <c r="J1197" s="164"/>
    </row>
    <row r="1198" spans="3:10" x14ac:dyDescent="0.25">
      <c r="C1198" s="164"/>
      <c r="D1198" s="164"/>
      <c r="F1198" s="164"/>
      <c r="G1198" s="164"/>
      <c r="H1198" s="164"/>
      <c r="I1198" s="164"/>
      <c r="J1198" s="164"/>
    </row>
    <row r="1199" spans="3:10" x14ac:dyDescent="0.25">
      <c r="C1199" s="164"/>
      <c r="D1199" s="164"/>
      <c r="F1199" s="164"/>
      <c r="G1199" s="164"/>
      <c r="H1199" s="164"/>
      <c r="I1199" s="164"/>
      <c r="J1199" s="164"/>
    </row>
    <row r="1200" spans="3:10" x14ac:dyDescent="0.25">
      <c r="C1200" s="164"/>
      <c r="D1200" s="164"/>
      <c r="F1200" s="164"/>
      <c r="G1200" s="164"/>
      <c r="H1200" s="164"/>
      <c r="I1200" s="164"/>
      <c r="J1200" s="164"/>
    </row>
    <row r="1201" spans="3:10" x14ac:dyDescent="0.25">
      <c r="C1201" s="164"/>
      <c r="D1201" s="164"/>
      <c r="F1201" s="164"/>
      <c r="G1201" s="164"/>
      <c r="H1201" s="164"/>
      <c r="I1201" s="164"/>
      <c r="J1201" s="164"/>
    </row>
    <row r="1202" spans="3:10" x14ac:dyDescent="0.25">
      <c r="C1202" s="164"/>
      <c r="D1202" s="164"/>
      <c r="F1202" s="164"/>
      <c r="G1202" s="164"/>
      <c r="H1202" s="164"/>
      <c r="I1202" s="164"/>
      <c r="J1202" s="164"/>
    </row>
    <row r="1203" spans="3:10" x14ac:dyDescent="0.25">
      <c r="C1203" s="164"/>
      <c r="D1203" s="164"/>
      <c r="F1203" s="164"/>
      <c r="G1203" s="164"/>
      <c r="H1203" s="164"/>
      <c r="I1203" s="164"/>
      <c r="J1203" s="164"/>
    </row>
    <row r="1204" spans="3:10" x14ac:dyDescent="0.25">
      <c r="C1204" s="164"/>
      <c r="D1204" s="164"/>
      <c r="F1204" s="164"/>
      <c r="G1204" s="164"/>
      <c r="H1204" s="164"/>
      <c r="I1204" s="164"/>
      <c r="J1204" s="164"/>
    </row>
    <row r="1205" spans="3:10" x14ac:dyDescent="0.25">
      <c r="C1205" s="164"/>
      <c r="D1205" s="164"/>
      <c r="F1205" s="164"/>
      <c r="G1205" s="164"/>
      <c r="H1205" s="164"/>
      <c r="I1205" s="164"/>
      <c r="J1205" s="164"/>
    </row>
    <row r="1206" spans="3:10" x14ac:dyDescent="0.25">
      <c r="C1206" s="164"/>
      <c r="D1206" s="164"/>
      <c r="F1206" s="164"/>
      <c r="G1206" s="164"/>
      <c r="H1206" s="164"/>
      <c r="I1206" s="164"/>
      <c r="J1206" s="164"/>
    </row>
    <row r="1207" spans="3:10" x14ac:dyDescent="0.25">
      <c r="C1207" s="164"/>
      <c r="D1207" s="164"/>
      <c r="F1207" s="164"/>
      <c r="G1207" s="164"/>
      <c r="H1207" s="164"/>
      <c r="I1207" s="164"/>
      <c r="J1207" s="164"/>
    </row>
    <row r="1208" spans="3:10" x14ac:dyDescent="0.25">
      <c r="C1208" s="164"/>
      <c r="D1208" s="164"/>
      <c r="F1208" s="164"/>
      <c r="G1208" s="164"/>
      <c r="H1208" s="164"/>
      <c r="I1208" s="164"/>
      <c r="J1208" s="164"/>
    </row>
    <row r="1209" spans="3:10" x14ac:dyDescent="0.25">
      <c r="C1209" s="164"/>
      <c r="D1209" s="164"/>
      <c r="F1209" s="164"/>
      <c r="G1209" s="164"/>
      <c r="H1209" s="164"/>
      <c r="I1209" s="164"/>
      <c r="J1209" s="164"/>
    </row>
    <row r="1210" spans="3:10" x14ac:dyDescent="0.25">
      <c r="C1210" s="164"/>
      <c r="D1210" s="164"/>
      <c r="F1210" s="164"/>
      <c r="G1210" s="164"/>
      <c r="H1210" s="164"/>
      <c r="I1210" s="164"/>
      <c r="J1210" s="164"/>
    </row>
    <row r="1211" spans="3:10" x14ac:dyDescent="0.25">
      <c r="C1211" s="164"/>
      <c r="D1211" s="164"/>
      <c r="F1211" s="164"/>
      <c r="G1211" s="164"/>
      <c r="H1211" s="164"/>
      <c r="I1211" s="164"/>
      <c r="J1211" s="164"/>
    </row>
    <row r="1212" spans="3:10" x14ac:dyDescent="0.25">
      <c r="C1212" s="164"/>
      <c r="D1212" s="164"/>
      <c r="F1212" s="164"/>
      <c r="G1212" s="164"/>
      <c r="H1212" s="164"/>
      <c r="I1212" s="164"/>
      <c r="J1212" s="164"/>
    </row>
    <row r="1213" spans="3:10" x14ac:dyDescent="0.25">
      <c r="C1213" s="164"/>
      <c r="D1213" s="164"/>
      <c r="F1213" s="164"/>
      <c r="G1213" s="164"/>
      <c r="H1213" s="164"/>
      <c r="I1213" s="164"/>
      <c r="J1213" s="164"/>
    </row>
    <row r="1214" spans="3:10" x14ac:dyDescent="0.25">
      <c r="C1214" s="164"/>
      <c r="D1214" s="164"/>
      <c r="F1214" s="164"/>
      <c r="G1214" s="164"/>
      <c r="H1214" s="164"/>
      <c r="I1214" s="164"/>
      <c r="J1214" s="164"/>
    </row>
    <row r="1215" spans="3:10" x14ac:dyDescent="0.25">
      <c r="C1215" s="164"/>
      <c r="D1215" s="164"/>
      <c r="F1215" s="164"/>
      <c r="G1215" s="164"/>
      <c r="H1215" s="164"/>
      <c r="I1215" s="164"/>
      <c r="J1215" s="164"/>
    </row>
    <row r="1216" spans="3:10" x14ac:dyDescent="0.25">
      <c r="C1216" s="164"/>
      <c r="D1216" s="164"/>
      <c r="F1216" s="164"/>
      <c r="G1216" s="164"/>
      <c r="H1216" s="164"/>
      <c r="I1216" s="164"/>
      <c r="J1216" s="164"/>
    </row>
    <row r="1217" spans="3:10" x14ac:dyDescent="0.25">
      <c r="C1217" s="164"/>
      <c r="D1217" s="164"/>
      <c r="F1217" s="164"/>
      <c r="G1217" s="164"/>
      <c r="H1217" s="164"/>
      <c r="I1217" s="164"/>
      <c r="J1217" s="164"/>
    </row>
    <row r="1218" spans="3:10" x14ac:dyDescent="0.25">
      <c r="C1218" s="164"/>
      <c r="D1218" s="164"/>
      <c r="F1218" s="164"/>
      <c r="G1218" s="164"/>
      <c r="H1218" s="164"/>
      <c r="I1218" s="164"/>
      <c r="J1218" s="164"/>
    </row>
    <row r="1219" spans="3:10" x14ac:dyDescent="0.25">
      <c r="C1219" s="164"/>
      <c r="D1219" s="164"/>
      <c r="F1219" s="164"/>
      <c r="G1219" s="164"/>
      <c r="H1219" s="164"/>
      <c r="I1219" s="164"/>
      <c r="J1219" s="164"/>
    </row>
    <row r="1220" spans="3:10" x14ac:dyDescent="0.25">
      <c r="C1220" s="164"/>
      <c r="D1220" s="164"/>
      <c r="F1220" s="164"/>
      <c r="G1220" s="164"/>
      <c r="H1220" s="164"/>
      <c r="I1220" s="164"/>
      <c r="J1220" s="164"/>
    </row>
    <row r="1221" spans="3:10" x14ac:dyDescent="0.25">
      <c r="C1221" s="164"/>
      <c r="D1221" s="164"/>
      <c r="F1221" s="164"/>
      <c r="G1221" s="164"/>
      <c r="H1221" s="164"/>
      <c r="I1221" s="164"/>
      <c r="J1221" s="164"/>
    </row>
    <row r="1222" spans="3:10" x14ac:dyDescent="0.25">
      <c r="C1222" s="164"/>
      <c r="D1222" s="164"/>
      <c r="F1222" s="164"/>
      <c r="G1222" s="164"/>
      <c r="H1222" s="164"/>
      <c r="I1222" s="164"/>
      <c r="J1222" s="164"/>
    </row>
    <row r="1223" spans="3:10" x14ac:dyDescent="0.25">
      <c r="C1223" s="164"/>
      <c r="D1223" s="164"/>
      <c r="F1223" s="164"/>
      <c r="G1223" s="164"/>
      <c r="H1223" s="164"/>
      <c r="I1223" s="164"/>
      <c r="J1223" s="164"/>
    </row>
    <row r="1224" spans="3:10" x14ac:dyDescent="0.25">
      <c r="C1224" s="164"/>
      <c r="D1224" s="164"/>
      <c r="F1224" s="164"/>
      <c r="G1224" s="164"/>
      <c r="H1224" s="164"/>
      <c r="I1224" s="164"/>
      <c r="J1224" s="164"/>
    </row>
    <row r="1225" spans="3:10" x14ac:dyDescent="0.25">
      <c r="C1225" s="164"/>
      <c r="D1225" s="164"/>
      <c r="F1225" s="164"/>
      <c r="G1225" s="164"/>
      <c r="H1225" s="164"/>
      <c r="I1225" s="164"/>
      <c r="J1225" s="164"/>
    </row>
    <row r="1226" spans="3:10" x14ac:dyDescent="0.25">
      <c r="C1226" s="164"/>
      <c r="D1226" s="164"/>
      <c r="F1226" s="164"/>
      <c r="G1226" s="164"/>
      <c r="H1226" s="164"/>
      <c r="I1226" s="164"/>
      <c r="J1226" s="164"/>
    </row>
    <row r="1227" spans="3:10" x14ac:dyDescent="0.25">
      <c r="C1227" s="164"/>
      <c r="D1227" s="164"/>
      <c r="F1227" s="164"/>
      <c r="G1227" s="164"/>
      <c r="H1227" s="164"/>
      <c r="I1227" s="164"/>
      <c r="J1227" s="164"/>
    </row>
    <row r="1228" spans="3:10" x14ac:dyDescent="0.25">
      <c r="C1228" s="164"/>
      <c r="D1228" s="164"/>
      <c r="F1228" s="164"/>
      <c r="G1228" s="164"/>
      <c r="H1228" s="164"/>
      <c r="I1228" s="164"/>
      <c r="J1228" s="164"/>
    </row>
    <row r="1229" spans="3:10" x14ac:dyDescent="0.25">
      <c r="C1229" s="164"/>
      <c r="D1229" s="164"/>
      <c r="F1229" s="164"/>
      <c r="G1229" s="164"/>
      <c r="H1229" s="164"/>
      <c r="I1229" s="164"/>
      <c r="J1229" s="164"/>
    </row>
    <row r="1230" spans="3:10" x14ac:dyDescent="0.25">
      <c r="C1230" s="164"/>
      <c r="D1230" s="164"/>
      <c r="F1230" s="164"/>
      <c r="G1230" s="164"/>
      <c r="H1230" s="164"/>
      <c r="I1230" s="164"/>
      <c r="J1230" s="164"/>
    </row>
    <row r="1231" spans="3:10" x14ac:dyDescent="0.25">
      <c r="C1231" s="164"/>
      <c r="D1231" s="164"/>
      <c r="F1231" s="164"/>
      <c r="G1231" s="164"/>
      <c r="H1231" s="164"/>
      <c r="I1231" s="164"/>
      <c r="J1231" s="164"/>
    </row>
    <row r="1232" spans="3:10" x14ac:dyDescent="0.25">
      <c r="C1232" s="164"/>
      <c r="D1232" s="164"/>
      <c r="F1232" s="164"/>
      <c r="G1232" s="164"/>
      <c r="H1232" s="164"/>
      <c r="I1232" s="164"/>
      <c r="J1232" s="164"/>
    </row>
    <row r="1233" spans="3:10" x14ac:dyDescent="0.25">
      <c r="C1233" s="164"/>
      <c r="D1233" s="164"/>
      <c r="F1233" s="164"/>
      <c r="G1233" s="164"/>
      <c r="H1233" s="164"/>
      <c r="I1233" s="164"/>
      <c r="J1233" s="164"/>
    </row>
    <row r="1234" spans="3:10" x14ac:dyDescent="0.25">
      <c r="C1234" s="164"/>
      <c r="D1234" s="164"/>
      <c r="F1234" s="164"/>
      <c r="G1234" s="164"/>
      <c r="H1234" s="164"/>
      <c r="I1234" s="164"/>
      <c r="J1234" s="164"/>
    </row>
    <row r="1235" spans="3:10" x14ac:dyDescent="0.25">
      <c r="C1235" s="164"/>
      <c r="D1235" s="164"/>
      <c r="F1235" s="164"/>
      <c r="G1235" s="164"/>
      <c r="H1235" s="164"/>
      <c r="I1235" s="164"/>
      <c r="J1235" s="164"/>
    </row>
    <row r="1236" spans="3:10" x14ac:dyDescent="0.25">
      <c r="C1236" s="164"/>
      <c r="D1236" s="164"/>
      <c r="F1236" s="164"/>
      <c r="G1236" s="164"/>
      <c r="H1236" s="164"/>
      <c r="I1236" s="164"/>
      <c r="J1236" s="164"/>
    </row>
    <row r="1237" spans="3:10" x14ac:dyDescent="0.25">
      <c r="C1237" s="164"/>
      <c r="D1237" s="164"/>
      <c r="F1237" s="164"/>
      <c r="G1237" s="164"/>
      <c r="H1237" s="164"/>
      <c r="I1237" s="164"/>
      <c r="J1237" s="164"/>
    </row>
    <row r="1238" spans="3:10" x14ac:dyDescent="0.25">
      <c r="C1238" s="164"/>
      <c r="D1238" s="164"/>
      <c r="F1238" s="164"/>
      <c r="G1238" s="164"/>
      <c r="H1238" s="164"/>
      <c r="I1238" s="164"/>
      <c r="J1238" s="164"/>
    </row>
    <row r="1239" spans="3:10" x14ac:dyDescent="0.25">
      <c r="C1239" s="164"/>
      <c r="D1239" s="164"/>
      <c r="F1239" s="164"/>
      <c r="G1239" s="164"/>
      <c r="H1239" s="164"/>
      <c r="I1239" s="164"/>
      <c r="J1239" s="164"/>
    </row>
    <row r="1240" spans="3:10" x14ac:dyDescent="0.25">
      <c r="C1240" s="164"/>
      <c r="D1240" s="164"/>
      <c r="F1240" s="164"/>
      <c r="G1240" s="164"/>
      <c r="H1240" s="164"/>
      <c r="I1240" s="164"/>
      <c r="J1240" s="164"/>
    </row>
    <row r="1241" spans="3:10" x14ac:dyDescent="0.25">
      <c r="C1241" s="164"/>
      <c r="D1241" s="164"/>
      <c r="F1241" s="164"/>
      <c r="G1241" s="164"/>
      <c r="H1241" s="164"/>
      <c r="I1241" s="164"/>
      <c r="J1241" s="164"/>
    </row>
    <row r="1242" spans="3:10" x14ac:dyDescent="0.25">
      <c r="C1242" s="164"/>
      <c r="D1242" s="164"/>
      <c r="F1242" s="164"/>
      <c r="G1242" s="164"/>
      <c r="H1242" s="164"/>
      <c r="I1242" s="164"/>
      <c r="J1242" s="164"/>
    </row>
    <row r="1243" spans="3:10" x14ac:dyDescent="0.25">
      <c r="C1243" s="164"/>
      <c r="D1243" s="164"/>
      <c r="F1243" s="164"/>
      <c r="G1243" s="164"/>
      <c r="H1243" s="164"/>
      <c r="I1243" s="164"/>
      <c r="J1243" s="164"/>
    </row>
    <row r="1244" spans="3:10" x14ac:dyDescent="0.25">
      <c r="C1244" s="164"/>
      <c r="D1244" s="164"/>
      <c r="F1244" s="164"/>
      <c r="G1244" s="164"/>
      <c r="H1244" s="164"/>
      <c r="I1244" s="164"/>
      <c r="J1244" s="164"/>
    </row>
    <row r="1245" spans="3:10" x14ac:dyDescent="0.25">
      <c r="C1245" s="164"/>
      <c r="D1245" s="164"/>
      <c r="F1245" s="164"/>
      <c r="G1245" s="164"/>
      <c r="H1245" s="164"/>
      <c r="I1245" s="164"/>
      <c r="J1245" s="164"/>
    </row>
    <row r="1246" spans="3:10" x14ac:dyDescent="0.25">
      <c r="C1246" s="164"/>
      <c r="D1246" s="164"/>
      <c r="F1246" s="164"/>
      <c r="G1246" s="164"/>
      <c r="H1246" s="164"/>
      <c r="I1246" s="164"/>
      <c r="J1246" s="164"/>
    </row>
    <row r="1247" spans="3:10" x14ac:dyDescent="0.25">
      <c r="C1247" s="164"/>
      <c r="D1247" s="164"/>
      <c r="F1247" s="164"/>
      <c r="G1247" s="164"/>
      <c r="H1247" s="164"/>
      <c r="I1247" s="164"/>
      <c r="J1247" s="164"/>
    </row>
    <row r="1248" spans="3:10" x14ac:dyDescent="0.25">
      <c r="C1248" s="164"/>
      <c r="D1248" s="164"/>
      <c r="F1248" s="164"/>
      <c r="G1248" s="164"/>
      <c r="H1248" s="164"/>
      <c r="I1248" s="164"/>
      <c r="J1248" s="164"/>
    </row>
    <row r="1249" spans="3:10" x14ac:dyDescent="0.25">
      <c r="C1249" s="164"/>
      <c r="D1249" s="164"/>
      <c r="F1249" s="164"/>
      <c r="G1249" s="164"/>
      <c r="H1249" s="164"/>
      <c r="I1249" s="164"/>
      <c r="J1249" s="164"/>
    </row>
    <row r="1250" spans="3:10" x14ac:dyDescent="0.25">
      <c r="C1250" s="164"/>
      <c r="D1250" s="164"/>
      <c r="F1250" s="164"/>
      <c r="G1250" s="164"/>
      <c r="H1250" s="164"/>
      <c r="I1250" s="164"/>
      <c r="J1250" s="164"/>
    </row>
    <row r="1251" spans="3:10" x14ac:dyDescent="0.25">
      <c r="C1251" s="164"/>
      <c r="D1251" s="164"/>
      <c r="F1251" s="164"/>
      <c r="G1251" s="164"/>
      <c r="H1251" s="164"/>
      <c r="I1251" s="164"/>
      <c r="J1251" s="164"/>
    </row>
    <row r="1252" spans="3:10" x14ac:dyDescent="0.25">
      <c r="C1252" s="164"/>
      <c r="D1252" s="164"/>
      <c r="F1252" s="164"/>
      <c r="G1252" s="164"/>
      <c r="H1252" s="164"/>
      <c r="I1252" s="164"/>
      <c r="J1252" s="164"/>
    </row>
    <row r="1253" spans="3:10" x14ac:dyDescent="0.25">
      <c r="C1253" s="164"/>
      <c r="D1253" s="164"/>
      <c r="F1253" s="164"/>
      <c r="G1253" s="164"/>
      <c r="H1253" s="164"/>
      <c r="I1253" s="164"/>
      <c r="J1253" s="164"/>
    </row>
    <row r="1254" spans="3:10" x14ac:dyDescent="0.25">
      <c r="C1254" s="164"/>
      <c r="D1254" s="164"/>
      <c r="F1254" s="164"/>
      <c r="G1254" s="164"/>
      <c r="H1254" s="164"/>
      <c r="I1254" s="164"/>
      <c r="J1254" s="164"/>
    </row>
    <row r="1255" spans="3:10" x14ac:dyDescent="0.25">
      <c r="C1255" s="164"/>
      <c r="D1255" s="164"/>
      <c r="F1255" s="164"/>
      <c r="G1255" s="164"/>
      <c r="H1255" s="164"/>
      <c r="I1255" s="164"/>
      <c r="J1255" s="164"/>
    </row>
    <row r="1256" spans="3:10" x14ac:dyDescent="0.25">
      <c r="C1256" s="164"/>
      <c r="D1256" s="164"/>
      <c r="F1256" s="164"/>
      <c r="G1256" s="164"/>
      <c r="H1256" s="164"/>
      <c r="I1256" s="164"/>
      <c r="J1256" s="164"/>
    </row>
    <row r="1257" spans="3:10" x14ac:dyDescent="0.25">
      <c r="C1257" s="164"/>
      <c r="D1257" s="164"/>
      <c r="F1257" s="164"/>
      <c r="G1257" s="164"/>
      <c r="H1257" s="164"/>
      <c r="I1257" s="164"/>
      <c r="J1257" s="164"/>
    </row>
    <row r="1258" spans="3:10" x14ac:dyDescent="0.25">
      <c r="C1258" s="164"/>
      <c r="D1258" s="164"/>
      <c r="F1258" s="164"/>
      <c r="G1258" s="164"/>
      <c r="H1258" s="164"/>
      <c r="I1258" s="164"/>
      <c r="J1258" s="164"/>
    </row>
    <row r="1259" spans="3:10" x14ac:dyDescent="0.25">
      <c r="C1259" s="164"/>
      <c r="D1259" s="164"/>
      <c r="F1259" s="164"/>
      <c r="G1259" s="164"/>
      <c r="H1259" s="164"/>
      <c r="I1259" s="164"/>
      <c r="J1259" s="164"/>
    </row>
    <row r="1260" spans="3:10" x14ac:dyDescent="0.25">
      <c r="C1260" s="164"/>
      <c r="D1260" s="164"/>
      <c r="F1260" s="164"/>
      <c r="G1260" s="164"/>
      <c r="H1260" s="164"/>
      <c r="I1260" s="164"/>
      <c r="J1260" s="164"/>
    </row>
    <row r="1261" spans="3:10" x14ac:dyDescent="0.25">
      <c r="C1261" s="164"/>
      <c r="D1261" s="164"/>
      <c r="F1261" s="164"/>
      <c r="G1261" s="164"/>
      <c r="H1261" s="164"/>
      <c r="I1261" s="164"/>
      <c r="J1261" s="164"/>
    </row>
    <row r="1262" spans="3:10" x14ac:dyDescent="0.25">
      <c r="C1262" s="164"/>
      <c r="D1262" s="164"/>
      <c r="F1262" s="164"/>
      <c r="G1262" s="164"/>
      <c r="H1262" s="164"/>
      <c r="I1262" s="164"/>
      <c r="J1262" s="164"/>
    </row>
    <row r="1263" spans="3:10" x14ac:dyDescent="0.25">
      <c r="C1263" s="164"/>
      <c r="D1263" s="164"/>
      <c r="F1263" s="164"/>
      <c r="G1263" s="164"/>
      <c r="H1263" s="164"/>
      <c r="I1263" s="164"/>
      <c r="J1263" s="164"/>
    </row>
    <row r="1264" spans="3:10" x14ac:dyDescent="0.25">
      <c r="C1264" s="164"/>
      <c r="D1264" s="164"/>
      <c r="F1264" s="164"/>
      <c r="G1264" s="164"/>
      <c r="H1264" s="164"/>
      <c r="I1264" s="164"/>
      <c r="J1264" s="164"/>
    </row>
    <row r="1265" spans="3:10" x14ac:dyDescent="0.25">
      <c r="C1265" s="164"/>
      <c r="D1265" s="164"/>
      <c r="F1265" s="164"/>
      <c r="G1265" s="164"/>
      <c r="H1265" s="164"/>
      <c r="I1265" s="164"/>
      <c r="J1265" s="164"/>
    </row>
    <row r="1266" spans="3:10" x14ac:dyDescent="0.25">
      <c r="C1266" s="164"/>
      <c r="D1266" s="164"/>
      <c r="F1266" s="164"/>
      <c r="G1266" s="164"/>
      <c r="H1266" s="164"/>
      <c r="I1266" s="164"/>
      <c r="J1266" s="164"/>
    </row>
    <row r="1267" spans="3:10" x14ac:dyDescent="0.25">
      <c r="C1267" s="164"/>
      <c r="D1267" s="164"/>
      <c r="F1267" s="164"/>
      <c r="G1267" s="164"/>
      <c r="H1267" s="164"/>
      <c r="I1267" s="164"/>
      <c r="J1267" s="164"/>
    </row>
    <row r="1268" spans="3:10" x14ac:dyDescent="0.25">
      <c r="C1268" s="164"/>
      <c r="D1268" s="164"/>
      <c r="F1268" s="164"/>
      <c r="G1268" s="164"/>
      <c r="H1268" s="164"/>
      <c r="I1268" s="164"/>
      <c r="J1268" s="164"/>
    </row>
    <row r="1269" spans="3:10" x14ac:dyDescent="0.25">
      <c r="C1269" s="164"/>
      <c r="D1269" s="164"/>
      <c r="F1269" s="164"/>
      <c r="G1269" s="164"/>
      <c r="H1269" s="164"/>
      <c r="I1269" s="164"/>
      <c r="J1269" s="164"/>
    </row>
    <row r="1270" spans="3:10" x14ac:dyDescent="0.25">
      <c r="C1270" s="164"/>
      <c r="D1270" s="164"/>
      <c r="F1270" s="164"/>
      <c r="G1270" s="164"/>
      <c r="H1270" s="164"/>
      <c r="I1270" s="164"/>
      <c r="J1270" s="164"/>
    </row>
    <row r="1271" spans="3:10" x14ac:dyDescent="0.25">
      <c r="C1271" s="164"/>
      <c r="D1271" s="164"/>
      <c r="F1271" s="164"/>
      <c r="G1271" s="164"/>
      <c r="H1271" s="164"/>
      <c r="I1271" s="164"/>
      <c r="J1271" s="164"/>
    </row>
    <row r="1272" spans="3:10" x14ac:dyDescent="0.25">
      <c r="C1272" s="164"/>
      <c r="D1272" s="164"/>
      <c r="F1272" s="164"/>
      <c r="G1272" s="164"/>
      <c r="H1272" s="164"/>
      <c r="I1272" s="164"/>
      <c r="J1272" s="164"/>
    </row>
    <row r="1273" spans="3:10" x14ac:dyDescent="0.25">
      <c r="C1273" s="164"/>
      <c r="D1273" s="164"/>
      <c r="F1273" s="164"/>
      <c r="G1273" s="164"/>
      <c r="H1273" s="164"/>
      <c r="I1273" s="164"/>
      <c r="J1273" s="164"/>
    </row>
    <row r="1274" spans="3:10" x14ac:dyDescent="0.25">
      <c r="C1274" s="164"/>
      <c r="D1274" s="164"/>
      <c r="F1274" s="164"/>
      <c r="G1274" s="164"/>
      <c r="H1274" s="164"/>
      <c r="I1274" s="164"/>
      <c r="J1274" s="164"/>
    </row>
    <row r="1275" spans="3:10" x14ac:dyDescent="0.25">
      <c r="C1275" s="164"/>
      <c r="D1275" s="164"/>
      <c r="F1275" s="164"/>
      <c r="G1275" s="164"/>
      <c r="H1275" s="164"/>
      <c r="I1275" s="164"/>
      <c r="J1275" s="164"/>
    </row>
    <row r="1276" spans="3:10" x14ac:dyDescent="0.25">
      <c r="C1276" s="164"/>
      <c r="D1276" s="164"/>
      <c r="F1276" s="164"/>
      <c r="G1276" s="164"/>
      <c r="H1276" s="164"/>
      <c r="I1276" s="164"/>
      <c r="J1276" s="164"/>
    </row>
    <row r="1277" spans="3:10" x14ac:dyDescent="0.25">
      <c r="C1277" s="164"/>
      <c r="D1277" s="164"/>
      <c r="F1277" s="164"/>
      <c r="G1277" s="164"/>
      <c r="H1277" s="164"/>
      <c r="I1277" s="164"/>
      <c r="J1277" s="164"/>
    </row>
    <row r="1278" spans="3:10" x14ac:dyDescent="0.25">
      <c r="C1278" s="164"/>
      <c r="D1278" s="164"/>
      <c r="F1278" s="164"/>
      <c r="G1278" s="164"/>
      <c r="H1278" s="164"/>
      <c r="I1278" s="164"/>
      <c r="J1278" s="164"/>
    </row>
    <row r="1279" spans="3:10" x14ac:dyDescent="0.25">
      <c r="C1279" s="164"/>
      <c r="D1279" s="164"/>
      <c r="F1279" s="164"/>
      <c r="G1279" s="164"/>
      <c r="H1279" s="164"/>
      <c r="I1279" s="164"/>
      <c r="J1279" s="164"/>
    </row>
    <row r="1280" spans="3:10" x14ac:dyDescent="0.25">
      <c r="C1280" s="164"/>
      <c r="D1280" s="164"/>
      <c r="F1280" s="164"/>
      <c r="G1280" s="164"/>
      <c r="H1280" s="164"/>
      <c r="I1280" s="164"/>
      <c r="J1280" s="164"/>
    </row>
    <row r="1281" spans="3:10" x14ac:dyDescent="0.25">
      <c r="C1281" s="164"/>
      <c r="D1281" s="164"/>
      <c r="F1281" s="164"/>
      <c r="G1281" s="164"/>
      <c r="H1281" s="164"/>
      <c r="I1281" s="164"/>
      <c r="J1281" s="164"/>
    </row>
    <row r="1282" spans="3:10" x14ac:dyDescent="0.25">
      <c r="C1282" s="164"/>
      <c r="D1282" s="164"/>
      <c r="F1282" s="164"/>
      <c r="G1282" s="164"/>
      <c r="H1282" s="164"/>
      <c r="I1282" s="164"/>
      <c r="J1282" s="164"/>
    </row>
    <row r="1283" spans="3:10" x14ac:dyDescent="0.25">
      <c r="C1283" s="164"/>
      <c r="D1283" s="164"/>
      <c r="F1283" s="164"/>
      <c r="G1283" s="164"/>
      <c r="H1283" s="164"/>
      <c r="I1283" s="164"/>
      <c r="J1283" s="164"/>
    </row>
    <row r="1284" spans="3:10" x14ac:dyDescent="0.25">
      <c r="C1284" s="164"/>
      <c r="D1284" s="164"/>
      <c r="F1284" s="164"/>
      <c r="G1284" s="164"/>
      <c r="H1284" s="164"/>
      <c r="I1284" s="164"/>
      <c r="J1284" s="164"/>
    </row>
    <row r="1285" spans="3:10" x14ac:dyDescent="0.25">
      <c r="C1285" s="164"/>
      <c r="D1285" s="164"/>
      <c r="F1285" s="164"/>
      <c r="G1285" s="164"/>
      <c r="H1285" s="164"/>
      <c r="I1285" s="164"/>
      <c r="J1285" s="164"/>
    </row>
    <row r="1286" spans="3:10" x14ac:dyDescent="0.25">
      <c r="C1286" s="164"/>
      <c r="D1286" s="164"/>
      <c r="F1286" s="164"/>
      <c r="G1286" s="164"/>
      <c r="H1286" s="164"/>
      <c r="I1286" s="164"/>
      <c r="J1286" s="164"/>
    </row>
    <row r="1287" spans="3:10" x14ac:dyDescent="0.25">
      <c r="C1287" s="164"/>
      <c r="D1287" s="164"/>
      <c r="F1287" s="164"/>
      <c r="G1287" s="164"/>
      <c r="H1287" s="164"/>
      <c r="I1287" s="164"/>
      <c r="J1287" s="164"/>
    </row>
    <row r="1288" spans="3:10" x14ac:dyDescent="0.25">
      <c r="C1288" s="164"/>
      <c r="D1288" s="164"/>
      <c r="F1288" s="164"/>
      <c r="G1288" s="164"/>
      <c r="H1288" s="164"/>
      <c r="I1288" s="164"/>
      <c r="J1288" s="164"/>
    </row>
    <row r="1289" spans="3:10" x14ac:dyDescent="0.25">
      <c r="C1289" s="164"/>
      <c r="D1289" s="164"/>
      <c r="F1289" s="164"/>
      <c r="G1289" s="164"/>
      <c r="H1289" s="164"/>
      <c r="I1289" s="164"/>
      <c r="J1289" s="164"/>
    </row>
    <row r="1290" spans="3:10" x14ac:dyDescent="0.25">
      <c r="C1290" s="164"/>
      <c r="D1290" s="164"/>
      <c r="F1290" s="164"/>
      <c r="G1290" s="164"/>
      <c r="H1290" s="164"/>
      <c r="I1290" s="164"/>
      <c r="J1290" s="164"/>
    </row>
    <row r="1291" spans="3:10" x14ac:dyDescent="0.25">
      <c r="C1291" s="164"/>
      <c r="D1291" s="164"/>
      <c r="F1291" s="164"/>
      <c r="G1291" s="164"/>
      <c r="H1291" s="164"/>
      <c r="I1291" s="164"/>
      <c r="J1291" s="164"/>
    </row>
    <row r="1292" spans="3:10" x14ac:dyDescent="0.25">
      <c r="C1292" s="164"/>
      <c r="D1292" s="164"/>
      <c r="F1292" s="164"/>
      <c r="G1292" s="164"/>
      <c r="H1292" s="164"/>
      <c r="I1292" s="164"/>
      <c r="J1292" s="164"/>
    </row>
    <row r="1293" spans="3:10" x14ac:dyDescent="0.25">
      <c r="C1293" s="164"/>
      <c r="D1293" s="164"/>
      <c r="F1293" s="164"/>
      <c r="G1293" s="164"/>
      <c r="H1293" s="164"/>
      <c r="I1293" s="164"/>
      <c r="J1293" s="164"/>
    </row>
    <row r="1294" spans="3:10" x14ac:dyDescent="0.25">
      <c r="C1294" s="164"/>
      <c r="D1294" s="164"/>
      <c r="F1294" s="164"/>
      <c r="G1294" s="164"/>
      <c r="H1294" s="164"/>
      <c r="I1294" s="164"/>
      <c r="J1294" s="164"/>
    </row>
    <row r="1295" spans="3:10" x14ac:dyDescent="0.25">
      <c r="C1295" s="164"/>
      <c r="D1295" s="164"/>
      <c r="F1295" s="164"/>
      <c r="G1295" s="164"/>
      <c r="H1295" s="164"/>
      <c r="I1295" s="164"/>
      <c r="J1295" s="164"/>
    </row>
    <row r="1296" spans="3:10" x14ac:dyDescent="0.25">
      <c r="C1296" s="164"/>
      <c r="D1296" s="164"/>
      <c r="F1296" s="164"/>
      <c r="G1296" s="164"/>
      <c r="H1296" s="164"/>
      <c r="I1296" s="164"/>
      <c r="J1296" s="164"/>
    </row>
    <row r="1297" spans="3:10" x14ac:dyDescent="0.25">
      <c r="C1297" s="164"/>
      <c r="D1297" s="164"/>
      <c r="F1297" s="164"/>
      <c r="G1297" s="164"/>
      <c r="H1297" s="164"/>
      <c r="I1297" s="164"/>
      <c r="J1297" s="164"/>
    </row>
    <row r="1298" spans="3:10" x14ac:dyDescent="0.25">
      <c r="C1298" s="164"/>
      <c r="D1298" s="164"/>
      <c r="F1298" s="164"/>
      <c r="G1298" s="164"/>
      <c r="H1298" s="164"/>
      <c r="I1298" s="164"/>
      <c r="J1298" s="164"/>
    </row>
    <row r="1299" spans="3:10" x14ac:dyDescent="0.25">
      <c r="C1299" s="164"/>
      <c r="D1299" s="164"/>
      <c r="F1299" s="164"/>
      <c r="G1299" s="164"/>
      <c r="H1299" s="164"/>
      <c r="I1299" s="164"/>
      <c r="J1299" s="164"/>
    </row>
    <row r="1300" spans="3:10" x14ac:dyDescent="0.25">
      <c r="C1300" s="164"/>
      <c r="D1300" s="164"/>
      <c r="F1300" s="164"/>
      <c r="G1300" s="164"/>
      <c r="H1300" s="164"/>
      <c r="I1300" s="164"/>
      <c r="J1300" s="164"/>
    </row>
    <row r="1301" spans="3:10" x14ac:dyDescent="0.25">
      <c r="C1301" s="164"/>
      <c r="D1301" s="164"/>
      <c r="F1301" s="164"/>
      <c r="G1301" s="164"/>
      <c r="H1301" s="164"/>
      <c r="I1301" s="164"/>
      <c r="J1301" s="164"/>
    </row>
    <row r="1302" spans="3:10" x14ac:dyDescent="0.25">
      <c r="C1302" s="164"/>
      <c r="D1302" s="164"/>
      <c r="F1302" s="164"/>
      <c r="G1302" s="164"/>
      <c r="H1302" s="164"/>
      <c r="I1302" s="164"/>
      <c r="J1302" s="164"/>
    </row>
    <row r="1303" spans="3:10" x14ac:dyDescent="0.25">
      <c r="C1303" s="164"/>
      <c r="D1303" s="164"/>
      <c r="F1303" s="164"/>
      <c r="G1303" s="164"/>
      <c r="H1303" s="164"/>
      <c r="I1303" s="164"/>
      <c r="J1303" s="164"/>
    </row>
    <row r="1304" spans="3:10" x14ac:dyDescent="0.25">
      <c r="C1304" s="164"/>
      <c r="D1304" s="164"/>
      <c r="F1304" s="164"/>
      <c r="G1304" s="164"/>
      <c r="H1304" s="164"/>
      <c r="I1304" s="164"/>
      <c r="J1304" s="164"/>
    </row>
    <row r="1305" spans="3:10" x14ac:dyDescent="0.25">
      <c r="C1305" s="164"/>
      <c r="D1305" s="164"/>
      <c r="F1305" s="164"/>
      <c r="G1305" s="164"/>
      <c r="H1305" s="164"/>
      <c r="I1305" s="164"/>
      <c r="J1305" s="164"/>
    </row>
    <row r="1306" spans="3:10" x14ac:dyDescent="0.25">
      <c r="C1306" s="164"/>
      <c r="D1306" s="164"/>
      <c r="F1306" s="164"/>
      <c r="G1306" s="164"/>
      <c r="H1306" s="164"/>
      <c r="I1306" s="164"/>
      <c r="J1306" s="164"/>
    </row>
    <row r="1307" spans="3:10" x14ac:dyDescent="0.25">
      <c r="C1307" s="164"/>
      <c r="D1307" s="164"/>
      <c r="F1307" s="164"/>
      <c r="G1307" s="164"/>
      <c r="H1307" s="164"/>
      <c r="I1307" s="164"/>
      <c r="J1307" s="164"/>
    </row>
    <row r="1308" spans="3:10" x14ac:dyDescent="0.25">
      <c r="C1308" s="164"/>
      <c r="D1308" s="164"/>
      <c r="F1308" s="164"/>
      <c r="G1308" s="164"/>
      <c r="H1308" s="164"/>
      <c r="I1308" s="164"/>
      <c r="J1308" s="164"/>
    </row>
    <row r="1309" spans="3:10" x14ac:dyDescent="0.25">
      <c r="C1309" s="164"/>
      <c r="D1309" s="164"/>
      <c r="F1309" s="164"/>
      <c r="G1309" s="164"/>
      <c r="H1309" s="164"/>
      <c r="I1309" s="164"/>
      <c r="J1309" s="164"/>
    </row>
    <row r="1310" spans="3:10" x14ac:dyDescent="0.25">
      <c r="C1310" s="164"/>
      <c r="D1310" s="164"/>
      <c r="F1310" s="164"/>
      <c r="G1310" s="164"/>
      <c r="H1310" s="164"/>
      <c r="I1310" s="164"/>
      <c r="J1310" s="164"/>
    </row>
    <row r="1311" spans="3:10" x14ac:dyDescent="0.25">
      <c r="C1311" s="164"/>
      <c r="D1311" s="164"/>
      <c r="F1311" s="164"/>
      <c r="G1311" s="164"/>
      <c r="H1311" s="164"/>
      <c r="I1311" s="164"/>
      <c r="J1311" s="164"/>
    </row>
    <row r="1312" spans="3:10" x14ac:dyDescent="0.25">
      <c r="C1312" s="164"/>
      <c r="D1312" s="164"/>
      <c r="F1312" s="164"/>
      <c r="G1312" s="164"/>
      <c r="H1312" s="164"/>
      <c r="I1312" s="164"/>
      <c r="J1312" s="164"/>
    </row>
    <row r="1313" spans="3:10" x14ac:dyDescent="0.25">
      <c r="C1313" s="164"/>
      <c r="D1313" s="164"/>
      <c r="F1313" s="164"/>
      <c r="G1313" s="164"/>
      <c r="H1313" s="164"/>
      <c r="I1313" s="164"/>
      <c r="J1313" s="164"/>
    </row>
    <row r="1314" spans="3:10" x14ac:dyDescent="0.25">
      <c r="C1314" s="164"/>
      <c r="D1314" s="164"/>
      <c r="F1314" s="164"/>
      <c r="G1314" s="164"/>
      <c r="H1314" s="164"/>
      <c r="I1314" s="164"/>
      <c r="J1314" s="164"/>
    </row>
    <row r="1315" spans="3:10" x14ac:dyDescent="0.25">
      <c r="C1315" s="164"/>
      <c r="D1315" s="164"/>
      <c r="F1315" s="164"/>
      <c r="G1315" s="164"/>
      <c r="H1315" s="164"/>
      <c r="I1315" s="164"/>
      <c r="J1315" s="164"/>
    </row>
    <row r="1316" spans="3:10" x14ac:dyDescent="0.25">
      <c r="C1316" s="164"/>
      <c r="D1316" s="164"/>
      <c r="F1316" s="164"/>
      <c r="G1316" s="164"/>
      <c r="H1316" s="164"/>
      <c r="I1316" s="164"/>
      <c r="J1316" s="164"/>
    </row>
    <row r="1317" spans="3:10" x14ac:dyDescent="0.25">
      <c r="C1317" s="164"/>
      <c r="D1317" s="164"/>
      <c r="F1317" s="164"/>
      <c r="G1317" s="164"/>
      <c r="H1317" s="164"/>
      <c r="I1317" s="164"/>
      <c r="J1317" s="164"/>
    </row>
    <row r="1318" spans="3:10" x14ac:dyDescent="0.25">
      <c r="C1318" s="164"/>
      <c r="D1318" s="164"/>
      <c r="F1318" s="164"/>
      <c r="G1318" s="164"/>
      <c r="H1318" s="164"/>
      <c r="I1318" s="164"/>
      <c r="J1318" s="164"/>
    </row>
    <row r="1319" spans="3:10" x14ac:dyDescent="0.25">
      <c r="C1319" s="164"/>
      <c r="D1319" s="164"/>
      <c r="F1319" s="164"/>
      <c r="G1319" s="164"/>
      <c r="H1319" s="164"/>
      <c r="I1319" s="164"/>
      <c r="J1319" s="164"/>
    </row>
    <row r="1320" spans="3:10" x14ac:dyDescent="0.25">
      <c r="C1320" s="164"/>
      <c r="D1320" s="164"/>
      <c r="F1320" s="164"/>
      <c r="G1320" s="164"/>
      <c r="H1320" s="164"/>
      <c r="I1320" s="164"/>
      <c r="J1320" s="164"/>
    </row>
    <row r="1321" spans="3:10" x14ac:dyDescent="0.25">
      <c r="C1321" s="164"/>
      <c r="D1321" s="164"/>
      <c r="F1321" s="164"/>
      <c r="G1321" s="164"/>
      <c r="H1321" s="164"/>
      <c r="I1321" s="164"/>
      <c r="J1321" s="164"/>
    </row>
    <row r="1322" spans="3:10" x14ac:dyDescent="0.25">
      <c r="C1322" s="164"/>
      <c r="D1322" s="164"/>
      <c r="F1322" s="164"/>
      <c r="G1322" s="164"/>
      <c r="H1322" s="164"/>
      <c r="I1322" s="164"/>
      <c r="J1322" s="164"/>
    </row>
    <row r="1323" spans="3:10" x14ac:dyDescent="0.25">
      <c r="C1323" s="164"/>
      <c r="D1323" s="164"/>
      <c r="F1323" s="164"/>
      <c r="G1323" s="164"/>
      <c r="H1323" s="164"/>
      <c r="I1323" s="164"/>
      <c r="J1323" s="164"/>
    </row>
    <row r="1324" spans="3:10" x14ac:dyDescent="0.25">
      <c r="C1324" s="164"/>
      <c r="D1324" s="164"/>
      <c r="F1324" s="164"/>
      <c r="G1324" s="164"/>
      <c r="H1324" s="164"/>
      <c r="I1324" s="164"/>
      <c r="J1324" s="164"/>
    </row>
    <row r="1325" spans="3:10" x14ac:dyDescent="0.25">
      <c r="C1325" s="164"/>
      <c r="D1325" s="164"/>
      <c r="F1325" s="164"/>
      <c r="G1325" s="164"/>
      <c r="H1325" s="164"/>
      <c r="I1325" s="164"/>
      <c r="J1325" s="164"/>
    </row>
    <row r="1326" spans="3:10" x14ac:dyDescent="0.25">
      <c r="C1326" s="164"/>
      <c r="D1326" s="164"/>
      <c r="F1326" s="164"/>
      <c r="G1326" s="164"/>
      <c r="H1326" s="164"/>
      <c r="I1326" s="164"/>
      <c r="J1326" s="164"/>
    </row>
    <row r="1327" spans="3:10" x14ac:dyDescent="0.25">
      <c r="C1327" s="164"/>
      <c r="D1327" s="164"/>
      <c r="F1327" s="164"/>
      <c r="G1327" s="164"/>
      <c r="H1327" s="164"/>
      <c r="I1327" s="164"/>
      <c r="J1327" s="164"/>
    </row>
    <row r="1328" spans="3:10" x14ac:dyDescent="0.25">
      <c r="C1328" s="164"/>
      <c r="D1328" s="164"/>
      <c r="F1328" s="164"/>
      <c r="G1328" s="164"/>
      <c r="H1328" s="164"/>
      <c r="I1328" s="164"/>
      <c r="J1328" s="164"/>
    </row>
    <row r="1329" spans="3:10" x14ac:dyDescent="0.25">
      <c r="C1329" s="164"/>
      <c r="D1329" s="164"/>
      <c r="F1329" s="164"/>
      <c r="G1329" s="164"/>
      <c r="H1329" s="164"/>
      <c r="I1329" s="164"/>
      <c r="J1329" s="164"/>
    </row>
    <row r="1330" spans="3:10" x14ac:dyDescent="0.25">
      <c r="C1330" s="164"/>
      <c r="D1330" s="164"/>
      <c r="F1330" s="164"/>
      <c r="G1330" s="164"/>
      <c r="H1330" s="164"/>
      <c r="I1330" s="164"/>
      <c r="J1330" s="164"/>
    </row>
    <row r="1331" spans="3:10" x14ac:dyDescent="0.25">
      <c r="C1331" s="164"/>
      <c r="D1331" s="164"/>
      <c r="F1331" s="164"/>
      <c r="G1331" s="164"/>
      <c r="H1331" s="164"/>
      <c r="I1331" s="164"/>
      <c r="J1331" s="164"/>
    </row>
    <row r="1332" spans="3:10" x14ac:dyDescent="0.25">
      <c r="C1332" s="164"/>
      <c r="D1332" s="164"/>
      <c r="F1332" s="164"/>
      <c r="G1332" s="164"/>
      <c r="H1332" s="164"/>
      <c r="I1332" s="164"/>
      <c r="J1332" s="164"/>
    </row>
    <row r="1333" spans="3:10" x14ac:dyDescent="0.25">
      <c r="C1333" s="164"/>
      <c r="D1333" s="164"/>
      <c r="F1333" s="164"/>
      <c r="G1333" s="164"/>
      <c r="H1333" s="164"/>
      <c r="I1333" s="164"/>
      <c r="J1333" s="164"/>
    </row>
    <row r="1334" spans="3:10" x14ac:dyDescent="0.25">
      <c r="C1334" s="164"/>
      <c r="D1334" s="164"/>
      <c r="F1334" s="164"/>
      <c r="G1334" s="164"/>
      <c r="H1334" s="164"/>
      <c r="I1334" s="164"/>
      <c r="J1334" s="164"/>
    </row>
    <row r="1335" spans="3:10" x14ac:dyDescent="0.25">
      <c r="C1335" s="164"/>
      <c r="D1335" s="164"/>
      <c r="F1335" s="164"/>
      <c r="G1335" s="164"/>
      <c r="H1335" s="164"/>
      <c r="I1335" s="164"/>
      <c r="J1335" s="164"/>
    </row>
    <row r="1336" spans="3:10" x14ac:dyDescent="0.25">
      <c r="C1336" s="164"/>
      <c r="D1336" s="164"/>
      <c r="F1336" s="164"/>
      <c r="G1336" s="164"/>
      <c r="H1336" s="164"/>
      <c r="I1336" s="164"/>
      <c r="J1336" s="164"/>
    </row>
    <row r="1337" spans="3:10" x14ac:dyDescent="0.25">
      <c r="C1337" s="164"/>
      <c r="D1337" s="164"/>
      <c r="F1337" s="164"/>
      <c r="G1337" s="164"/>
      <c r="H1337" s="164"/>
      <c r="I1337" s="164"/>
      <c r="J1337" s="164"/>
    </row>
    <row r="1338" spans="3:10" x14ac:dyDescent="0.25">
      <c r="C1338" s="164"/>
      <c r="D1338" s="164"/>
      <c r="F1338" s="164"/>
      <c r="G1338" s="164"/>
      <c r="H1338" s="164"/>
      <c r="I1338" s="164"/>
      <c r="J1338" s="164"/>
    </row>
    <row r="1339" spans="3:10" x14ac:dyDescent="0.25">
      <c r="C1339" s="164"/>
      <c r="D1339" s="164"/>
      <c r="F1339" s="164"/>
      <c r="G1339" s="164"/>
      <c r="H1339" s="164"/>
      <c r="I1339" s="164"/>
      <c r="J1339" s="164"/>
    </row>
    <row r="1340" spans="3:10" x14ac:dyDescent="0.25">
      <c r="C1340" s="164"/>
      <c r="D1340" s="164"/>
      <c r="F1340" s="164"/>
      <c r="G1340" s="164"/>
      <c r="H1340" s="164"/>
      <c r="I1340" s="164"/>
      <c r="J1340" s="164"/>
    </row>
    <row r="1341" spans="3:10" x14ac:dyDescent="0.25">
      <c r="C1341" s="164"/>
      <c r="D1341" s="164"/>
      <c r="F1341" s="164"/>
      <c r="G1341" s="164"/>
      <c r="H1341" s="164"/>
      <c r="I1341" s="164"/>
      <c r="J1341" s="164"/>
    </row>
    <row r="1342" spans="3:10" x14ac:dyDescent="0.25">
      <c r="C1342" s="164"/>
      <c r="D1342" s="164"/>
      <c r="F1342" s="164"/>
      <c r="G1342" s="164"/>
      <c r="H1342" s="164"/>
      <c r="I1342" s="164"/>
      <c r="J1342" s="164"/>
    </row>
    <row r="1343" spans="3:10" x14ac:dyDescent="0.25">
      <c r="C1343" s="164"/>
      <c r="D1343" s="164"/>
      <c r="F1343" s="164"/>
      <c r="G1343" s="164"/>
      <c r="H1343" s="164"/>
      <c r="I1343" s="164"/>
      <c r="J1343" s="164"/>
    </row>
    <row r="1344" spans="3:10" x14ac:dyDescent="0.25">
      <c r="C1344" s="164"/>
      <c r="D1344" s="164"/>
      <c r="F1344" s="164"/>
      <c r="G1344" s="164"/>
      <c r="H1344" s="164"/>
      <c r="I1344" s="164"/>
      <c r="J1344" s="164"/>
    </row>
    <row r="1345" spans="3:10" x14ac:dyDescent="0.25">
      <c r="C1345" s="164"/>
      <c r="D1345" s="164"/>
      <c r="F1345" s="164"/>
      <c r="G1345" s="164"/>
      <c r="H1345" s="164"/>
      <c r="I1345" s="164"/>
      <c r="J1345" s="164"/>
    </row>
    <row r="1346" spans="3:10" x14ac:dyDescent="0.25">
      <c r="C1346" s="164"/>
      <c r="D1346" s="164"/>
      <c r="F1346" s="164"/>
      <c r="G1346" s="164"/>
      <c r="H1346" s="164"/>
      <c r="I1346" s="164"/>
      <c r="J1346" s="164"/>
    </row>
    <row r="1347" spans="3:10" x14ac:dyDescent="0.25">
      <c r="C1347" s="164"/>
      <c r="D1347" s="164"/>
      <c r="F1347" s="164"/>
      <c r="G1347" s="164"/>
      <c r="H1347" s="164"/>
      <c r="I1347" s="164"/>
      <c r="J1347" s="164"/>
    </row>
    <row r="1348" spans="3:10" x14ac:dyDescent="0.25">
      <c r="C1348" s="164"/>
      <c r="D1348" s="164"/>
      <c r="F1348" s="164"/>
      <c r="G1348" s="164"/>
      <c r="H1348" s="164"/>
      <c r="I1348" s="164"/>
      <c r="J1348" s="164"/>
    </row>
    <row r="1349" spans="3:10" x14ac:dyDescent="0.25">
      <c r="C1349" s="164"/>
      <c r="D1349" s="164"/>
      <c r="F1349" s="164"/>
      <c r="G1349" s="164"/>
      <c r="H1349" s="164"/>
      <c r="I1349" s="164"/>
      <c r="J1349" s="164"/>
    </row>
    <row r="1350" spans="3:10" x14ac:dyDescent="0.25">
      <c r="C1350" s="164"/>
      <c r="D1350" s="164"/>
      <c r="F1350" s="164"/>
      <c r="G1350" s="164"/>
      <c r="H1350" s="164"/>
      <c r="I1350" s="164"/>
      <c r="J1350" s="164"/>
    </row>
    <row r="1351" spans="3:10" x14ac:dyDescent="0.25">
      <c r="C1351" s="164"/>
      <c r="D1351" s="164"/>
      <c r="F1351" s="164"/>
      <c r="G1351" s="164"/>
      <c r="H1351" s="164"/>
      <c r="I1351" s="164"/>
      <c r="J1351" s="164"/>
    </row>
    <row r="1352" spans="3:10" x14ac:dyDescent="0.25">
      <c r="C1352" s="164"/>
      <c r="D1352" s="164"/>
      <c r="F1352" s="164"/>
      <c r="G1352" s="164"/>
      <c r="H1352" s="164"/>
      <c r="I1352" s="164"/>
      <c r="J1352" s="164"/>
    </row>
    <row r="1353" spans="3:10" x14ac:dyDescent="0.25">
      <c r="C1353" s="164"/>
      <c r="D1353" s="164"/>
      <c r="F1353" s="164"/>
      <c r="G1353" s="164"/>
      <c r="H1353" s="164"/>
      <c r="I1353" s="164"/>
      <c r="J1353" s="164"/>
    </row>
    <row r="1354" spans="3:10" x14ac:dyDescent="0.25">
      <c r="C1354" s="164"/>
      <c r="D1354" s="164"/>
      <c r="F1354" s="164"/>
      <c r="G1354" s="164"/>
      <c r="H1354" s="164"/>
      <c r="I1354" s="164"/>
      <c r="J1354" s="164"/>
    </row>
    <row r="1355" spans="3:10" x14ac:dyDescent="0.25">
      <c r="C1355" s="164"/>
      <c r="D1355" s="164"/>
      <c r="F1355" s="164"/>
      <c r="G1355" s="164"/>
      <c r="H1355" s="164"/>
      <c r="I1355" s="164"/>
      <c r="J1355" s="164"/>
    </row>
    <row r="1356" spans="3:10" x14ac:dyDescent="0.25">
      <c r="C1356" s="164"/>
      <c r="D1356" s="164"/>
      <c r="F1356" s="164"/>
      <c r="G1356" s="164"/>
      <c r="H1356" s="164"/>
      <c r="I1356" s="164"/>
      <c r="J1356" s="164"/>
    </row>
    <row r="1357" spans="3:10" x14ac:dyDescent="0.25">
      <c r="C1357" s="164"/>
      <c r="D1357" s="164"/>
      <c r="F1357" s="164"/>
      <c r="G1357" s="164"/>
      <c r="H1357" s="164"/>
      <c r="I1357" s="164"/>
      <c r="J1357" s="164"/>
    </row>
    <row r="1358" spans="3:10" x14ac:dyDescent="0.25">
      <c r="C1358" s="164"/>
      <c r="D1358" s="164"/>
      <c r="F1358" s="164"/>
      <c r="G1358" s="164"/>
      <c r="H1358" s="164"/>
      <c r="I1358" s="164"/>
      <c r="J1358" s="164"/>
    </row>
    <row r="1359" spans="3:10" x14ac:dyDescent="0.25">
      <c r="C1359" s="164"/>
      <c r="D1359" s="164"/>
      <c r="F1359" s="164"/>
      <c r="G1359" s="164"/>
      <c r="H1359" s="164"/>
      <c r="I1359" s="164"/>
      <c r="J1359" s="164"/>
    </row>
    <row r="1360" spans="3:10" x14ac:dyDescent="0.25">
      <c r="C1360" s="164"/>
      <c r="D1360" s="164"/>
      <c r="F1360" s="164"/>
      <c r="G1360" s="164"/>
      <c r="H1360" s="164"/>
      <c r="I1360" s="164"/>
      <c r="J1360" s="164"/>
    </row>
    <row r="1361" spans="3:10" x14ac:dyDescent="0.25">
      <c r="C1361" s="164"/>
      <c r="D1361" s="164"/>
      <c r="F1361" s="164"/>
      <c r="G1361" s="164"/>
      <c r="H1361" s="164"/>
      <c r="I1361" s="164"/>
      <c r="J1361" s="164"/>
    </row>
    <row r="1362" spans="3:10" x14ac:dyDescent="0.25">
      <c r="C1362" s="164"/>
      <c r="D1362" s="164"/>
      <c r="F1362" s="164"/>
      <c r="G1362" s="164"/>
      <c r="H1362" s="164"/>
      <c r="I1362" s="164"/>
      <c r="J1362" s="164"/>
    </row>
    <row r="1363" spans="3:10" x14ac:dyDescent="0.25">
      <c r="C1363" s="164"/>
      <c r="D1363" s="164"/>
      <c r="F1363" s="164"/>
      <c r="G1363" s="164"/>
      <c r="H1363" s="164"/>
      <c r="I1363" s="164"/>
      <c r="J1363" s="164"/>
    </row>
    <row r="1364" spans="3:10" x14ac:dyDescent="0.25">
      <c r="C1364" s="164"/>
      <c r="D1364" s="164"/>
      <c r="F1364" s="164"/>
      <c r="G1364" s="164"/>
      <c r="H1364" s="164"/>
      <c r="I1364" s="164"/>
      <c r="J1364" s="164"/>
    </row>
    <row r="1365" spans="3:10" x14ac:dyDescent="0.25">
      <c r="C1365" s="164"/>
      <c r="D1365" s="164"/>
      <c r="F1365" s="164"/>
      <c r="G1365" s="164"/>
      <c r="H1365" s="164"/>
      <c r="I1365" s="164"/>
      <c r="J1365" s="164"/>
    </row>
    <row r="1366" spans="3:10" x14ac:dyDescent="0.25">
      <c r="C1366" s="164"/>
      <c r="D1366" s="164"/>
      <c r="F1366" s="164"/>
      <c r="G1366" s="164"/>
      <c r="H1366" s="164"/>
      <c r="I1366" s="164"/>
      <c r="J1366" s="164"/>
    </row>
    <row r="1367" spans="3:10" x14ac:dyDescent="0.25">
      <c r="C1367" s="164"/>
      <c r="D1367" s="164"/>
      <c r="F1367" s="164"/>
      <c r="G1367" s="164"/>
      <c r="H1367" s="164"/>
      <c r="I1367" s="164"/>
      <c r="J1367" s="164"/>
    </row>
    <row r="1368" spans="3:10" x14ac:dyDescent="0.25">
      <c r="C1368" s="164"/>
      <c r="D1368" s="164"/>
      <c r="F1368" s="164"/>
      <c r="G1368" s="164"/>
      <c r="H1368" s="164"/>
      <c r="I1368" s="164"/>
      <c r="J1368" s="164"/>
    </row>
    <row r="1369" spans="3:10" x14ac:dyDescent="0.25">
      <c r="C1369" s="164"/>
      <c r="D1369" s="164"/>
      <c r="F1369" s="164"/>
      <c r="G1369" s="164"/>
      <c r="H1369" s="164"/>
      <c r="I1369" s="164"/>
      <c r="J1369" s="164"/>
    </row>
    <row r="1370" spans="3:10" x14ac:dyDescent="0.25">
      <c r="C1370" s="164"/>
      <c r="D1370" s="164"/>
      <c r="F1370" s="164"/>
      <c r="G1370" s="164"/>
      <c r="H1370" s="164"/>
      <c r="I1370" s="164"/>
      <c r="J1370" s="164"/>
    </row>
    <row r="1371" spans="3:10" x14ac:dyDescent="0.25">
      <c r="C1371" s="164"/>
      <c r="D1371" s="164"/>
      <c r="F1371" s="164"/>
      <c r="G1371" s="164"/>
      <c r="H1371" s="164"/>
      <c r="I1371" s="164"/>
      <c r="J1371" s="164"/>
    </row>
    <row r="1372" spans="3:10" x14ac:dyDescent="0.25">
      <c r="C1372" s="164"/>
      <c r="D1372" s="164"/>
      <c r="F1372" s="164"/>
      <c r="G1372" s="164"/>
      <c r="H1372" s="164"/>
      <c r="I1372" s="164"/>
      <c r="J1372" s="164"/>
    </row>
    <row r="1373" spans="3:10" x14ac:dyDescent="0.25">
      <c r="C1373" s="164"/>
      <c r="D1373" s="164"/>
      <c r="F1373" s="164"/>
      <c r="G1373" s="164"/>
      <c r="H1373" s="164"/>
      <c r="I1373" s="164"/>
      <c r="J1373" s="164"/>
    </row>
    <row r="1374" spans="3:10" x14ac:dyDescent="0.25">
      <c r="C1374" s="164"/>
      <c r="D1374" s="164"/>
      <c r="F1374" s="164"/>
      <c r="G1374" s="164"/>
      <c r="H1374" s="164"/>
      <c r="I1374" s="164"/>
      <c r="J1374" s="164"/>
    </row>
    <row r="1375" spans="3:10" x14ac:dyDescent="0.25">
      <c r="C1375" s="164"/>
      <c r="D1375" s="164"/>
      <c r="F1375" s="164"/>
      <c r="G1375" s="164"/>
      <c r="H1375" s="164"/>
      <c r="I1375" s="164"/>
      <c r="J1375" s="164"/>
    </row>
    <row r="1376" spans="3:10" x14ac:dyDescent="0.25">
      <c r="C1376" s="164"/>
      <c r="D1376" s="164"/>
      <c r="F1376" s="164"/>
      <c r="G1376" s="164"/>
      <c r="H1376" s="164"/>
      <c r="I1376" s="164"/>
      <c r="J1376" s="164"/>
    </row>
    <row r="1377" spans="3:10" x14ac:dyDescent="0.25">
      <c r="C1377" s="164"/>
      <c r="D1377" s="164"/>
      <c r="F1377" s="164"/>
      <c r="G1377" s="164"/>
      <c r="H1377" s="164"/>
      <c r="I1377" s="164"/>
      <c r="J1377" s="164"/>
    </row>
    <row r="1378" spans="3:10" x14ac:dyDescent="0.25">
      <c r="C1378" s="164"/>
      <c r="D1378" s="164"/>
      <c r="F1378" s="164"/>
      <c r="G1378" s="164"/>
      <c r="H1378" s="164"/>
      <c r="I1378" s="164"/>
      <c r="J1378" s="164"/>
    </row>
    <row r="1379" spans="3:10" x14ac:dyDescent="0.25">
      <c r="C1379" s="164"/>
      <c r="D1379" s="164"/>
      <c r="F1379" s="164"/>
      <c r="G1379" s="164"/>
      <c r="H1379" s="164"/>
      <c r="I1379" s="164"/>
      <c r="J1379" s="164"/>
    </row>
    <row r="1380" spans="3:10" x14ac:dyDescent="0.25">
      <c r="C1380" s="164"/>
      <c r="D1380" s="164"/>
      <c r="F1380" s="164"/>
      <c r="G1380" s="164"/>
      <c r="H1380" s="164"/>
      <c r="I1380" s="164"/>
      <c r="J1380" s="164"/>
    </row>
    <row r="1381" spans="3:10" x14ac:dyDescent="0.25">
      <c r="C1381" s="164"/>
      <c r="D1381" s="164"/>
      <c r="F1381" s="164"/>
      <c r="G1381" s="164"/>
      <c r="H1381" s="164"/>
      <c r="I1381" s="164"/>
      <c r="J1381" s="164"/>
    </row>
    <row r="1382" spans="3:10" x14ac:dyDescent="0.25">
      <c r="C1382" s="164"/>
      <c r="D1382" s="164"/>
      <c r="F1382" s="164"/>
      <c r="G1382" s="164"/>
      <c r="H1382" s="164"/>
      <c r="I1382" s="164"/>
      <c r="J1382" s="164"/>
    </row>
    <row r="1383" spans="3:10" x14ac:dyDescent="0.25">
      <c r="C1383" s="164"/>
      <c r="D1383" s="164"/>
      <c r="F1383" s="164"/>
      <c r="G1383" s="164"/>
      <c r="H1383" s="164"/>
      <c r="I1383" s="164"/>
      <c r="J1383" s="164"/>
    </row>
    <row r="1384" spans="3:10" x14ac:dyDescent="0.25">
      <c r="C1384" s="164"/>
      <c r="D1384" s="164"/>
      <c r="F1384" s="164"/>
      <c r="G1384" s="164"/>
      <c r="H1384" s="164"/>
      <c r="I1384" s="164"/>
      <c r="J1384" s="164"/>
    </row>
    <row r="1385" spans="3:10" x14ac:dyDescent="0.25">
      <c r="C1385" s="164"/>
      <c r="D1385" s="164"/>
      <c r="F1385" s="164"/>
      <c r="G1385" s="164"/>
      <c r="H1385" s="164"/>
      <c r="I1385" s="164"/>
      <c r="J1385" s="164"/>
    </row>
    <row r="1386" spans="3:10" x14ac:dyDescent="0.25">
      <c r="C1386" s="164"/>
      <c r="D1386" s="164"/>
      <c r="F1386" s="164"/>
      <c r="G1386" s="164"/>
      <c r="H1386" s="164"/>
      <c r="I1386" s="164"/>
      <c r="J1386" s="164"/>
    </row>
    <row r="1387" spans="3:10" x14ac:dyDescent="0.25">
      <c r="C1387" s="164"/>
      <c r="D1387" s="164"/>
      <c r="F1387" s="164"/>
      <c r="G1387" s="164"/>
      <c r="H1387" s="164"/>
      <c r="I1387" s="164"/>
      <c r="J1387" s="164"/>
    </row>
    <row r="1388" spans="3:10" x14ac:dyDescent="0.25">
      <c r="C1388" s="164"/>
      <c r="D1388" s="164"/>
      <c r="F1388" s="164"/>
      <c r="G1388" s="164"/>
      <c r="H1388" s="164"/>
      <c r="I1388" s="164"/>
      <c r="J1388" s="164"/>
    </row>
    <row r="1389" spans="3:10" x14ac:dyDescent="0.25">
      <c r="C1389" s="164"/>
      <c r="D1389" s="164"/>
      <c r="F1389" s="164"/>
      <c r="G1389" s="164"/>
      <c r="H1389" s="164"/>
      <c r="I1389" s="164"/>
      <c r="J1389" s="164"/>
    </row>
    <row r="1390" spans="3:10" x14ac:dyDescent="0.25">
      <c r="C1390" s="164"/>
      <c r="D1390" s="164"/>
      <c r="F1390" s="164"/>
      <c r="G1390" s="164"/>
      <c r="H1390" s="164"/>
      <c r="I1390" s="164"/>
      <c r="J1390" s="164"/>
    </row>
    <row r="1391" spans="3:10" x14ac:dyDescent="0.25">
      <c r="C1391" s="164"/>
      <c r="D1391" s="164"/>
      <c r="F1391" s="164"/>
      <c r="G1391" s="164"/>
      <c r="H1391" s="164"/>
      <c r="I1391" s="164"/>
      <c r="J1391" s="164"/>
    </row>
    <row r="1392" spans="3:10" x14ac:dyDescent="0.25">
      <c r="C1392" s="164"/>
      <c r="D1392" s="164"/>
      <c r="F1392" s="164"/>
      <c r="G1392" s="164"/>
      <c r="H1392" s="164"/>
      <c r="I1392" s="164"/>
      <c r="J1392" s="164"/>
    </row>
    <row r="1393" spans="3:10" x14ac:dyDescent="0.25">
      <c r="C1393" s="164"/>
      <c r="D1393" s="164"/>
      <c r="F1393" s="164"/>
      <c r="G1393" s="164"/>
      <c r="H1393" s="164"/>
      <c r="I1393" s="164"/>
      <c r="J1393" s="164"/>
    </row>
    <row r="1394" spans="3:10" x14ac:dyDescent="0.25">
      <c r="C1394" s="164"/>
      <c r="D1394" s="164"/>
      <c r="F1394" s="164"/>
      <c r="G1394" s="164"/>
      <c r="H1394" s="164"/>
      <c r="I1394" s="164"/>
      <c r="J1394" s="164"/>
    </row>
    <row r="1395" spans="3:10" x14ac:dyDescent="0.25">
      <c r="C1395" s="164"/>
      <c r="D1395" s="164"/>
      <c r="F1395" s="164"/>
      <c r="G1395" s="164"/>
      <c r="H1395" s="164"/>
      <c r="I1395" s="164"/>
      <c r="J1395" s="164"/>
    </row>
    <row r="1396" spans="3:10" x14ac:dyDescent="0.25">
      <c r="C1396" s="164"/>
      <c r="D1396" s="164"/>
      <c r="F1396" s="164"/>
      <c r="G1396" s="164"/>
      <c r="H1396" s="164"/>
      <c r="I1396" s="164"/>
      <c r="J1396" s="164"/>
    </row>
    <row r="1397" spans="3:10" x14ac:dyDescent="0.25">
      <c r="C1397" s="164"/>
      <c r="D1397" s="164"/>
      <c r="F1397" s="164"/>
      <c r="G1397" s="164"/>
      <c r="H1397" s="164"/>
      <c r="I1397" s="164"/>
      <c r="J1397" s="164"/>
    </row>
    <row r="1398" spans="3:10" x14ac:dyDescent="0.25">
      <c r="C1398" s="164"/>
      <c r="D1398" s="164"/>
      <c r="F1398" s="164"/>
      <c r="G1398" s="164"/>
      <c r="H1398" s="164"/>
      <c r="I1398" s="164"/>
      <c r="J1398" s="164"/>
    </row>
    <row r="1399" spans="3:10" x14ac:dyDescent="0.25">
      <c r="C1399" s="164"/>
      <c r="D1399" s="164"/>
      <c r="F1399" s="164"/>
      <c r="G1399" s="164"/>
      <c r="H1399" s="164"/>
      <c r="I1399" s="164"/>
      <c r="J1399" s="164"/>
    </row>
    <row r="1400" spans="3:10" x14ac:dyDescent="0.25">
      <c r="C1400" s="164"/>
      <c r="D1400" s="164"/>
      <c r="F1400" s="164"/>
      <c r="G1400" s="164"/>
      <c r="H1400" s="164"/>
      <c r="I1400" s="164"/>
      <c r="J1400" s="164"/>
    </row>
    <row r="1401" spans="3:10" x14ac:dyDescent="0.25">
      <c r="C1401" s="164"/>
      <c r="D1401" s="164"/>
      <c r="F1401" s="164"/>
      <c r="G1401" s="164"/>
      <c r="H1401" s="164"/>
      <c r="I1401" s="164"/>
      <c r="J1401" s="164"/>
    </row>
    <row r="1402" spans="3:10" x14ac:dyDescent="0.25">
      <c r="C1402" s="164"/>
      <c r="D1402" s="164"/>
      <c r="F1402" s="164"/>
      <c r="G1402" s="164"/>
      <c r="H1402" s="164"/>
      <c r="I1402" s="164"/>
      <c r="J1402" s="164"/>
    </row>
    <row r="1403" spans="3:10" x14ac:dyDescent="0.25">
      <c r="C1403" s="164"/>
      <c r="D1403" s="164"/>
      <c r="F1403" s="164"/>
      <c r="G1403" s="164"/>
      <c r="H1403" s="164"/>
      <c r="I1403" s="164"/>
      <c r="J1403" s="164"/>
    </row>
    <row r="1404" spans="3:10" x14ac:dyDescent="0.25">
      <c r="C1404" s="164"/>
      <c r="D1404" s="164"/>
      <c r="F1404" s="164"/>
      <c r="G1404" s="164"/>
      <c r="H1404" s="164"/>
      <c r="I1404" s="164"/>
      <c r="J1404" s="164"/>
    </row>
    <row r="1405" spans="3:10" x14ac:dyDescent="0.25">
      <c r="C1405" s="164"/>
      <c r="D1405" s="164"/>
      <c r="F1405" s="164"/>
      <c r="G1405" s="164"/>
      <c r="H1405" s="164"/>
      <c r="I1405" s="164"/>
      <c r="J1405" s="164"/>
    </row>
    <row r="1406" spans="3:10" x14ac:dyDescent="0.25">
      <c r="C1406" s="164"/>
      <c r="D1406" s="164"/>
      <c r="F1406" s="164"/>
      <c r="G1406" s="164"/>
      <c r="H1406" s="164"/>
      <c r="I1406" s="164"/>
      <c r="J1406" s="164"/>
    </row>
    <row r="1407" spans="3:10" x14ac:dyDescent="0.25">
      <c r="C1407" s="164"/>
      <c r="D1407" s="164"/>
      <c r="F1407" s="164"/>
      <c r="G1407" s="164"/>
      <c r="H1407" s="164"/>
      <c r="I1407" s="164"/>
      <c r="J1407" s="164"/>
    </row>
    <row r="1408" spans="3:10" x14ac:dyDescent="0.25">
      <c r="C1408" s="164"/>
      <c r="D1408" s="164"/>
      <c r="F1408" s="164"/>
      <c r="G1408" s="164"/>
      <c r="H1408" s="164"/>
      <c r="I1408" s="164"/>
      <c r="J1408" s="164"/>
    </row>
    <row r="1409" spans="3:10" x14ac:dyDescent="0.25">
      <c r="C1409" s="164"/>
      <c r="D1409" s="164"/>
      <c r="F1409" s="164"/>
      <c r="G1409" s="164"/>
      <c r="H1409" s="164"/>
      <c r="I1409" s="164"/>
      <c r="J1409" s="164"/>
    </row>
    <row r="1410" spans="3:10" x14ac:dyDescent="0.25">
      <c r="C1410" s="164"/>
      <c r="D1410" s="164"/>
      <c r="F1410" s="164"/>
      <c r="G1410" s="164"/>
      <c r="H1410" s="164"/>
      <c r="I1410" s="164"/>
      <c r="J1410" s="164"/>
    </row>
    <row r="1411" spans="3:10" x14ac:dyDescent="0.25">
      <c r="C1411" s="164"/>
      <c r="D1411" s="164"/>
      <c r="F1411" s="164"/>
      <c r="G1411" s="164"/>
      <c r="H1411" s="164"/>
      <c r="I1411" s="164"/>
      <c r="J1411" s="164"/>
    </row>
    <row r="1412" spans="3:10" x14ac:dyDescent="0.25">
      <c r="C1412" s="164"/>
      <c r="D1412" s="164"/>
      <c r="F1412" s="164"/>
      <c r="G1412" s="164"/>
      <c r="H1412" s="164"/>
      <c r="I1412" s="164"/>
      <c r="J1412" s="164"/>
    </row>
    <row r="1413" spans="3:10" x14ac:dyDescent="0.25">
      <c r="C1413" s="164"/>
      <c r="D1413" s="164"/>
      <c r="F1413" s="164"/>
      <c r="G1413" s="164"/>
      <c r="H1413" s="164"/>
      <c r="I1413" s="164"/>
      <c r="J1413" s="164"/>
    </row>
    <row r="1414" spans="3:10" x14ac:dyDescent="0.25">
      <c r="C1414" s="164"/>
      <c r="D1414" s="164"/>
      <c r="F1414" s="164"/>
      <c r="G1414" s="164"/>
      <c r="H1414" s="164"/>
      <c r="I1414" s="164"/>
      <c r="J1414" s="164"/>
    </row>
    <row r="1415" spans="3:10" x14ac:dyDescent="0.25">
      <c r="C1415" s="164"/>
      <c r="D1415" s="164"/>
      <c r="F1415" s="164"/>
      <c r="G1415" s="164"/>
      <c r="H1415" s="164"/>
      <c r="I1415" s="164"/>
      <c r="J1415" s="164"/>
    </row>
    <row r="1416" spans="3:10" x14ac:dyDescent="0.25">
      <c r="C1416" s="164"/>
      <c r="D1416" s="164"/>
      <c r="F1416" s="164"/>
      <c r="G1416" s="164"/>
      <c r="H1416" s="164"/>
      <c r="I1416" s="164"/>
      <c r="J1416" s="164"/>
    </row>
    <row r="1417" spans="3:10" x14ac:dyDescent="0.25">
      <c r="C1417" s="164"/>
      <c r="D1417" s="164"/>
      <c r="F1417" s="164"/>
      <c r="G1417" s="164"/>
      <c r="H1417" s="164"/>
      <c r="I1417" s="164"/>
      <c r="J1417" s="164"/>
    </row>
    <row r="1418" spans="3:10" x14ac:dyDescent="0.25">
      <c r="C1418" s="164"/>
      <c r="D1418" s="164"/>
      <c r="F1418" s="164"/>
      <c r="G1418" s="164"/>
      <c r="H1418" s="164"/>
      <c r="I1418" s="164"/>
      <c r="J1418" s="164"/>
    </row>
    <row r="1419" spans="3:10" x14ac:dyDescent="0.25">
      <c r="C1419" s="164"/>
      <c r="D1419" s="164"/>
      <c r="F1419" s="164"/>
      <c r="G1419" s="164"/>
      <c r="H1419" s="164"/>
      <c r="I1419" s="164"/>
      <c r="J1419" s="164"/>
    </row>
    <row r="1420" spans="3:10" x14ac:dyDescent="0.25">
      <c r="C1420" s="164"/>
      <c r="D1420" s="164"/>
      <c r="F1420" s="164"/>
      <c r="G1420" s="164"/>
      <c r="H1420" s="164"/>
      <c r="I1420" s="164"/>
      <c r="J1420" s="164"/>
    </row>
    <row r="1421" spans="3:10" x14ac:dyDescent="0.25">
      <c r="C1421" s="164"/>
      <c r="D1421" s="164"/>
      <c r="F1421" s="164"/>
      <c r="G1421" s="164"/>
      <c r="H1421" s="164"/>
      <c r="I1421" s="164"/>
      <c r="J1421" s="164"/>
    </row>
    <row r="1422" spans="3:10" x14ac:dyDescent="0.25">
      <c r="C1422" s="164"/>
      <c r="D1422" s="164"/>
      <c r="F1422" s="164"/>
      <c r="G1422" s="164"/>
      <c r="H1422" s="164"/>
      <c r="I1422" s="164"/>
      <c r="J1422" s="164"/>
    </row>
    <row r="1423" spans="3:10" x14ac:dyDescent="0.25">
      <c r="C1423" s="164"/>
      <c r="D1423" s="164"/>
      <c r="F1423" s="164"/>
      <c r="G1423" s="164"/>
      <c r="H1423" s="164"/>
      <c r="I1423" s="164"/>
      <c r="J1423" s="164"/>
    </row>
    <row r="1424" spans="3:10" x14ac:dyDescent="0.25">
      <c r="C1424" s="164"/>
      <c r="D1424" s="164"/>
      <c r="F1424" s="164"/>
      <c r="G1424" s="164"/>
      <c r="H1424" s="164"/>
      <c r="I1424" s="164"/>
      <c r="J1424" s="164"/>
    </row>
    <row r="1425" spans="3:10" x14ac:dyDescent="0.25">
      <c r="C1425" s="164"/>
      <c r="D1425" s="164"/>
      <c r="F1425" s="164"/>
      <c r="G1425" s="164"/>
      <c r="H1425" s="164"/>
      <c r="I1425" s="164"/>
      <c r="J1425" s="164"/>
    </row>
    <row r="1426" spans="3:10" x14ac:dyDescent="0.25">
      <c r="C1426" s="164"/>
      <c r="D1426" s="164"/>
      <c r="F1426" s="164"/>
      <c r="G1426" s="164"/>
      <c r="H1426" s="164"/>
      <c r="I1426" s="164"/>
      <c r="J1426" s="164"/>
    </row>
    <row r="1427" spans="3:10" x14ac:dyDescent="0.25">
      <c r="C1427" s="164"/>
      <c r="D1427" s="164"/>
      <c r="F1427" s="164"/>
      <c r="G1427" s="164"/>
      <c r="H1427" s="164"/>
      <c r="I1427" s="164"/>
      <c r="J1427" s="164"/>
    </row>
    <row r="1428" spans="3:10" x14ac:dyDescent="0.25">
      <c r="C1428" s="164"/>
      <c r="D1428" s="164"/>
      <c r="F1428" s="164"/>
      <c r="G1428" s="164"/>
      <c r="H1428" s="164"/>
      <c r="I1428" s="164"/>
      <c r="J1428" s="164"/>
    </row>
    <row r="1429" spans="3:10" x14ac:dyDescent="0.25">
      <c r="C1429" s="164"/>
      <c r="D1429" s="164"/>
      <c r="F1429" s="164"/>
      <c r="G1429" s="164"/>
      <c r="H1429" s="164"/>
      <c r="I1429" s="164"/>
      <c r="J1429" s="164"/>
    </row>
    <row r="1430" spans="3:10" x14ac:dyDescent="0.25">
      <c r="C1430" s="164"/>
      <c r="D1430" s="164"/>
      <c r="F1430" s="164"/>
      <c r="G1430" s="164"/>
      <c r="H1430" s="164"/>
      <c r="I1430" s="164"/>
      <c r="J1430" s="164"/>
    </row>
    <row r="1431" spans="3:10" x14ac:dyDescent="0.25">
      <c r="C1431" s="164"/>
      <c r="D1431" s="164"/>
      <c r="F1431" s="164"/>
      <c r="G1431" s="164"/>
      <c r="H1431" s="164"/>
      <c r="I1431" s="164"/>
      <c r="J1431" s="164"/>
    </row>
    <row r="1432" spans="3:10" x14ac:dyDescent="0.25">
      <c r="C1432" s="164"/>
      <c r="D1432" s="164"/>
      <c r="F1432" s="164"/>
      <c r="G1432" s="164"/>
      <c r="H1432" s="164"/>
      <c r="I1432" s="164"/>
      <c r="J1432" s="164"/>
    </row>
    <row r="1433" spans="3:10" x14ac:dyDescent="0.25">
      <c r="C1433" s="164"/>
      <c r="D1433" s="164"/>
      <c r="F1433" s="164"/>
      <c r="G1433" s="164"/>
      <c r="H1433" s="164"/>
      <c r="I1433" s="164"/>
      <c r="J1433" s="164"/>
    </row>
    <row r="1434" spans="3:10" x14ac:dyDescent="0.25">
      <c r="C1434" s="164"/>
      <c r="D1434" s="164"/>
      <c r="F1434" s="164"/>
      <c r="G1434" s="164"/>
      <c r="H1434" s="164"/>
      <c r="I1434" s="164"/>
      <c r="J1434" s="164"/>
    </row>
    <row r="1435" spans="3:10" x14ac:dyDescent="0.25">
      <c r="C1435" s="164"/>
      <c r="D1435" s="164"/>
      <c r="F1435" s="164"/>
      <c r="G1435" s="164"/>
      <c r="H1435" s="164"/>
      <c r="I1435" s="164"/>
      <c r="J1435" s="164"/>
    </row>
    <row r="1436" spans="3:10" x14ac:dyDescent="0.25">
      <c r="C1436" s="164"/>
      <c r="D1436" s="164"/>
      <c r="F1436" s="164"/>
      <c r="G1436" s="164"/>
      <c r="H1436" s="164"/>
      <c r="I1436" s="164"/>
      <c r="J1436" s="164"/>
    </row>
    <row r="1437" spans="3:10" x14ac:dyDescent="0.25">
      <c r="C1437" s="164"/>
      <c r="D1437" s="164"/>
      <c r="F1437" s="164"/>
      <c r="G1437" s="164"/>
      <c r="H1437" s="164"/>
      <c r="I1437" s="164"/>
      <c r="J1437" s="164"/>
    </row>
    <row r="1438" spans="3:10" x14ac:dyDescent="0.25">
      <c r="C1438" s="164"/>
      <c r="D1438" s="164"/>
      <c r="F1438" s="164"/>
      <c r="G1438" s="164"/>
      <c r="H1438" s="164"/>
      <c r="I1438" s="164"/>
      <c r="J1438" s="164"/>
    </row>
    <row r="1439" spans="3:10" x14ac:dyDescent="0.25">
      <c r="C1439" s="164"/>
      <c r="D1439" s="164"/>
      <c r="F1439" s="164"/>
      <c r="G1439" s="164"/>
      <c r="H1439" s="164"/>
      <c r="I1439" s="164"/>
      <c r="J1439" s="164"/>
    </row>
    <row r="1440" spans="3:10" x14ac:dyDescent="0.25">
      <c r="C1440" s="164"/>
      <c r="D1440" s="164"/>
      <c r="F1440" s="164"/>
      <c r="G1440" s="164"/>
      <c r="H1440" s="164"/>
      <c r="I1440" s="164"/>
      <c r="J1440" s="164"/>
    </row>
    <row r="1441" spans="3:10" x14ac:dyDescent="0.25">
      <c r="C1441" s="164"/>
      <c r="D1441" s="164"/>
      <c r="F1441" s="164"/>
      <c r="G1441" s="164"/>
      <c r="H1441" s="164"/>
      <c r="I1441" s="164"/>
      <c r="J1441" s="164"/>
    </row>
    <row r="1442" spans="3:10" x14ac:dyDescent="0.25">
      <c r="C1442" s="164"/>
      <c r="D1442" s="164"/>
      <c r="F1442" s="164"/>
      <c r="G1442" s="164"/>
      <c r="H1442" s="164"/>
      <c r="I1442" s="164"/>
      <c r="J1442" s="164"/>
    </row>
    <row r="1443" spans="3:10" x14ac:dyDescent="0.25">
      <c r="C1443" s="164"/>
      <c r="D1443" s="164"/>
      <c r="F1443" s="164"/>
      <c r="G1443" s="164"/>
      <c r="H1443" s="164"/>
      <c r="I1443" s="164"/>
      <c r="J1443" s="164"/>
    </row>
    <row r="1444" spans="3:10" x14ac:dyDescent="0.25">
      <c r="C1444" s="164"/>
      <c r="D1444" s="164"/>
      <c r="F1444" s="164"/>
      <c r="G1444" s="164"/>
      <c r="H1444" s="164"/>
      <c r="I1444" s="164"/>
      <c r="J1444" s="164"/>
    </row>
    <row r="1445" spans="3:10" x14ac:dyDescent="0.25">
      <c r="C1445" s="164"/>
      <c r="D1445" s="164"/>
      <c r="F1445" s="164"/>
      <c r="G1445" s="164"/>
      <c r="H1445" s="164"/>
      <c r="I1445" s="164"/>
      <c r="J1445" s="164"/>
    </row>
    <row r="1446" spans="3:10" x14ac:dyDescent="0.25">
      <c r="C1446" s="164"/>
      <c r="D1446" s="164"/>
      <c r="F1446" s="164"/>
      <c r="G1446" s="164"/>
      <c r="H1446" s="164"/>
      <c r="I1446" s="164"/>
      <c r="J1446" s="164"/>
    </row>
    <row r="1447" spans="3:10" x14ac:dyDescent="0.25">
      <c r="C1447" s="164"/>
      <c r="D1447" s="164"/>
      <c r="F1447" s="164"/>
      <c r="G1447" s="164"/>
      <c r="H1447" s="164"/>
      <c r="I1447" s="164"/>
      <c r="J1447" s="164"/>
    </row>
    <row r="1448" spans="3:10" x14ac:dyDescent="0.25">
      <c r="C1448" s="164"/>
      <c r="D1448" s="164"/>
      <c r="F1448" s="164"/>
      <c r="G1448" s="164"/>
      <c r="H1448" s="164"/>
      <c r="I1448" s="164"/>
      <c r="J1448" s="164"/>
    </row>
    <row r="1449" spans="3:10" x14ac:dyDescent="0.25">
      <c r="C1449" s="164"/>
      <c r="D1449" s="164"/>
      <c r="F1449" s="164"/>
      <c r="G1449" s="164"/>
      <c r="H1449" s="164"/>
      <c r="I1449" s="164"/>
      <c r="J1449" s="164"/>
    </row>
    <row r="1450" spans="3:10" x14ac:dyDescent="0.25">
      <c r="C1450" s="164"/>
      <c r="D1450" s="164"/>
      <c r="F1450" s="164"/>
      <c r="G1450" s="164"/>
      <c r="H1450" s="164"/>
      <c r="I1450" s="164"/>
      <c r="J1450" s="164"/>
    </row>
    <row r="1451" spans="3:10" x14ac:dyDescent="0.25">
      <c r="C1451" s="164"/>
      <c r="D1451" s="164"/>
      <c r="F1451" s="164"/>
      <c r="G1451" s="164"/>
      <c r="H1451" s="164"/>
      <c r="I1451" s="164"/>
      <c r="J1451" s="164"/>
    </row>
    <row r="1452" spans="3:10" x14ac:dyDescent="0.25">
      <c r="C1452" s="164"/>
      <c r="D1452" s="164"/>
      <c r="F1452" s="164"/>
      <c r="G1452" s="164"/>
      <c r="H1452" s="164"/>
      <c r="I1452" s="164"/>
      <c r="J1452" s="164"/>
    </row>
    <row r="1453" spans="3:10" x14ac:dyDescent="0.25">
      <c r="C1453" s="164"/>
      <c r="D1453" s="164"/>
      <c r="F1453" s="164"/>
      <c r="G1453" s="164"/>
      <c r="H1453" s="164"/>
      <c r="I1453" s="164"/>
      <c r="J1453" s="164"/>
    </row>
    <row r="1454" spans="3:10" x14ac:dyDescent="0.25">
      <c r="C1454" s="164"/>
      <c r="D1454" s="164"/>
      <c r="F1454" s="164"/>
      <c r="G1454" s="164"/>
      <c r="H1454" s="164"/>
      <c r="I1454" s="164"/>
      <c r="J1454" s="164"/>
    </row>
    <row r="1455" spans="3:10" x14ac:dyDescent="0.25">
      <c r="C1455" s="164"/>
      <c r="D1455" s="164"/>
      <c r="F1455" s="164"/>
      <c r="G1455" s="164"/>
      <c r="H1455" s="164"/>
      <c r="I1455" s="164"/>
      <c r="J1455" s="164"/>
    </row>
    <row r="1456" spans="3:10" x14ac:dyDescent="0.25">
      <c r="C1456" s="164"/>
      <c r="D1456" s="164"/>
      <c r="F1456" s="164"/>
      <c r="G1456" s="164"/>
      <c r="H1456" s="164"/>
      <c r="I1456" s="164"/>
      <c r="J1456" s="164"/>
    </row>
    <row r="1457" spans="3:10" x14ac:dyDescent="0.25">
      <c r="C1457" s="164"/>
      <c r="D1457" s="164"/>
      <c r="F1457" s="164"/>
      <c r="G1457" s="164"/>
      <c r="H1457" s="164"/>
      <c r="I1457" s="164"/>
      <c r="J1457" s="164"/>
    </row>
    <row r="1458" spans="3:10" x14ac:dyDescent="0.25">
      <c r="C1458" s="164"/>
      <c r="D1458" s="164"/>
      <c r="F1458" s="164"/>
      <c r="G1458" s="164"/>
      <c r="H1458" s="164"/>
      <c r="I1458" s="164"/>
      <c r="J1458" s="164"/>
    </row>
    <row r="1459" spans="3:10" x14ac:dyDescent="0.25">
      <c r="C1459" s="164"/>
      <c r="D1459" s="164"/>
      <c r="F1459" s="164"/>
      <c r="G1459" s="164"/>
      <c r="H1459" s="164"/>
      <c r="I1459" s="164"/>
      <c r="J1459" s="164"/>
    </row>
    <row r="1460" spans="3:10" x14ac:dyDescent="0.25">
      <c r="C1460" s="164"/>
      <c r="D1460" s="164"/>
      <c r="F1460" s="164"/>
      <c r="G1460" s="164"/>
      <c r="H1460" s="164"/>
      <c r="I1460" s="164"/>
      <c r="J1460" s="164"/>
    </row>
    <row r="1461" spans="3:10" x14ac:dyDescent="0.25">
      <c r="C1461" s="164"/>
      <c r="D1461" s="164"/>
      <c r="F1461" s="164"/>
      <c r="G1461" s="164"/>
      <c r="H1461" s="164"/>
      <c r="I1461" s="164"/>
      <c r="J1461" s="164"/>
    </row>
    <row r="1462" spans="3:10" x14ac:dyDescent="0.25">
      <c r="C1462" s="164"/>
      <c r="D1462" s="164"/>
      <c r="F1462" s="164"/>
      <c r="G1462" s="164"/>
      <c r="H1462" s="164"/>
      <c r="I1462" s="164"/>
      <c r="J1462" s="164"/>
    </row>
    <row r="1463" spans="3:10" x14ac:dyDescent="0.25">
      <c r="C1463" s="164"/>
      <c r="D1463" s="164"/>
      <c r="F1463" s="164"/>
      <c r="G1463" s="164"/>
      <c r="H1463" s="164"/>
      <c r="I1463" s="164"/>
      <c r="J1463" s="164"/>
    </row>
    <row r="1464" spans="3:10" x14ac:dyDescent="0.25">
      <c r="C1464" s="164"/>
      <c r="D1464" s="164"/>
      <c r="F1464" s="164"/>
      <c r="G1464" s="164"/>
      <c r="H1464" s="164"/>
      <c r="I1464" s="164"/>
      <c r="J1464" s="164"/>
    </row>
    <row r="1465" spans="3:10" x14ac:dyDescent="0.25">
      <c r="C1465" s="164"/>
      <c r="D1465" s="164"/>
      <c r="F1465" s="164"/>
      <c r="G1465" s="164"/>
      <c r="H1465" s="164"/>
      <c r="I1465" s="164"/>
      <c r="J1465" s="164"/>
    </row>
    <row r="1466" spans="3:10" x14ac:dyDescent="0.25">
      <c r="C1466" s="164"/>
      <c r="D1466" s="164"/>
      <c r="F1466" s="164"/>
      <c r="G1466" s="164"/>
      <c r="H1466" s="164"/>
      <c r="I1466" s="164"/>
      <c r="J1466" s="164"/>
    </row>
    <row r="1467" spans="3:10" x14ac:dyDescent="0.25">
      <c r="C1467" s="164"/>
      <c r="D1467" s="164"/>
      <c r="F1467" s="164"/>
      <c r="G1467" s="164"/>
      <c r="H1467" s="164"/>
      <c r="I1467" s="164"/>
      <c r="J1467" s="164"/>
    </row>
    <row r="1468" spans="3:10" x14ac:dyDescent="0.25">
      <c r="C1468" s="164"/>
      <c r="D1468" s="164"/>
      <c r="F1468" s="164"/>
      <c r="G1468" s="164"/>
      <c r="H1468" s="164"/>
      <c r="I1468" s="164"/>
      <c r="J1468" s="164"/>
    </row>
    <row r="1469" spans="3:10" x14ac:dyDescent="0.25">
      <c r="C1469" s="164"/>
      <c r="D1469" s="164"/>
      <c r="F1469" s="164"/>
      <c r="G1469" s="164"/>
      <c r="H1469" s="164"/>
      <c r="I1469" s="164"/>
      <c r="J1469" s="164"/>
    </row>
    <row r="1470" spans="3:10" x14ac:dyDescent="0.25">
      <c r="C1470" s="164"/>
      <c r="D1470" s="164"/>
      <c r="F1470" s="164"/>
      <c r="G1470" s="164"/>
      <c r="H1470" s="164"/>
      <c r="I1470" s="164"/>
      <c r="J1470" s="164"/>
    </row>
    <row r="1471" spans="3:10" x14ac:dyDescent="0.25">
      <c r="C1471" s="164"/>
      <c r="D1471" s="164"/>
      <c r="F1471" s="164"/>
      <c r="G1471" s="164"/>
      <c r="H1471" s="164"/>
      <c r="I1471" s="164"/>
      <c r="J1471" s="164"/>
    </row>
    <row r="1472" spans="3:10" x14ac:dyDescent="0.25">
      <c r="C1472" s="164"/>
      <c r="D1472" s="164"/>
      <c r="F1472" s="164"/>
      <c r="G1472" s="164"/>
      <c r="H1472" s="164"/>
      <c r="I1472" s="164"/>
      <c r="J1472" s="164"/>
    </row>
    <row r="1473" spans="3:10" x14ac:dyDescent="0.25">
      <c r="C1473" s="164"/>
      <c r="D1473" s="164"/>
      <c r="F1473" s="164"/>
      <c r="G1473" s="164"/>
      <c r="H1473" s="164"/>
      <c r="I1473" s="164"/>
      <c r="J1473" s="164"/>
    </row>
    <row r="1474" spans="3:10" x14ac:dyDescent="0.25">
      <c r="C1474" s="164"/>
      <c r="D1474" s="164"/>
      <c r="F1474" s="164"/>
      <c r="G1474" s="164"/>
      <c r="H1474" s="164"/>
      <c r="I1474" s="164"/>
      <c r="J1474" s="164"/>
    </row>
    <row r="1475" spans="3:10" x14ac:dyDescent="0.25">
      <c r="C1475" s="164"/>
      <c r="D1475" s="164"/>
      <c r="F1475" s="164"/>
      <c r="G1475" s="164"/>
      <c r="H1475" s="164"/>
      <c r="I1475" s="164"/>
      <c r="J1475" s="164"/>
    </row>
    <row r="1476" spans="3:10" x14ac:dyDescent="0.25">
      <c r="C1476" s="164"/>
      <c r="D1476" s="164"/>
      <c r="F1476" s="164"/>
      <c r="G1476" s="164"/>
      <c r="H1476" s="164"/>
      <c r="I1476" s="164"/>
      <c r="J1476" s="164"/>
    </row>
    <row r="1477" spans="3:10" x14ac:dyDescent="0.25">
      <c r="C1477" s="164"/>
      <c r="D1477" s="164"/>
      <c r="F1477" s="164"/>
      <c r="G1477" s="164"/>
      <c r="H1477" s="164"/>
      <c r="I1477" s="164"/>
      <c r="J1477" s="164"/>
    </row>
    <row r="1478" spans="3:10" x14ac:dyDescent="0.25">
      <c r="C1478" s="164"/>
      <c r="D1478" s="164"/>
      <c r="F1478" s="164"/>
      <c r="G1478" s="164"/>
      <c r="H1478" s="164"/>
      <c r="I1478" s="164"/>
      <c r="J1478" s="164"/>
    </row>
    <row r="1479" spans="3:10" x14ac:dyDescent="0.25">
      <c r="C1479" s="164"/>
      <c r="D1479" s="164"/>
      <c r="F1479" s="164"/>
      <c r="G1479" s="164"/>
      <c r="H1479" s="164"/>
      <c r="I1479" s="164"/>
      <c r="J1479" s="164"/>
    </row>
    <row r="1480" spans="3:10" x14ac:dyDescent="0.25">
      <c r="C1480" s="164"/>
      <c r="D1480" s="164"/>
      <c r="F1480" s="164"/>
      <c r="G1480" s="164"/>
      <c r="H1480" s="164"/>
      <c r="I1480" s="164"/>
      <c r="J1480" s="164"/>
    </row>
    <row r="1481" spans="3:10" x14ac:dyDescent="0.25">
      <c r="C1481" s="164"/>
      <c r="D1481" s="164"/>
      <c r="F1481" s="164"/>
      <c r="G1481" s="164"/>
      <c r="H1481" s="164"/>
      <c r="I1481" s="164"/>
      <c r="J1481" s="164"/>
    </row>
    <row r="1482" spans="3:10" x14ac:dyDescent="0.25">
      <c r="C1482" s="164"/>
      <c r="D1482" s="164"/>
      <c r="F1482" s="164"/>
      <c r="G1482" s="164"/>
      <c r="H1482" s="164"/>
      <c r="I1482" s="164"/>
      <c r="J1482" s="164"/>
    </row>
    <row r="1483" spans="3:10" x14ac:dyDescent="0.25">
      <c r="C1483" s="164"/>
      <c r="D1483" s="164"/>
      <c r="F1483" s="164"/>
      <c r="G1483" s="164"/>
      <c r="H1483" s="164"/>
      <c r="I1483" s="164"/>
      <c r="J1483" s="164"/>
    </row>
    <row r="1484" spans="3:10" x14ac:dyDescent="0.25">
      <c r="C1484" s="164"/>
      <c r="D1484" s="164"/>
      <c r="F1484" s="164"/>
      <c r="G1484" s="164"/>
      <c r="H1484" s="164"/>
      <c r="I1484" s="164"/>
      <c r="J1484" s="164"/>
    </row>
    <row r="1485" spans="3:10" x14ac:dyDescent="0.25">
      <c r="C1485" s="164"/>
      <c r="D1485" s="164"/>
      <c r="F1485" s="164"/>
      <c r="G1485" s="164"/>
      <c r="H1485" s="164"/>
      <c r="I1485" s="164"/>
      <c r="J1485" s="164"/>
    </row>
    <row r="1486" spans="3:10" x14ac:dyDescent="0.25">
      <c r="C1486" s="164"/>
      <c r="D1486" s="164"/>
      <c r="F1486" s="164"/>
      <c r="G1486" s="164"/>
      <c r="H1486" s="164"/>
      <c r="I1486" s="164"/>
      <c r="J1486" s="164"/>
    </row>
    <row r="1487" spans="3:10" x14ac:dyDescent="0.25">
      <c r="C1487" s="164"/>
      <c r="D1487" s="164"/>
      <c r="F1487" s="164"/>
      <c r="G1487" s="164"/>
      <c r="H1487" s="164"/>
      <c r="I1487" s="164"/>
      <c r="J1487" s="164"/>
    </row>
    <row r="1488" spans="3:10" x14ac:dyDescent="0.25">
      <c r="C1488" s="164"/>
      <c r="D1488" s="164"/>
      <c r="F1488" s="164"/>
      <c r="G1488" s="164"/>
      <c r="H1488" s="164"/>
      <c r="I1488" s="164"/>
      <c r="J1488" s="164"/>
    </row>
    <row r="1489" spans="3:10" x14ac:dyDescent="0.25">
      <c r="C1489" s="164"/>
      <c r="D1489" s="164"/>
      <c r="F1489" s="164"/>
      <c r="G1489" s="164"/>
      <c r="H1489" s="164"/>
      <c r="I1489" s="164"/>
      <c r="J1489" s="164"/>
    </row>
    <row r="1490" spans="3:10" x14ac:dyDescent="0.25">
      <c r="C1490" s="164"/>
      <c r="D1490" s="164"/>
      <c r="F1490" s="164"/>
      <c r="G1490" s="164"/>
      <c r="H1490" s="164"/>
      <c r="I1490" s="164"/>
      <c r="J1490" s="164"/>
    </row>
    <row r="1491" spans="3:10" x14ac:dyDescent="0.25">
      <c r="C1491" s="164"/>
      <c r="D1491" s="164"/>
      <c r="F1491" s="164"/>
      <c r="G1491" s="164"/>
      <c r="H1491" s="164"/>
      <c r="I1491" s="164"/>
      <c r="J1491" s="164"/>
    </row>
    <row r="1492" spans="3:10" x14ac:dyDescent="0.25">
      <c r="C1492" s="164"/>
      <c r="D1492" s="164"/>
      <c r="F1492" s="164"/>
      <c r="G1492" s="164"/>
      <c r="H1492" s="164"/>
      <c r="I1492" s="164"/>
      <c r="J1492" s="164"/>
    </row>
    <row r="1493" spans="3:10" x14ac:dyDescent="0.25">
      <c r="C1493" s="164"/>
      <c r="D1493" s="164"/>
      <c r="F1493" s="164"/>
      <c r="G1493" s="164"/>
      <c r="H1493" s="164"/>
      <c r="I1493" s="164"/>
      <c r="J1493" s="164"/>
    </row>
    <row r="1494" spans="3:10" x14ac:dyDescent="0.25">
      <c r="C1494" s="164"/>
      <c r="D1494" s="164"/>
      <c r="F1494" s="164"/>
      <c r="G1494" s="164"/>
      <c r="H1494" s="164"/>
      <c r="I1494" s="164"/>
      <c r="J1494" s="164"/>
    </row>
    <row r="1495" spans="3:10" x14ac:dyDescent="0.25">
      <c r="C1495" s="164"/>
      <c r="D1495" s="164"/>
      <c r="F1495" s="164"/>
      <c r="G1495" s="164"/>
      <c r="H1495" s="164"/>
      <c r="I1495" s="164"/>
      <c r="J1495" s="164"/>
    </row>
    <row r="1496" spans="3:10" x14ac:dyDescent="0.25">
      <c r="C1496" s="164"/>
      <c r="D1496" s="164"/>
      <c r="F1496" s="164"/>
      <c r="G1496" s="164"/>
      <c r="H1496" s="164"/>
      <c r="I1496" s="164"/>
      <c r="J1496" s="164"/>
    </row>
    <row r="1497" spans="3:10" x14ac:dyDescent="0.25">
      <c r="C1497" s="164"/>
      <c r="D1497" s="164"/>
      <c r="F1497" s="164"/>
      <c r="G1497" s="164"/>
      <c r="H1497" s="164"/>
      <c r="I1497" s="164"/>
      <c r="J1497" s="164"/>
    </row>
    <row r="1498" spans="3:10" x14ac:dyDescent="0.25">
      <c r="C1498" s="164"/>
      <c r="D1498" s="164"/>
      <c r="F1498" s="164"/>
      <c r="G1498" s="164"/>
      <c r="H1498" s="164"/>
      <c r="I1498" s="164"/>
      <c r="J1498" s="164"/>
    </row>
    <row r="1499" spans="3:10" x14ac:dyDescent="0.25">
      <c r="C1499" s="164"/>
      <c r="D1499" s="164"/>
      <c r="F1499" s="164"/>
      <c r="G1499" s="164"/>
      <c r="H1499" s="164"/>
      <c r="I1499" s="164"/>
      <c r="J1499" s="164"/>
    </row>
    <row r="1500" spans="3:10" x14ac:dyDescent="0.25">
      <c r="C1500" s="164"/>
      <c r="D1500" s="164"/>
      <c r="F1500" s="164"/>
      <c r="G1500" s="164"/>
      <c r="H1500" s="164"/>
      <c r="I1500" s="164"/>
      <c r="J1500" s="164"/>
    </row>
    <row r="1501" spans="3:10" x14ac:dyDescent="0.25">
      <c r="C1501" s="164"/>
      <c r="D1501" s="164"/>
      <c r="F1501" s="164"/>
      <c r="G1501" s="164"/>
      <c r="H1501" s="164"/>
      <c r="I1501" s="164"/>
      <c r="J1501" s="164"/>
    </row>
    <row r="1502" spans="3:10" x14ac:dyDescent="0.25">
      <c r="C1502" s="164"/>
      <c r="D1502" s="164"/>
      <c r="F1502" s="164"/>
      <c r="G1502" s="164"/>
      <c r="H1502" s="164"/>
      <c r="I1502" s="164"/>
      <c r="J1502" s="164"/>
    </row>
    <row r="1503" spans="3:10" x14ac:dyDescent="0.25">
      <c r="C1503" s="164"/>
      <c r="D1503" s="164"/>
      <c r="F1503" s="164"/>
      <c r="G1503" s="164"/>
      <c r="H1503" s="164"/>
      <c r="I1503" s="164"/>
      <c r="J1503" s="164"/>
    </row>
    <row r="1504" spans="3:10" x14ac:dyDescent="0.25">
      <c r="C1504" s="164"/>
      <c r="D1504" s="164"/>
      <c r="F1504" s="164"/>
      <c r="G1504" s="164"/>
      <c r="H1504" s="164"/>
      <c r="I1504" s="164"/>
      <c r="J1504" s="164"/>
    </row>
    <row r="1505" spans="3:10" x14ac:dyDescent="0.25">
      <c r="C1505" s="164"/>
      <c r="D1505" s="164"/>
      <c r="F1505" s="164"/>
      <c r="G1505" s="164"/>
      <c r="H1505" s="164"/>
      <c r="I1505" s="164"/>
      <c r="J1505" s="164"/>
    </row>
    <row r="1506" spans="3:10" x14ac:dyDescent="0.25">
      <c r="C1506" s="164"/>
      <c r="D1506" s="164"/>
      <c r="F1506" s="164"/>
      <c r="G1506" s="164"/>
      <c r="H1506" s="164"/>
      <c r="I1506" s="164"/>
      <c r="J1506" s="164"/>
    </row>
    <row r="1507" spans="3:10" x14ac:dyDescent="0.25">
      <c r="C1507" s="164"/>
      <c r="D1507" s="164"/>
      <c r="F1507" s="164"/>
      <c r="G1507" s="164"/>
      <c r="H1507" s="164"/>
      <c r="I1507" s="164"/>
      <c r="J1507" s="164"/>
    </row>
    <row r="1508" spans="3:10" x14ac:dyDescent="0.25">
      <c r="C1508" s="164"/>
      <c r="D1508" s="164"/>
      <c r="F1508" s="164"/>
      <c r="G1508" s="164"/>
      <c r="H1508" s="164"/>
      <c r="I1508" s="164"/>
      <c r="J1508" s="164"/>
    </row>
    <row r="1509" spans="3:10" x14ac:dyDescent="0.25">
      <c r="C1509" s="164"/>
      <c r="D1509" s="164"/>
      <c r="F1509" s="164"/>
      <c r="G1509" s="164"/>
      <c r="H1509" s="164"/>
      <c r="I1509" s="164"/>
      <c r="J1509" s="164"/>
    </row>
    <row r="1510" spans="3:10" x14ac:dyDescent="0.25">
      <c r="C1510" s="164"/>
      <c r="D1510" s="164"/>
      <c r="F1510" s="164"/>
      <c r="G1510" s="164"/>
      <c r="H1510" s="164"/>
      <c r="I1510" s="164"/>
      <c r="J1510" s="164"/>
    </row>
    <row r="1511" spans="3:10" x14ac:dyDescent="0.25">
      <c r="C1511" s="164"/>
      <c r="D1511" s="164"/>
      <c r="F1511" s="164"/>
      <c r="G1511" s="164"/>
      <c r="H1511" s="164"/>
      <c r="I1511" s="164"/>
      <c r="J1511" s="164"/>
    </row>
    <row r="1512" spans="3:10" x14ac:dyDescent="0.25">
      <c r="C1512" s="164"/>
      <c r="D1512" s="164"/>
      <c r="F1512" s="164"/>
      <c r="G1512" s="164"/>
      <c r="H1512" s="164"/>
      <c r="I1512" s="164"/>
      <c r="J1512" s="164"/>
    </row>
    <row r="1513" spans="3:10" x14ac:dyDescent="0.25">
      <c r="C1513" s="164"/>
      <c r="D1513" s="164"/>
      <c r="F1513" s="164"/>
      <c r="G1513" s="164"/>
      <c r="H1513" s="164"/>
      <c r="I1513" s="164"/>
      <c r="J1513" s="164"/>
    </row>
    <row r="1514" spans="3:10" x14ac:dyDescent="0.25">
      <c r="C1514" s="164"/>
      <c r="D1514" s="164"/>
      <c r="F1514" s="164"/>
      <c r="G1514" s="164"/>
      <c r="H1514" s="164"/>
      <c r="I1514" s="164"/>
      <c r="J1514" s="164"/>
    </row>
    <row r="1515" spans="3:10" x14ac:dyDescent="0.25">
      <c r="C1515" s="164"/>
      <c r="D1515" s="164"/>
      <c r="F1515" s="164"/>
      <c r="G1515" s="164"/>
      <c r="H1515" s="164"/>
      <c r="I1515" s="164"/>
      <c r="J1515" s="164"/>
    </row>
    <row r="1516" spans="3:10" x14ac:dyDescent="0.25">
      <c r="C1516" s="164"/>
      <c r="D1516" s="164"/>
      <c r="F1516" s="164"/>
      <c r="G1516" s="164"/>
      <c r="H1516" s="164"/>
      <c r="I1516" s="164"/>
      <c r="J1516" s="164"/>
    </row>
    <row r="1517" spans="3:10" x14ac:dyDescent="0.25">
      <c r="C1517" s="164"/>
      <c r="D1517" s="164"/>
      <c r="F1517" s="164"/>
      <c r="G1517" s="164"/>
      <c r="H1517" s="164"/>
      <c r="I1517" s="164"/>
      <c r="J1517" s="164"/>
    </row>
    <row r="1518" spans="3:10" x14ac:dyDescent="0.25">
      <c r="C1518" s="164"/>
      <c r="D1518" s="164"/>
      <c r="F1518" s="164"/>
      <c r="G1518" s="164"/>
      <c r="H1518" s="164"/>
      <c r="I1518" s="164"/>
      <c r="J1518" s="164"/>
    </row>
    <row r="1519" spans="3:10" x14ac:dyDescent="0.25">
      <c r="C1519" s="164"/>
      <c r="D1519" s="164"/>
      <c r="F1519" s="164"/>
      <c r="G1519" s="164"/>
      <c r="H1519" s="164"/>
      <c r="I1519" s="164"/>
      <c r="J1519" s="164"/>
    </row>
    <row r="1520" spans="3:10" x14ac:dyDescent="0.25">
      <c r="C1520" s="164"/>
      <c r="D1520" s="164"/>
      <c r="F1520" s="164"/>
      <c r="G1520" s="164"/>
      <c r="H1520" s="164"/>
      <c r="I1520" s="164"/>
      <c r="J1520" s="164"/>
    </row>
    <row r="1521" spans="3:10" x14ac:dyDescent="0.25">
      <c r="C1521" s="164"/>
      <c r="D1521" s="164"/>
      <c r="F1521" s="164"/>
      <c r="G1521" s="164"/>
      <c r="H1521" s="164"/>
      <c r="I1521" s="164"/>
      <c r="J1521" s="164"/>
    </row>
    <row r="1522" spans="3:10" x14ac:dyDescent="0.25">
      <c r="C1522" s="164"/>
      <c r="D1522" s="164"/>
      <c r="F1522" s="164"/>
      <c r="G1522" s="164"/>
      <c r="H1522" s="164"/>
      <c r="I1522" s="164"/>
      <c r="J1522" s="164"/>
    </row>
    <row r="1523" spans="3:10" x14ac:dyDescent="0.25">
      <c r="C1523" s="164"/>
      <c r="D1523" s="164"/>
      <c r="F1523" s="164"/>
      <c r="G1523" s="164"/>
      <c r="H1523" s="164"/>
      <c r="I1523" s="164"/>
      <c r="J1523" s="164"/>
    </row>
    <row r="1524" spans="3:10" x14ac:dyDescent="0.25">
      <c r="C1524" s="164"/>
      <c r="D1524" s="164"/>
      <c r="F1524" s="164"/>
      <c r="G1524" s="164"/>
      <c r="H1524" s="164"/>
      <c r="I1524" s="164"/>
      <c r="J1524" s="164"/>
    </row>
    <row r="1525" spans="3:10" x14ac:dyDescent="0.25">
      <c r="C1525" s="164"/>
      <c r="D1525" s="164"/>
      <c r="F1525" s="164"/>
      <c r="G1525" s="164"/>
      <c r="H1525" s="164"/>
      <c r="I1525" s="164"/>
      <c r="J1525" s="164"/>
    </row>
    <row r="1526" spans="3:10" x14ac:dyDescent="0.25">
      <c r="C1526" s="164"/>
      <c r="D1526" s="164"/>
      <c r="F1526" s="164"/>
      <c r="G1526" s="164"/>
      <c r="H1526" s="164"/>
      <c r="I1526" s="164"/>
      <c r="J1526" s="164"/>
    </row>
    <row r="1527" spans="3:10" x14ac:dyDescent="0.25">
      <c r="C1527" s="164"/>
      <c r="D1527" s="164"/>
      <c r="F1527" s="164"/>
      <c r="G1527" s="164"/>
      <c r="H1527" s="164"/>
      <c r="I1527" s="164"/>
      <c r="J1527" s="164"/>
    </row>
    <row r="1528" spans="3:10" x14ac:dyDescent="0.25">
      <c r="C1528" s="164"/>
      <c r="D1528" s="164"/>
      <c r="F1528" s="164"/>
      <c r="G1528" s="164"/>
      <c r="H1528" s="164"/>
      <c r="I1528" s="164"/>
      <c r="J1528" s="164"/>
    </row>
    <row r="1529" spans="3:10" x14ac:dyDescent="0.25">
      <c r="C1529" s="164"/>
      <c r="D1529" s="164"/>
      <c r="F1529" s="164"/>
      <c r="G1529" s="164"/>
      <c r="H1529" s="164"/>
      <c r="I1529" s="164"/>
      <c r="J1529" s="164"/>
    </row>
    <row r="1530" spans="3:10" x14ac:dyDescent="0.25">
      <c r="C1530" s="164"/>
      <c r="D1530" s="164"/>
      <c r="F1530" s="164"/>
      <c r="G1530" s="164"/>
      <c r="H1530" s="164"/>
      <c r="I1530" s="164"/>
      <c r="J1530" s="164"/>
    </row>
    <row r="1531" spans="3:10" x14ac:dyDescent="0.25">
      <c r="C1531" s="164"/>
      <c r="D1531" s="164"/>
      <c r="F1531" s="164"/>
      <c r="G1531" s="164"/>
      <c r="H1531" s="164"/>
      <c r="I1531" s="164"/>
      <c r="J1531" s="164"/>
    </row>
    <row r="1532" spans="3:10" x14ac:dyDescent="0.25">
      <c r="C1532" s="164"/>
      <c r="D1532" s="164"/>
      <c r="F1532" s="164"/>
      <c r="G1532" s="164"/>
      <c r="H1532" s="164"/>
      <c r="I1532" s="164"/>
      <c r="J1532" s="164"/>
    </row>
    <row r="1533" spans="3:10" x14ac:dyDescent="0.25">
      <c r="C1533" s="164"/>
      <c r="D1533" s="164"/>
      <c r="F1533" s="164"/>
      <c r="G1533" s="164"/>
      <c r="H1533" s="164"/>
      <c r="I1533" s="164"/>
      <c r="J1533" s="164"/>
    </row>
    <row r="1534" spans="3:10" x14ac:dyDescent="0.25">
      <c r="C1534" s="164"/>
      <c r="D1534" s="164"/>
      <c r="F1534" s="164"/>
      <c r="G1534" s="164"/>
      <c r="H1534" s="164"/>
      <c r="I1534" s="164"/>
      <c r="J1534" s="164"/>
    </row>
    <row r="1535" spans="3:10" x14ac:dyDescent="0.25">
      <c r="C1535" s="164"/>
      <c r="D1535" s="164"/>
      <c r="F1535" s="164"/>
      <c r="G1535" s="164"/>
      <c r="H1535" s="164"/>
      <c r="I1535" s="164"/>
      <c r="J1535" s="164"/>
    </row>
    <row r="1536" spans="3:10" x14ac:dyDescent="0.25">
      <c r="C1536" s="164"/>
      <c r="D1536" s="164"/>
      <c r="F1536" s="164"/>
      <c r="G1536" s="164"/>
      <c r="H1536" s="164"/>
      <c r="I1536" s="164"/>
      <c r="J1536" s="164"/>
    </row>
    <row r="1537" spans="3:10" x14ac:dyDescent="0.25">
      <c r="C1537" s="164"/>
      <c r="D1537" s="164"/>
      <c r="F1537" s="164"/>
      <c r="G1537" s="164"/>
      <c r="H1537" s="164"/>
      <c r="I1537" s="164"/>
      <c r="J1537" s="164"/>
    </row>
    <row r="1538" spans="3:10" x14ac:dyDescent="0.25">
      <c r="C1538" s="164"/>
      <c r="D1538" s="164"/>
      <c r="F1538" s="164"/>
      <c r="G1538" s="164"/>
      <c r="H1538" s="164"/>
      <c r="I1538" s="164"/>
      <c r="J1538" s="164"/>
    </row>
    <row r="1539" spans="3:10" x14ac:dyDescent="0.25">
      <c r="C1539" s="164"/>
      <c r="D1539" s="164"/>
      <c r="F1539" s="164"/>
      <c r="G1539" s="164"/>
      <c r="H1539" s="164"/>
      <c r="I1539" s="164"/>
      <c r="J1539" s="164"/>
    </row>
    <row r="1540" spans="3:10" x14ac:dyDescent="0.25">
      <c r="C1540" s="164"/>
      <c r="D1540" s="164"/>
      <c r="F1540" s="164"/>
      <c r="G1540" s="164"/>
      <c r="H1540" s="164"/>
      <c r="I1540" s="164"/>
      <c r="J1540" s="164"/>
    </row>
    <row r="1541" spans="3:10" x14ac:dyDescent="0.25">
      <c r="C1541" s="164"/>
      <c r="D1541" s="164"/>
      <c r="F1541" s="164"/>
      <c r="G1541" s="164"/>
      <c r="H1541" s="164"/>
      <c r="I1541" s="164"/>
      <c r="J1541" s="164"/>
    </row>
    <row r="1542" spans="3:10" x14ac:dyDescent="0.25">
      <c r="C1542" s="164"/>
      <c r="D1542" s="164"/>
      <c r="F1542" s="164"/>
      <c r="G1542" s="164"/>
      <c r="H1542" s="164"/>
      <c r="I1542" s="164"/>
      <c r="J1542" s="164"/>
    </row>
    <row r="1543" spans="3:10" x14ac:dyDescent="0.25">
      <c r="C1543" s="164"/>
      <c r="D1543" s="164"/>
      <c r="F1543" s="164"/>
      <c r="G1543" s="164"/>
      <c r="H1543" s="164"/>
      <c r="I1543" s="164"/>
      <c r="J1543" s="164"/>
    </row>
    <row r="1544" spans="3:10" x14ac:dyDescent="0.25">
      <c r="C1544" s="164"/>
      <c r="D1544" s="164"/>
      <c r="F1544" s="164"/>
      <c r="G1544" s="164"/>
      <c r="H1544" s="164"/>
      <c r="I1544" s="164"/>
      <c r="J1544" s="164"/>
    </row>
    <row r="1545" spans="3:10" x14ac:dyDescent="0.25">
      <c r="C1545" s="164"/>
      <c r="D1545" s="164"/>
      <c r="F1545" s="164"/>
      <c r="G1545" s="164"/>
      <c r="H1545" s="164"/>
      <c r="I1545" s="164"/>
      <c r="J1545" s="164"/>
    </row>
    <row r="1546" spans="3:10" x14ac:dyDescent="0.25">
      <c r="C1546" s="164"/>
      <c r="D1546" s="164"/>
      <c r="F1546" s="164"/>
      <c r="G1546" s="164"/>
      <c r="H1546" s="164"/>
      <c r="I1546" s="164"/>
      <c r="J1546" s="164"/>
    </row>
    <row r="1547" spans="3:10" x14ac:dyDescent="0.25">
      <c r="C1547" s="164"/>
      <c r="D1547" s="164"/>
      <c r="F1547" s="164"/>
      <c r="G1547" s="164"/>
      <c r="H1547" s="164"/>
      <c r="I1547" s="164"/>
      <c r="J1547" s="164"/>
    </row>
    <row r="1548" spans="3:10" x14ac:dyDescent="0.25">
      <c r="C1548" s="164"/>
      <c r="D1548" s="164"/>
      <c r="F1548" s="164"/>
      <c r="G1548" s="164"/>
      <c r="H1548" s="164"/>
      <c r="I1548" s="164"/>
      <c r="J1548" s="164"/>
    </row>
    <row r="1549" spans="3:10" x14ac:dyDescent="0.25">
      <c r="C1549" s="164"/>
      <c r="D1549" s="164"/>
      <c r="F1549" s="164"/>
      <c r="G1549" s="164"/>
      <c r="H1549" s="164"/>
      <c r="I1549" s="164"/>
      <c r="J1549" s="164"/>
    </row>
    <row r="1550" spans="3:10" x14ac:dyDescent="0.25">
      <c r="C1550" s="164"/>
      <c r="D1550" s="164"/>
      <c r="F1550" s="164"/>
      <c r="G1550" s="164"/>
      <c r="H1550" s="164"/>
      <c r="I1550" s="164"/>
      <c r="J1550" s="164"/>
    </row>
    <row r="1551" spans="3:10" x14ac:dyDescent="0.25">
      <c r="C1551" s="164"/>
      <c r="D1551" s="164"/>
      <c r="F1551" s="164"/>
      <c r="G1551" s="164"/>
      <c r="H1551" s="164"/>
      <c r="I1551" s="164"/>
      <c r="J1551" s="164"/>
    </row>
    <row r="1552" spans="3:10" x14ac:dyDescent="0.25">
      <c r="C1552" s="164"/>
      <c r="D1552" s="164"/>
      <c r="F1552" s="164"/>
      <c r="G1552" s="164"/>
      <c r="H1552" s="164"/>
      <c r="I1552" s="164"/>
      <c r="J1552" s="164"/>
    </row>
    <row r="1553" spans="3:10" x14ac:dyDescent="0.25">
      <c r="C1553" s="164"/>
      <c r="D1553" s="164"/>
      <c r="F1553" s="164"/>
      <c r="G1553" s="164"/>
      <c r="H1553" s="164"/>
      <c r="I1553" s="164"/>
      <c r="J1553" s="164"/>
    </row>
    <row r="1554" spans="3:10" x14ac:dyDescent="0.25">
      <c r="C1554" s="164"/>
      <c r="D1554" s="164"/>
      <c r="F1554" s="164"/>
      <c r="G1554" s="164"/>
      <c r="H1554" s="164"/>
      <c r="I1554" s="164"/>
      <c r="J1554" s="164"/>
    </row>
    <row r="1555" spans="3:10" x14ac:dyDescent="0.25">
      <c r="C1555" s="164"/>
      <c r="D1555" s="164"/>
      <c r="F1555" s="164"/>
      <c r="G1555" s="164"/>
      <c r="H1555" s="164"/>
      <c r="I1555" s="164"/>
      <c r="J1555" s="164"/>
    </row>
    <row r="1556" spans="3:10" x14ac:dyDescent="0.25">
      <c r="C1556" s="164"/>
      <c r="D1556" s="164"/>
      <c r="F1556" s="164"/>
      <c r="G1556" s="164"/>
      <c r="H1556" s="164"/>
      <c r="I1556" s="164"/>
      <c r="J1556" s="164"/>
    </row>
    <row r="1557" spans="3:10" x14ac:dyDescent="0.25">
      <c r="C1557" s="164"/>
      <c r="D1557" s="164"/>
      <c r="F1557" s="164"/>
      <c r="G1557" s="164"/>
      <c r="H1557" s="164"/>
      <c r="I1557" s="164"/>
      <c r="J1557" s="164"/>
    </row>
    <row r="1558" spans="3:10" x14ac:dyDescent="0.25">
      <c r="C1558" s="164"/>
      <c r="D1558" s="164"/>
      <c r="F1558" s="164"/>
      <c r="G1558" s="164"/>
      <c r="H1558" s="164"/>
      <c r="I1558" s="164"/>
      <c r="J1558" s="164"/>
    </row>
    <row r="1559" spans="3:10" x14ac:dyDescent="0.25">
      <c r="C1559" s="164"/>
      <c r="D1559" s="164"/>
      <c r="F1559" s="164"/>
      <c r="G1559" s="164"/>
      <c r="H1559" s="164"/>
      <c r="I1559" s="164"/>
      <c r="J1559" s="164"/>
    </row>
    <row r="1560" spans="3:10" x14ac:dyDescent="0.25">
      <c r="C1560" s="164"/>
      <c r="D1560" s="164"/>
      <c r="F1560" s="164"/>
      <c r="G1560" s="164"/>
      <c r="H1560" s="164"/>
      <c r="I1560" s="164"/>
      <c r="J1560" s="164"/>
    </row>
    <row r="1561" spans="3:10" x14ac:dyDescent="0.25">
      <c r="C1561" s="164"/>
      <c r="D1561" s="164"/>
      <c r="F1561" s="164"/>
      <c r="G1561" s="164"/>
      <c r="H1561" s="164"/>
      <c r="I1561" s="164"/>
      <c r="J1561" s="164"/>
    </row>
    <row r="1562" spans="3:10" x14ac:dyDescent="0.25">
      <c r="C1562" s="164"/>
      <c r="D1562" s="164"/>
      <c r="F1562" s="164"/>
      <c r="G1562" s="164"/>
      <c r="H1562" s="164"/>
      <c r="I1562" s="164"/>
      <c r="J1562" s="164"/>
    </row>
    <row r="1563" spans="3:10" x14ac:dyDescent="0.25">
      <c r="C1563" s="164"/>
      <c r="D1563" s="164"/>
      <c r="F1563" s="164"/>
      <c r="G1563" s="164"/>
      <c r="H1563" s="164"/>
      <c r="I1563" s="164"/>
      <c r="J1563" s="164"/>
    </row>
    <row r="1564" spans="3:10" x14ac:dyDescent="0.25">
      <c r="C1564" s="164"/>
      <c r="D1564" s="164"/>
      <c r="F1564" s="164"/>
      <c r="G1564" s="164"/>
      <c r="H1564" s="164"/>
      <c r="I1564" s="164"/>
      <c r="J1564" s="164"/>
    </row>
    <row r="1565" spans="3:10" x14ac:dyDescent="0.25">
      <c r="C1565" s="164"/>
      <c r="D1565" s="164"/>
      <c r="F1565" s="164"/>
      <c r="G1565" s="164"/>
      <c r="H1565" s="164"/>
      <c r="I1565" s="164"/>
      <c r="J1565" s="164"/>
    </row>
    <row r="1566" spans="3:10" x14ac:dyDescent="0.25">
      <c r="C1566" s="164"/>
      <c r="D1566" s="164"/>
      <c r="F1566" s="164"/>
      <c r="G1566" s="164"/>
      <c r="H1566" s="164"/>
      <c r="I1566" s="164"/>
      <c r="J1566" s="164"/>
    </row>
    <row r="1567" spans="3:10" x14ac:dyDescent="0.25">
      <c r="C1567" s="164"/>
      <c r="D1567" s="164"/>
      <c r="F1567" s="164"/>
      <c r="G1567" s="164"/>
      <c r="H1567" s="164"/>
      <c r="I1567" s="164"/>
      <c r="J1567" s="164"/>
    </row>
    <row r="1568" spans="3:10" x14ac:dyDescent="0.25">
      <c r="C1568" s="164"/>
      <c r="D1568" s="164"/>
      <c r="F1568" s="164"/>
      <c r="G1568" s="164"/>
      <c r="H1568" s="164"/>
      <c r="I1568" s="164"/>
      <c r="J1568" s="164"/>
    </row>
    <row r="1569" spans="3:10" x14ac:dyDescent="0.25">
      <c r="C1569" s="164"/>
      <c r="D1569" s="164"/>
      <c r="F1569" s="164"/>
      <c r="G1569" s="164"/>
      <c r="H1569" s="164"/>
      <c r="I1569" s="164"/>
      <c r="J1569" s="164"/>
    </row>
    <row r="1570" spans="3:10" x14ac:dyDescent="0.25">
      <c r="C1570" s="164"/>
      <c r="D1570" s="164"/>
      <c r="F1570" s="164"/>
      <c r="G1570" s="164"/>
      <c r="H1570" s="164"/>
      <c r="I1570" s="164"/>
      <c r="J1570" s="164"/>
    </row>
    <row r="1571" spans="3:10" x14ac:dyDescent="0.25">
      <c r="C1571" s="164"/>
      <c r="D1571" s="164"/>
      <c r="F1571" s="164"/>
      <c r="G1571" s="164"/>
      <c r="H1571" s="164"/>
      <c r="I1571" s="164"/>
      <c r="J1571" s="164"/>
    </row>
    <row r="1572" spans="3:10" x14ac:dyDescent="0.25">
      <c r="C1572" s="164"/>
      <c r="D1572" s="164"/>
      <c r="F1572" s="164"/>
      <c r="G1572" s="164"/>
      <c r="H1572" s="164"/>
      <c r="I1572" s="164"/>
      <c r="J1572" s="164"/>
    </row>
    <row r="1573" spans="3:10" x14ac:dyDescent="0.25">
      <c r="C1573" s="164"/>
      <c r="D1573" s="164"/>
      <c r="F1573" s="164"/>
      <c r="G1573" s="164"/>
      <c r="H1573" s="164"/>
      <c r="I1573" s="164"/>
      <c r="J1573" s="164"/>
    </row>
    <row r="1574" spans="3:10" x14ac:dyDescent="0.25">
      <c r="C1574" s="164"/>
      <c r="D1574" s="164"/>
      <c r="F1574" s="164"/>
      <c r="G1574" s="164"/>
      <c r="H1574" s="164"/>
      <c r="I1574" s="164"/>
      <c r="J1574" s="164"/>
    </row>
    <row r="1575" spans="3:10" x14ac:dyDescent="0.25">
      <c r="C1575" s="164"/>
      <c r="D1575" s="164"/>
      <c r="F1575" s="164"/>
      <c r="G1575" s="164"/>
      <c r="H1575" s="164"/>
      <c r="I1575" s="164"/>
      <c r="J1575" s="164"/>
    </row>
    <row r="1576" spans="3:10" x14ac:dyDescent="0.25">
      <c r="C1576" s="164"/>
      <c r="D1576" s="164"/>
      <c r="F1576" s="164"/>
      <c r="G1576" s="164"/>
      <c r="H1576" s="164"/>
      <c r="I1576" s="164"/>
      <c r="J1576" s="164"/>
    </row>
    <row r="1577" spans="3:10" x14ac:dyDescent="0.25">
      <c r="C1577" s="164"/>
      <c r="D1577" s="164"/>
      <c r="F1577" s="164"/>
      <c r="G1577" s="164"/>
      <c r="H1577" s="164"/>
      <c r="I1577" s="164"/>
      <c r="J1577" s="164"/>
    </row>
    <row r="1578" spans="3:10" x14ac:dyDescent="0.25">
      <c r="C1578" s="164"/>
      <c r="D1578" s="164"/>
      <c r="F1578" s="164"/>
      <c r="G1578" s="164"/>
      <c r="H1578" s="164"/>
      <c r="I1578" s="164"/>
      <c r="J1578" s="164"/>
    </row>
    <row r="1579" spans="3:10" x14ac:dyDescent="0.25">
      <c r="C1579" s="164"/>
      <c r="D1579" s="164"/>
      <c r="F1579" s="164"/>
      <c r="G1579" s="164"/>
      <c r="H1579" s="164"/>
      <c r="I1579" s="164"/>
      <c r="J1579" s="164"/>
    </row>
    <row r="1580" spans="3:10" x14ac:dyDescent="0.25">
      <c r="C1580" s="164"/>
      <c r="D1580" s="164"/>
      <c r="F1580" s="164"/>
      <c r="G1580" s="164"/>
      <c r="H1580" s="164"/>
      <c r="I1580" s="164"/>
      <c r="J1580" s="164"/>
    </row>
    <row r="1581" spans="3:10" x14ac:dyDescent="0.25">
      <c r="C1581" s="164"/>
      <c r="D1581" s="164"/>
      <c r="F1581" s="164"/>
      <c r="G1581" s="164"/>
      <c r="H1581" s="164"/>
      <c r="I1581" s="164"/>
      <c r="J1581" s="164"/>
    </row>
    <row r="1582" spans="3:10" x14ac:dyDescent="0.25">
      <c r="C1582" s="164"/>
      <c r="D1582" s="164"/>
      <c r="F1582" s="164"/>
      <c r="G1582" s="164"/>
      <c r="H1582" s="164"/>
      <c r="I1582" s="164"/>
      <c r="J1582" s="164"/>
    </row>
    <row r="1583" spans="3:10" x14ac:dyDescent="0.25">
      <c r="C1583" s="164"/>
      <c r="D1583" s="164"/>
      <c r="F1583" s="164"/>
      <c r="G1583" s="164"/>
      <c r="H1583" s="164"/>
      <c r="I1583" s="164"/>
      <c r="J1583" s="164"/>
    </row>
    <row r="1584" spans="3:10" x14ac:dyDescent="0.25">
      <c r="C1584" s="164"/>
      <c r="D1584" s="164"/>
      <c r="F1584" s="164"/>
      <c r="G1584" s="164"/>
      <c r="H1584" s="164"/>
      <c r="I1584" s="164"/>
      <c r="J1584" s="164"/>
    </row>
    <row r="1585" spans="3:10" x14ac:dyDescent="0.25">
      <c r="C1585" s="164"/>
      <c r="D1585" s="164"/>
      <c r="F1585" s="164"/>
      <c r="G1585" s="164"/>
      <c r="H1585" s="164"/>
      <c r="I1585" s="164"/>
      <c r="J1585" s="164"/>
    </row>
    <row r="1586" spans="3:10" x14ac:dyDescent="0.25">
      <c r="C1586" s="164"/>
      <c r="D1586" s="164"/>
      <c r="F1586" s="164"/>
      <c r="G1586" s="164"/>
      <c r="H1586" s="164"/>
      <c r="I1586" s="164"/>
      <c r="J1586" s="164"/>
    </row>
    <row r="1587" spans="3:10" x14ac:dyDescent="0.25">
      <c r="C1587" s="164"/>
      <c r="D1587" s="164"/>
      <c r="F1587" s="164"/>
      <c r="G1587" s="164"/>
      <c r="H1587" s="164"/>
      <c r="I1587" s="164"/>
      <c r="J1587" s="164"/>
    </row>
    <row r="1588" spans="3:10" x14ac:dyDescent="0.25">
      <c r="C1588" s="164"/>
      <c r="D1588" s="164"/>
      <c r="F1588" s="164"/>
      <c r="G1588" s="164"/>
      <c r="H1588" s="164"/>
      <c r="I1588" s="164"/>
      <c r="J1588" s="164"/>
    </row>
    <row r="1589" spans="3:10" x14ac:dyDescent="0.25">
      <c r="C1589" s="164"/>
      <c r="D1589" s="164"/>
      <c r="F1589" s="164"/>
      <c r="G1589" s="164"/>
      <c r="H1589" s="164"/>
      <c r="I1589" s="164"/>
      <c r="J1589" s="164"/>
    </row>
    <row r="1590" spans="3:10" x14ac:dyDescent="0.25">
      <c r="C1590" s="164"/>
      <c r="D1590" s="164"/>
      <c r="F1590" s="164"/>
      <c r="G1590" s="164"/>
      <c r="H1590" s="164"/>
      <c r="I1590" s="164"/>
      <c r="J1590" s="164"/>
    </row>
    <row r="1591" spans="3:10" x14ac:dyDescent="0.25">
      <c r="C1591" s="164"/>
      <c r="D1591" s="164"/>
      <c r="F1591" s="164"/>
      <c r="G1591" s="164"/>
      <c r="H1591" s="164"/>
      <c r="I1591" s="164"/>
      <c r="J1591" s="164"/>
    </row>
    <row r="1592" spans="3:10" x14ac:dyDescent="0.25">
      <c r="C1592" s="164"/>
      <c r="D1592" s="164"/>
      <c r="F1592" s="164"/>
      <c r="G1592" s="164"/>
      <c r="H1592" s="164"/>
      <c r="I1592" s="164"/>
      <c r="J1592" s="164"/>
    </row>
    <row r="1593" spans="3:10" x14ac:dyDescent="0.25">
      <c r="C1593" s="164"/>
      <c r="D1593" s="164"/>
      <c r="F1593" s="164"/>
      <c r="G1593" s="164"/>
      <c r="H1593" s="164"/>
      <c r="I1593" s="164"/>
      <c r="J1593" s="164"/>
    </row>
    <row r="1594" spans="3:10" x14ac:dyDescent="0.25">
      <c r="C1594" s="164"/>
      <c r="D1594" s="164"/>
      <c r="F1594" s="164"/>
      <c r="G1594" s="164"/>
      <c r="H1594" s="164"/>
      <c r="I1594" s="164"/>
      <c r="J1594" s="164"/>
    </row>
    <row r="1595" spans="3:10" x14ac:dyDescent="0.25">
      <c r="C1595" s="164"/>
      <c r="D1595" s="164"/>
      <c r="F1595" s="164"/>
      <c r="G1595" s="164"/>
      <c r="H1595" s="164"/>
      <c r="I1595" s="164"/>
      <c r="J1595" s="164"/>
    </row>
    <row r="1596" spans="3:10" x14ac:dyDescent="0.25">
      <c r="C1596" s="164"/>
      <c r="D1596" s="164"/>
      <c r="F1596" s="164"/>
      <c r="G1596" s="164"/>
      <c r="H1596" s="164"/>
      <c r="I1596" s="164"/>
      <c r="J1596" s="164"/>
    </row>
    <row r="1597" spans="3:10" x14ac:dyDescent="0.25">
      <c r="C1597" s="164"/>
      <c r="D1597" s="164"/>
      <c r="F1597" s="164"/>
      <c r="G1597" s="164"/>
      <c r="H1597" s="164"/>
      <c r="I1597" s="164"/>
      <c r="J1597" s="164"/>
    </row>
    <row r="1598" spans="3:10" x14ac:dyDescent="0.25">
      <c r="C1598" s="164"/>
      <c r="D1598" s="164"/>
      <c r="F1598" s="164"/>
      <c r="G1598" s="164"/>
      <c r="H1598" s="164"/>
      <c r="I1598" s="164"/>
      <c r="J1598" s="164"/>
    </row>
    <row r="1599" spans="3:10" x14ac:dyDescent="0.25">
      <c r="C1599" s="164"/>
      <c r="D1599" s="164"/>
      <c r="F1599" s="164"/>
      <c r="G1599" s="164"/>
      <c r="H1599" s="164"/>
      <c r="I1599" s="164"/>
      <c r="J1599" s="164"/>
    </row>
    <row r="1600" spans="3:10" x14ac:dyDescent="0.25">
      <c r="C1600" s="164"/>
      <c r="D1600" s="164"/>
      <c r="F1600" s="164"/>
      <c r="G1600" s="164"/>
      <c r="H1600" s="164"/>
      <c r="I1600" s="164"/>
      <c r="J1600" s="164"/>
    </row>
    <row r="1601" spans="3:10" x14ac:dyDescent="0.25">
      <c r="C1601" s="164"/>
      <c r="D1601" s="164"/>
      <c r="F1601" s="164"/>
      <c r="G1601" s="164"/>
      <c r="H1601" s="164"/>
      <c r="I1601" s="164"/>
      <c r="J1601" s="164"/>
    </row>
    <row r="1602" spans="3:10" x14ac:dyDescent="0.25">
      <c r="C1602" s="164"/>
      <c r="D1602" s="164"/>
      <c r="F1602" s="164"/>
      <c r="G1602" s="164"/>
      <c r="H1602" s="164"/>
      <c r="I1602" s="164"/>
      <c r="J1602" s="164"/>
    </row>
    <row r="1603" spans="3:10" x14ac:dyDescent="0.25">
      <c r="C1603" s="164"/>
      <c r="D1603" s="164"/>
      <c r="F1603" s="164"/>
      <c r="G1603" s="164"/>
      <c r="H1603" s="164"/>
      <c r="I1603" s="164"/>
      <c r="J1603" s="164"/>
    </row>
    <row r="1604" spans="3:10" x14ac:dyDescent="0.25">
      <c r="C1604" s="164"/>
      <c r="D1604" s="164"/>
      <c r="F1604" s="164"/>
      <c r="G1604" s="164"/>
      <c r="H1604" s="164"/>
      <c r="I1604" s="164"/>
      <c r="J1604" s="164"/>
    </row>
    <row r="1605" spans="3:10" x14ac:dyDescent="0.25">
      <c r="C1605" s="164"/>
      <c r="D1605" s="164"/>
      <c r="F1605" s="164"/>
      <c r="G1605" s="164"/>
      <c r="H1605" s="164"/>
      <c r="I1605" s="164"/>
      <c r="J1605" s="164"/>
    </row>
    <row r="1606" spans="3:10" x14ac:dyDescent="0.25">
      <c r="C1606" s="164"/>
      <c r="D1606" s="164"/>
      <c r="F1606" s="164"/>
      <c r="G1606" s="164"/>
      <c r="H1606" s="164"/>
      <c r="I1606" s="164"/>
      <c r="J1606" s="164"/>
    </row>
    <row r="1607" spans="3:10" x14ac:dyDescent="0.25">
      <c r="C1607" s="164"/>
      <c r="D1607" s="164"/>
      <c r="F1607" s="164"/>
      <c r="G1607" s="164"/>
      <c r="H1607" s="164"/>
      <c r="I1607" s="164"/>
      <c r="J1607" s="164"/>
    </row>
    <row r="1608" spans="3:10" x14ac:dyDescent="0.25">
      <c r="C1608" s="164"/>
      <c r="D1608" s="164"/>
      <c r="F1608" s="164"/>
      <c r="G1608" s="164"/>
      <c r="H1608" s="164"/>
      <c r="I1608" s="164"/>
      <c r="J1608" s="164"/>
    </row>
    <row r="1609" spans="3:10" x14ac:dyDescent="0.25">
      <c r="C1609" s="164"/>
      <c r="D1609" s="164"/>
      <c r="F1609" s="164"/>
      <c r="G1609" s="164"/>
      <c r="H1609" s="164"/>
      <c r="I1609" s="164"/>
      <c r="J1609" s="164"/>
    </row>
    <row r="1610" spans="3:10" x14ac:dyDescent="0.25">
      <c r="C1610" s="164"/>
      <c r="D1610" s="164"/>
      <c r="F1610" s="164"/>
      <c r="G1610" s="164"/>
      <c r="H1610" s="164"/>
      <c r="I1610" s="164"/>
      <c r="J1610" s="164"/>
    </row>
    <row r="1611" spans="3:10" x14ac:dyDescent="0.25">
      <c r="C1611" s="164"/>
      <c r="D1611" s="164"/>
      <c r="F1611" s="164"/>
      <c r="G1611" s="164"/>
      <c r="H1611" s="164"/>
      <c r="I1611" s="164"/>
      <c r="J1611" s="164"/>
    </row>
    <row r="1612" spans="3:10" x14ac:dyDescent="0.25">
      <c r="C1612" s="164"/>
      <c r="D1612" s="164"/>
      <c r="F1612" s="164"/>
      <c r="G1612" s="164"/>
      <c r="H1612" s="164"/>
      <c r="I1612" s="164"/>
      <c r="J1612" s="164"/>
    </row>
    <row r="1613" spans="3:10" x14ac:dyDescent="0.25">
      <c r="C1613" s="164"/>
      <c r="D1613" s="164"/>
      <c r="F1613" s="164"/>
      <c r="G1613" s="164"/>
      <c r="H1613" s="164"/>
      <c r="I1613" s="164"/>
      <c r="J1613" s="164"/>
    </row>
    <row r="1614" spans="3:10" x14ac:dyDescent="0.25">
      <c r="C1614" s="164"/>
      <c r="D1614" s="164"/>
      <c r="F1614" s="164"/>
      <c r="G1614" s="164"/>
      <c r="H1614" s="164"/>
      <c r="I1614" s="164"/>
      <c r="J1614" s="164"/>
    </row>
    <row r="1615" spans="3:10" x14ac:dyDescent="0.25">
      <c r="C1615" s="164"/>
      <c r="D1615" s="164"/>
      <c r="F1615" s="164"/>
      <c r="G1615" s="164"/>
      <c r="H1615" s="164"/>
      <c r="I1615" s="164"/>
      <c r="J1615" s="164"/>
    </row>
    <row r="1616" spans="3:10" x14ac:dyDescent="0.25">
      <c r="C1616" s="164"/>
      <c r="D1616" s="164"/>
      <c r="F1616" s="164"/>
      <c r="G1616" s="164"/>
      <c r="H1616" s="164"/>
      <c r="I1616" s="164"/>
      <c r="J1616" s="164"/>
    </row>
    <row r="1617" spans="3:10" x14ac:dyDescent="0.25">
      <c r="C1617" s="164"/>
      <c r="D1617" s="164"/>
      <c r="F1617" s="164"/>
      <c r="G1617" s="164"/>
      <c r="H1617" s="164"/>
      <c r="I1617" s="164"/>
      <c r="J1617" s="164"/>
    </row>
    <row r="1618" spans="3:10" x14ac:dyDescent="0.25">
      <c r="C1618" s="164"/>
      <c r="D1618" s="164"/>
      <c r="F1618" s="164"/>
      <c r="G1618" s="164"/>
      <c r="H1618" s="164"/>
      <c r="I1618" s="164"/>
      <c r="J1618" s="164"/>
    </row>
    <row r="1619" spans="3:10" x14ac:dyDescent="0.25">
      <c r="C1619" s="164"/>
      <c r="D1619" s="164"/>
      <c r="F1619" s="164"/>
      <c r="G1619" s="164"/>
      <c r="H1619" s="164"/>
      <c r="I1619" s="164"/>
      <c r="J1619" s="164"/>
    </row>
    <row r="1620" spans="3:10" x14ac:dyDescent="0.25">
      <c r="C1620" s="164"/>
      <c r="D1620" s="164"/>
      <c r="F1620" s="164"/>
      <c r="G1620" s="164"/>
      <c r="H1620" s="164"/>
      <c r="I1620" s="164"/>
      <c r="J1620" s="164"/>
    </row>
    <row r="1621" spans="3:10" x14ac:dyDescent="0.25">
      <c r="C1621" s="164"/>
      <c r="D1621" s="164"/>
      <c r="F1621" s="164"/>
      <c r="G1621" s="164"/>
      <c r="H1621" s="164"/>
      <c r="I1621" s="164"/>
      <c r="J1621" s="164"/>
    </row>
    <row r="1622" spans="3:10" x14ac:dyDescent="0.25">
      <c r="C1622" s="164"/>
      <c r="D1622" s="164"/>
      <c r="F1622" s="164"/>
      <c r="G1622" s="164"/>
      <c r="H1622" s="164"/>
      <c r="I1622" s="164"/>
      <c r="J1622" s="164"/>
    </row>
    <row r="1623" spans="3:10" x14ac:dyDescent="0.25">
      <c r="C1623" s="164"/>
      <c r="D1623" s="164"/>
      <c r="F1623" s="164"/>
      <c r="G1623" s="164"/>
      <c r="H1623" s="164"/>
      <c r="I1623" s="164"/>
      <c r="J1623" s="164"/>
    </row>
    <row r="1624" spans="3:10" x14ac:dyDescent="0.25">
      <c r="C1624" s="164"/>
      <c r="D1624" s="164"/>
      <c r="F1624" s="164"/>
      <c r="G1624" s="164"/>
      <c r="H1624" s="164"/>
      <c r="I1624" s="164"/>
      <c r="J1624" s="164"/>
    </row>
    <row r="1625" spans="3:10" x14ac:dyDescent="0.25">
      <c r="C1625" s="164"/>
      <c r="D1625" s="164"/>
      <c r="F1625" s="164"/>
      <c r="G1625" s="164"/>
      <c r="H1625" s="164"/>
      <c r="I1625" s="164"/>
      <c r="J1625" s="164"/>
    </row>
    <row r="1626" spans="3:10" x14ac:dyDescent="0.25">
      <c r="C1626" s="164"/>
      <c r="D1626" s="164"/>
      <c r="F1626" s="164"/>
      <c r="G1626" s="164"/>
      <c r="H1626" s="164"/>
      <c r="I1626" s="164"/>
      <c r="J1626" s="164"/>
    </row>
    <row r="1627" spans="3:10" x14ac:dyDescent="0.25">
      <c r="C1627" s="164"/>
      <c r="D1627" s="164"/>
      <c r="F1627" s="164"/>
      <c r="G1627" s="164"/>
      <c r="H1627" s="164"/>
      <c r="I1627" s="164"/>
      <c r="J1627" s="164"/>
    </row>
    <row r="1628" spans="3:10" x14ac:dyDescent="0.25">
      <c r="C1628" s="164"/>
      <c r="D1628" s="164"/>
      <c r="F1628" s="164"/>
      <c r="G1628" s="164"/>
      <c r="H1628" s="164"/>
      <c r="I1628" s="164"/>
      <c r="J1628" s="164"/>
    </row>
    <row r="1629" spans="3:10" x14ac:dyDescent="0.25">
      <c r="C1629" s="164"/>
      <c r="D1629" s="164"/>
      <c r="F1629" s="164"/>
      <c r="G1629" s="164"/>
      <c r="H1629" s="164"/>
      <c r="I1629" s="164"/>
      <c r="J1629" s="164"/>
    </row>
    <row r="1630" spans="3:10" x14ac:dyDescent="0.25">
      <c r="C1630" s="164"/>
      <c r="D1630" s="164"/>
      <c r="F1630" s="164"/>
      <c r="G1630" s="164"/>
      <c r="H1630" s="164"/>
      <c r="I1630" s="164"/>
      <c r="J1630" s="164"/>
    </row>
    <row r="1631" spans="3:10" x14ac:dyDescent="0.25">
      <c r="C1631" s="164"/>
      <c r="D1631" s="164"/>
      <c r="F1631" s="164"/>
      <c r="G1631" s="164"/>
      <c r="H1631" s="164"/>
      <c r="I1631" s="164"/>
      <c r="J1631" s="164"/>
    </row>
    <row r="1632" spans="3:10" x14ac:dyDescent="0.25">
      <c r="C1632" s="164"/>
      <c r="D1632" s="164"/>
      <c r="F1632" s="164"/>
      <c r="G1632" s="164"/>
      <c r="H1632" s="164"/>
      <c r="I1632" s="164"/>
      <c r="J1632" s="164"/>
    </row>
    <row r="1633" spans="3:10" x14ac:dyDescent="0.25">
      <c r="C1633" s="164"/>
      <c r="D1633" s="164"/>
      <c r="F1633" s="164"/>
      <c r="G1633" s="164"/>
      <c r="H1633" s="164"/>
      <c r="I1633" s="164"/>
      <c r="J1633" s="164"/>
    </row>
    <row r="1634" spans="3:10" x14ac:dyDescent="0.25">
      <c r="C1634" s="164"/>
      <c r="D1634" s="164"/>
      <c r="F1634" s="164"/>
      <c r="G1634" s="164"/>
      <c r="H1634" s="164"/>
      <c r="I1634" s="164"/>
      <c r="J1634" s="164"/>
    </row>
    <row r="1635" spans="3:10" x14ac:dyDescent="0.25">
      <c r="C1635" s="164"/>
      <c r="D1635" s="164"/>
      <c r="F1635" s="164"/>
      <c r="G1635" s="164"/>
      <c r="H1635" s="164"/>
      <c r="I1635" s="164"/>
      <c r="J1635" s="164"/>
    </row>
    <row r="1636" spans="3:10" x14ac:dyDescent="0.25">
      <c r="C1636" s="164"/>
      <c r="D1636" s="164"/>
      <c r="F1636" s="164"/>
      <c r="G1636" s="164"/>
      <c r="H1636" s="164"/>
      <c r="I1636" s="164"/>
      <c r="J1636" s="164"/>
    </row>
    <row r="1637" spans="3:10" x14ac:dyDescent="0.25">
      <c r="C1637" s="164"/>
      <c r="D1637" s="164"/>
      <c r="F1637" s="164"/>
      <c r="G1637" s="164"/>
      <c r="H1637" s="164"/>
      <c r="I1637" s="164"/>
      <c r="J1637" s="164"/>
    </row>
    <row r="1638" spans="3:10" x14ac:dyDescent="0.25">
      <c r="C1638" s="164"/>
      <c r="D1638" s="164"/>
      <c r="F1638" s="164"/>
      <c r="G1638" s="164"/>
      <c r="H1638" s="164"/>
      <c r="I1638" s="164"/>
      <c r="J1638" s="164"/>
    </row>
    <row r="1639" spans="3:10" x14ac:dyDescent="0.25">
      <c r="C1639" s="164"/>
      <c r="D1639" s="164"/>
      <c r="F1639" s="164"/>
      <c r="G1639" s="164"/>
      <c r="H1639" s="164"/>
      <c r="I1639" s="164"/>
      <c r="J1639" s="164"/>
    </row>
    <row r="1640" spans="3:10" x14ac:dyDescent="0.25">
      <c r="C1640" s="164"/>
      <c r="D1640" s="164"/>
      <c r="F1640" s="164"/>
      <c r="G1640" s="164"/>
      <c r="H1640" s="164"/>
      <c r="I1640" s="164"/>
      <c r="J1640" s="164"/>
    </row>
    <row r="1641" spans="3:10" x14ac:dyDescent="0.25">
      <c r="C1641" s="164"/>
      <c r="D1641" s="164"/>
      <c r="F1641" s="164"/>
      <c r="G1641" s="164"/>
      <c r="H1641" s="164"/>
      <c r="I1641" s="164"/>
      <c r="J1641" s="164"/>
    </row>
    <row r="1642" spans="3:10" x14ac:dyDescent="0.25">
      <c r="C1642" s="164"/>
      <c r="D1642" s="164"/>
      <c r="F1642" s="164"/>
      <c r="G1642" s="164"/>
      <c r="H1642" s="164"/>
      <c r="I1642" s="164"/>
      <c r="J1642" s="164"/>
    </row>
    <row r="1643" spans="3:10" x14ac:dyDescent="0.25">
      <c r="C1643" s="164"/>
      <c r="D1643" s="164"/>
      <c r="F1643" s="164"/>
      <c r="G1643" s="164"/>
      <c r="H1643" s="164"/>
      <c r="I1643" s="164"/>
      <c r="J1643" s="164"/>
    </row>
    <row r="1644" spans="3:10" x14ac:dyDescent="0.25">
      <c r="C1644" s="164"/>
      <c r="D1644" s="164"/>
      <c r="F1644" s="164"/>
      <c r="G1644" s="164"/>
      <c r="H1644" s="164"/>
      <c r="I1644" s="164"/>
      <c r="J1644" s="164"/>
    </row>
    <row r="1645" spans="3:10" x14ac:dyDescent="0.25">
      <c r="C1645" s="164"/>
      <c r="D1645" s="164"/>
      <c r="F1645" s="164"/>
      <c r="G1645" s="164"/>
      <c r="H1645" s="164"/>
      <c r="I1645" s="164"/>
      <c r="J1645" s="164"/>
    </row>
    <row r="1646" spans="3:10" x14ac:dyDescent="0.25">
      <c r="C1646" s="164"/>
      <c r="D1646" s="164"/>
      <c r="F1646" s="164"/>
      <c r="G1646" s="164"/>
      <c r="H1646" s="164"/>
      <c r="I1646" s="164"/>
      <c r="J1646" s="164"/>
    </row>
    <row r="1647" spans="3:10" x14ac:dyDescent="0.25">
      <c r="C1647" s="164"/>
      <c r="D1647" s="164"/>
      <c r="F1647" s="164"/>
      <c r="G1647" s="164"/>
      <c r="H1647" s="164"/>
      <c r="I1647" s="164"/>
      <c r="J1647" s="164"/>
    </row>
    <row r="1648" spans="3:10" x14ac:dyDescent="0.25">
      <c r="C1648" s="164"/>
      <c r="D1648" s="164"/>
      <c r="F1648" s="164"/>
      <c r="G1648" s="164"/>
      <c r="H1648" s="164"/>
      <c r="I1648" s="164"/>
      <c r="J1648" s="164"/>
    </row>
    <row r="1649" spans="3:10" x14ac:dyDescent="0.25">
      <c r="C1649" s="164"/>
      <c r="D1649" s="164"/>
      <c r="F1649" s="164"/>
      <c r="G1649" s="164"/>
      <c r="H1649" s="164"/>
      <c r="I1649" s="164"/>
      <c r="J1649" s="164"/>
    </row>
    <row r="1650" spans="3:10" x14ac:dyDescent="0.25">
      <c r="C1650" s="164"/>
      <c r="D1650" s="164"/>
      <c r="F1650" s="164"/>
      <c r="G1650" s="164"/>
      <c r="H1650" s="164"/>
      <c r="I1650" s="164"/>
      <c r="J1650" s="164"/>
    </row>
    <row r="1651" spans="3:10" x14ac:dyDescent="0.25">
      <c r="C1651" s="164"/>
      <c r="D1651" s="164"/>
      <c r="F1651" s="164"/>
      <c r="G1651" s="164"/>
      <c r="H1651" s="164"/>
      <c r="I1651" s="164"/>
      <c r="J1651" s="164"/>
    </row>
    <row r="1652" spans="3:10" x14ac:dyDescent="0.25">
      <c r="C1652" s="164"/>
      <c r="D1652" s="164"/>
      <c r="F1652" s="164"/>
      <c r="G1652" s="164"/>
      <c r="H1652" s="164"/>
      <c r="I1652" s="164"/>
      <c r="J1652" s="164"/>
    </row>
    <row r="1653" spans="3:10" x14ac:dyDescent="0.25">
      <c r="C1653" s="164"/>
      <c r="D1653" s="164"/>
      <c r="F1653" s="164"/>
      <c r="G1653" s="164"/>
      <c r="H1653" s="164"/>
      <c r="I1653" s="164"/>
      <c r="J1653" s="164"/>
    </row>
    <row r="1654" spans="3:10" x14ac:dyDescent="0.25">
      <c r="C1654" s="164"/>
      <c r="D1654" s="164"/>
      <c r="F1654" s="164"/>
      <c r="G1654" s="164"/>
      <c r="H1654" s="164"/>
      <c r="I1654" s="164"/>
      <c r="J1654" s="164"/>
    </row>
    <row r="1655" spans="3:10" x14ac:dyDescent="0.25">
      <c r="C1655" s="164"/>
      <c r="D1655" s="164"/>
      <c r="F1655" s="164"/>
      <c r="G1655" s="164"/>
      <c r="H1655" s="164"/>
      <c r="I1655" s="164"/>
      <c r="J1655" s="164"/>
    </row>
    <row r="1656" spans="3:10" x14ac:dyDescent="0.25">
      <c r="C1656" s="164"/>
      <c r="D1656" s="164"/>
      <c r="F1656" s="164"/>
      <c r="G1656" s="164"/>
      <c r="H1656" s="164"/>
      <c r="I1656" s="164"/>
      <c r="J1656" s="164"/>
    </row>
    <row r="1657" spans="3:10" x14ac:dyDescent="0.25">
      <c r="C1657" s="164"/>
      <c r="D1657" s="164"/>
      <c r="F1657" s="164"/>
      <c r="G1657" s="164"/>
      <c r="H1657" s="164"/>
      <c r="I1657" s="164"/>
      <c r="J1657" s="164"/>
    </row>
    <row r="1658" spans="3:10" x14ac:dyDescent="0.25">
      <c r="C1658" s="164"/>
      <c r="D1658" s="164"/>
      <c r="F1658" s="164"/>
      <c r="G1658" s="164"/>
      <c r="H1658" s="164"/>
      <c r="I1658" s="164"/>
      <c r="J1658" s="164"/>
    </row>
    <row r="1659" spans="3:10" x14ac:dyDescent="0.25">
      <c r="C1659" s="164"/>
      <c r="D1659" s="164"/>
      <c r="F1659" s="164"/>
      <c r="G1659" s="164"/>
      <c r="H1659" s="164"/>
      <c r="I1659" s="164"/>
      <c r="J1659" s="164"/>
    </row>
    <row r="1660" spans="3:10" x14ac:dyDescent="0.25">
      <c r="C1660" s="164"/>
      <c r="D1660" s="164"/>
      <c r="F1660" s="164"/>
      <c r="G1660" s="164"/>
      <c r="H1660" s="164"/>
      <c r="I1660" s="164"/>
      <c r="J1660" s="164"/>
    </row>
    <row r="1661" spans="3:10" x14ac:dyDescent="0.25">
      <c r="C1661" s="164"/>
      <c r="D1661" s="164"/>
      <c r="F1661" s="164"/>
      <c r="G1661" s="164"/>
      <c r="H1661" s="164"/>
      <c r="I1661" s="164"/>
      <c r="J1661" s="164"/>
    </row>
    <row r="1662" spans="3:10" x14ac:dyDescent="0.25">
      <c r="C1662" s="164"/>
      <c r="D1662" s="164"/>
      <c r="F1662" s="164"/>
      <c r="G1662" s="164"/>
      <c r="H1662" s="164"/>
      <c r="I1662" s="164"/>
      <c r="J1662" s="164"/>
    </row>
    <row r="1663" spans="3:10" x14ac:dyDescent="0.25">
      <c r="C1663" s="164"/>
      <c r="D1663" s="164"/>
      <c r="F1663" s="164"/>
      <c r="G1663" s="164"/>
      <c r="H1663" s="164"/>
      <c r="I1663" s="164"/>
      <c r="J1663" s="164"/>
    </row>
    <row r="1664" spans="3:10" x14ac:dyDescent="0.25">
      <c r="C1664" s="164"/>
      <c r="D1664" s="164"/>
      <c r="F1664" s="164"/>
      <c r="G1664" s="164"/>
      <c r="H1664" s="164"/>
      <c r="I1664" s="164"/>
      <c r="J1664" s="164"/>
    </row>
    <row r="1665" spans="3:10" x14ac:dyDescent="0.25">
      <c r="C1665" s="164"/>
      <c r="D1665" s="164"/>
      <c r="F1665" s="164"/>
      <c r="G1665" s="164"/>
      <c r="H1665" s="164"/>
      <c r="I1665" s="164"/>
      <c r="J1665" s="164"/>
    </row>
    <row r="1666" spans="3:10" x14ac:dyDescent="0.25">
      <c r="C1666" s="164"/>
      <c r="D1666" s="164"/>
      <c r="F1666" s="164"/>
      <c r="G1666" s="164"/>
      <c r="H1666" s="164"/>
      <c r="I1666" s="164"/>
      <c r="J1666" s="164"/>
    </row>
    <row r="1667" spans="3:10" x14ac:dyDescent="0.25">
      <c r="C1667" s="164"/>
      <c r="D1667" s="164"/>
      <c r="F1667" s="164"/>
      <c r="G1667" s="164"/>
      <c r="H1667" s="164"/>
      <c r="I1667" s="164"/>
      <c r="J1667" s="164"/>
    </row>
    <row r="1668" spans="3:10" x14ac:dyDescent="0.25">
      <c r="C1668" s="164"/>
      <c r="D1668" s="164"/>
      <c r="F1668" s="164"/>
      <c r="G1668" s="164"/>
      <c r="H1668" s="164"/>
      <c r="I1668" s="164"/>
      <c r="J1668" s="164"/>
    </row>
    <row r="1669" spans="3:10" x14ac:dyDescent="0.25">
      <c r="C1669" s="164"/>
      <c r="D1669" s="164"/>
      <c r="F1669" s="164"/>
      <c r="G1669" s="164"/>
      <c r="H1669" s="164"/>
      <c r="I1669" s="164"/>
      <c r="J1669" s="164"/>
    </row>
    <row r="1670" spans="3:10" x14ac:dyDescent="0.25">
      <c r="C1670" s="164"/>
      <c r="D1670" s="164"/>
      <c r="F1670" s="164"/>
      <c r="G1670" s="164"/>
      <c r="H1670" s="164"/>
      <c r="I1670" s="164"/>
      <c r="J1670" s="164"/>
    </row>
    <row r="1671" spans="3:10" x14ac:dyDescent="0.25">
      <c r="C1671" s="164"/>
      <c r="D1671" s="164"/>
      <c r="F1671" s="164"/>
      <c r="G1671" s="164"/>
      <c r="H1671" s="164"/>
      <c r="I1671" s="164"/>
      <c r="J1671" s="164"/>
    </row>
    <row r="1672" spans="3:10" x14ac:dyDescent="0.25">
      <c r="C1672" s="164"/>
      <c r="D1672" s="164"/>
      <c r="F1672" s="164"/>
      <c r="G1672" s="164"/>
      <c r="H1672" s="164"/>
      <c r="I1672" s="164"/>
      <c r="J1672" s="164"/>
    </row>
    <row r="1673" spans="3:10" x14ac:dyDescent="0.25">
      <c r="C1673" s="164"/>
      <c r="D1673" s="164"/>
      <c r="F1673" s="164"/>
      <c r="G1673" s="164"/>
      <c r="H1673" s="164"/>
      <c r="I1673" s="164"/>
      <c r="J1673" s="164"/>
    </row>
    <row r="1674" spans="3:10" x14ac:dyDescent="0.25">
      <c r="C1674" s="164"/>
      <c r="D1674" s="164"/>
      <c r="F1674" s="164"/>
      <c r="G1674" s="164"/>
      <c r="H1674" s="164"/>
      <c r="I1674" s="164"/>
      <c r="J1674" s="164"/>
    </row>
    <row r="1675" spans="3:10" x14ac:dyDescent="0.25">
      <c r="C1675" s="164"/>
      <c r="D1675" s="164"/>
      <c r="F1675" s="164"/>
      <c r="G1675" s="164"/>
      <c r="H1675" s="164"/>
      <c r="I1675" s="164"/>
      <c r="J1675" s="164"/>
    </row>
    <row r="1676" spans="3:10" x14ac:dyDescent="0.25">
      <c r="C1676" s="164"/>
      <c r="D1676" s="164"/>
      <c r="F1676" s="164"/>
      <c r="G1676" s="164"/>
      <c r="H1676" s="164"/>
      <c r="I1676" s="164"/>
      <c r="J1676" s="164"/>
    </row>
    <row r="1677" spans="3:10" x14ac:dyDescent="0.25">
      <c r="C1677" s="164"/>
      <c r="D1677" s="164"/>
      <c r="F1677" s="164"/>
      <c r="G1677" s="164"/>
      <c r="H1677" s="164"/>
      <c r="I1677" s="164"/>
      <c r="J1677" s="164"/>
    </row>
    <row r="1678" spans="3:10" x14ac:dyDescent="0.25">
      <c r="C1678" s="164"/>
      <c r="D1678" s="164"/>
      <c r="F1678" s="164"/>
      <c r="G1678" s="164"/>
      <c r="H1678" s="164"/>
      <c r="I1678" s="164"/>
      <c r="J1678" s="164"/>
    </row>
    <row r="1679" spans="3:10" x14ac:dyDescent="0.25">
      <c r="C1679" s="164"/>
      <c r="D1679" s="164"/>
      <c r="F1679" s="164"/>
      <c r="G1679" s="164"/>
      <c r="H1679" s="164"/>
      <c r="I1679" s="164"/>
      <c r="J1679" s="164"/>
    </row>
    <row r="1680" spans="3:10" x14ac:dyDescent="0.25">
      <c r="C1680" s="164"/>
      <c r="D1680" s="164"/>
      <c r="F1680" s="164"/>
      <c r="G1680" s="164"/>
      <c r="H1680" s="164"/>
      <c r="I1680" s="164"/>
      <c r="J1680" s="164"/>
    </row>
    <row r="1681" spans="3:10" x14ac:dyDescent="0.25">
      <c r="C1681" s="164"/>
      <c r="D1681" s="164"/>
      <c r="F1681" s="164"/>
      <c r="G1681" s="164"/>
      <c r="H1681" s="164"/>
      <c r="I1681" s="164"/>
      <c r="J1681" s="164"/>
    </row>
    <row r="1682" spans="3:10" x14ac:dyDescent="0.25">
      <c r="C1682" s="164"/>
      <c r="D1682" s="164"/>
      <c r="F1682" s="164"/>
      <c r="G1682" s="164"/>
      <c r="H1682" s="164"/>
      <c r="I1682" s="164"/>
      <c r="J1682" s="164"/>
    </row>
    <row r="1683" spans="3:10" x14ac:dyDescent="0.25">
      <c r="C1683" s="164"/>
      <c r="D1683" s="164"/>
      <c r="F1683" s="164"/>
      <c r="G1683" s="164"/>
      <c r="H1683" s="164"/>
      <c r="I1683" s="164"/>
      <c r="J1683" s="164"/>
    </row>
    <row r="1684" spans="3:10" x14ac:dyDescent="0.25">
      <c r="C1684" s="164"/>
      <c r="D1684" s="164"/>
      <c r="F1684" s="164"/>
      <c r="G1684" s="164"/>
      <c r="H1684" s="164"/>
      <c r="I1684" s="164"/>
      <c r="J1684" s="164"/>
    </row>
    <row r="1685" spans="3:10" x14ac:dyDescent="0.25">
      <c r="C1685" s="164"/>
      <c r="D1685" s="164"/>
      <c r="F1685" s="164"/>
      <c r="G1685" s="164"/>
      <c r="H1685" s="164"/>
      <c r="I1685" s="164"/>
      <c r="J1685" s="164"/>
    </row>
    <row r="1686" spans="3:10" x14ac:dyDescent="0.25">
      <c r="C1686" s="164"/>
      <c r="D1686" s="164"/>
      <c r="F1686" s="164"/>
      <c r="G1686" s="164"/>
      <c r="H1686" s="164"/>
      <c r="I1686" s="164"/>
      <c r="J1686" s="164"/>
    </row>
    <row r="1687" spans="3:10" x14ac:dyDescent="0.25">
      <c r="C1687" s="164"/>
      <c r="D1687" s="164"/>
      <c r="F1687" s="164"/>
      <c r="G1687" s="164"/>
      <c r="H1687" s="164"/>
      <c r="I1687" s="164"/>
      <c r="J1687" s="164"/>
    </row>
    <row r="1688" spans="3:10" x14ac:dyDescent="0.25">
      <c r="C1688" s="164"/>
      <c r="D1688" s="164"/>
      <c r="F1688" s="164"/>
      <c r="G1688" s="164"/>
      <c r="H1688" s="164"/>
      <c r="I1688" s="164"/>
      <c r="J1688" s="164"/>
    </row>
    <row r="1689" spans="3:10" x14ac:dyDescent="0.25">
      <c r="C1689" s="164"/>
      <c r="D1689" s="164"/>
      <c r="F1689" s="164"/>
      <c r="G1689" s="164"/>
      <c r="H1689" s="164"/>
      <c r="I1689" s="164"/>
      <c r="J1689" s="164"/>
    </row>
    <row r="1690" spans="3:10" x14ac:dyDescent="0.25">
      <c r="C1690" s="164"/>
      <c r="D1690" s="164"/>
      <c r="F1690" s="164"/>
      <c r="G1690" s="164"/>
      <c r="H1690" s="164"/>
      <c r="I1690" s="164"/>
      <c r="J1690" s="164"/>
    </row>
    <row r="1691" spans="3:10" x14ac:dyDescent="0.25">
      <c r="C1691" s="164"/>
      <c r="D1691" s="164"/>
      <c r="F1691" s="164"/>
      <c r="G1691" s="164"/>
      <c r="H1691" s="164"/>
      <c r="I1691" s="164"/>
      <c r="J1691" s="164"/>
    </row>
    <row r="1692" spans="3:10" x14ac:dyDescent="0.25">
      <c r="C1692" s="164"/>
      <c r="D1692" s="164"/>
      <c r="F1692" s="164"/>
      <c r="G1692" s="164"/>
      <c r="H1692" s="164"/>
      <c r="I1692" s="164"/>
      <c r="J1692" s="164"/>
    </row>
    <row r="1693" spans="3:10" x14ac:dyDescent="0.25">
      <c r="C1693" s="164"/>
      <c r="D1693" s="164"/>
      <c r="F1693" s="164"/>
      <c r="G1693" s="164"/>
      <c r="H1693" s="164"/>
      <c r="I1693" s="164"/>
      <c r="J1693" s="164"/>
    </row>
    <row r="1694" spans="3:10" x14ac:dyDescent="0.25">
      <c r="C1694" s="164"/>
      <c r="D1694" s="164"/>
      <c r="F1694" s="164"/>
      <c r="G1694" s="164"/>
      <c r="H1694" s="164"/>
      <c r="I1694" s="164"/>
      <c r="J1694" s="164"/>
    </row>
    <row r="1695" spans="3:10" x14ac:dyDescent="0.25">
      <c r="C1695" s="164"/>
      <c r="D1695" s="164"/>
      <c r="F1695" s="164"/>
      <c r="G1695" s="164"/>
      <c r="H1695" s="164"/>
      <c r="I1695" s="164"/>
      <c r="J1695" s="164"/>
    </row>
    <row r="1696" spans="3:10" x14ac:dyDescent="0.25">
      <c r="C1696" s="164"/>
      <c r="D1696" s="164"/>
      <c r="F1696" s="164"/>
      <c r="G1696" s="164"/>
      <c r="H1696" s="164"/>
      <c r="I1696" s="164"/>
      <c r="J1696" s="164"/>
    </row>
    <row r="1697" spans="3:10" x14ac:dyDescent="0.25">
      <c r="C1697" s="164"/>
      <c r="D1697" s="164"/>
      <c r="F1697" s="164"/>
      <c r="G1697" s="164"/>
      <c r="H1697" s="164"/>
      <c r="I1697" s="164"/>
      <c r="J1697" s="164"/>
    </row>
    <row r="1698" spans="3:10" x14ac:dyDescent="0.25">
      <c r="C1698" s="164"/>
      <c r="D1698" s="164"/>
      <c r="F1698" s="164"/>
      <c r="G1698" s="164"/>
      <c r="H1698" s="164"/>
      <c r="I1698" s="164"/>
      <c r="J1698" s="164"/>
    </row>
    <row r="1699" spans="3:10" x14ac:dyDescent="0.25">
      <c r="C1699" s="164"/>
      <c r="D1699" s="164"/>
      <c r="F1699" s="164"/>
      <c r="G1699" s="164"/>
      <c r="H1699" s="164"/>
      <c r="I1699" s="164"/>
      <c r="J1699" s="164"/>
    </row>
    <row r="1700" spans="3:10" x14ac:dyDescent="0.25">
      <c r="C1700" s="164"/>
      <c r="D1700" s="164"/>
      <c r="F1700" s="164"/>
      <c r="G1700" s="164"/>
      <c r="H1700" s="164"/>
      <c r="I1700" s="164"/>
      <c r="J1700" s="164"/>
    </row>
    <row r="1701" spans="3:10" x14ac:dyDescent="0.25">
      <c r="C1701" s="164"/>
      <c r="D1701" s="164"/>
      <c r="F1701" s="164"/>
      <c r="G1701" s="164"/>
      <c r="H1701" s="164"/>
      <c r="I1701" s="164"/>
      <c r="J1701" s="164"/>
    </row>
    <row r="1702" spans="3:10" x14ac:dyDescent="0.25">
      <c r="C1702" s="164"/>
      <c r="D1702" s="164"/>
      <c r="F1702" s="164"/>
      <c r="G1702" s="164"/>
      <c r="H1702" s="164"/>
      <c r="I1702" s="164"/>
      <c r="J1702" s="164"/>
    </row>
    <row r="1703" spans="3:10" x14ac:dyDescent="0.25">
      <c r="C1703" s="164"/>
      <c r="D1703" s="164"/>
      <c r="F1703" s="164"/>
      <c r="G1703" s="164"/>
      <c r="H1703" s="164"/>
      <c r="I1703" s="164"/>
      <c r="J1703" s="164"/>
    </row>
    <row r="1704" spans="3:10" x14ac:dyDescent="0.25">
      <c r="C1704" s="164"/>
      <c r="D1704" s="164"/>
      <c r="F1704" s="164"/>
      <c r="G1704" s="164"/>
      <c r="H1704" s="164"/>
      <c r="I1704" s="164"/>
      <c r="J1704" s="164"/>
    </row>
    <row r="1705" spans="3:10" x14ac:dyDescent="0.25">
      <c r="C1705" s="164"/>
      <c r="D1705" s="164"/>
      <c r="F1705" s="164"/>
      <c r="G1705" s="164"/>
      <c r="H1705" s="164"/>
      <c r="I1705" s="164"/>
      <c r="J1705" s="164"/>
    </row>
    <row r="1706" spans="3:10" x14ac:dyDescent="0.25">
      <c r="C1706" s="164"/>
      <c r="D1706" s="164"/>
      <c r="F1706" s="164"/>
      <c r="G1706" s="164"/>
      <c r="H1706" s="164"/>
      <c r="I1706" s="164"/>
      <c r="J1706" s="164"/>
    </row>
    <row r="1707" spans="3:10" x14ac:dyDescent="0.25">
      <c r="C1707" s="164"/>
      <c r="D1707" s="164"/>
      <c r="F1707" s="164"/>
      <c r="G1707" s="164"/>
      <c r="H1707" s="164"/>
      <c r="I1707" s="164"/>
      <c r="J1707" s="164"/>
    </row>
    <row r="1708" spans="3:10" x14ac:dyDescent="0.25">
      <c r="C1708" s="164"/>
      <c r="D1708" s="164"/>
      <c r="F1708" s="164"/>
      <c r="G1708" s="164"/>
      <c r="H1708" s="164"/>
      <c r="I1708" s="164"/>
      <c r="J1708" s="164"/>
    </row>
    <row r="1709" spans="3:10" x14ac:dyDescent="0.25">
      <c r="C1709" s="164"/>
      <c r="D1709" s="164"/>
      <c r="F1709" s="164"/>
      <c r="G1709" s="164"/>
      <c r="H1709" s="164"/>
      <c r="I1709" s="164"/>
      <c r="J1709" s="164"/>
    </row>
    <row r="1710" spans="3:10" x14ac:dyDescent="0.25">
      <c r="C1710" s="164"/>
      <c r="D1710" s="164"/>
      <c r="F1710" s="164"/>
      <c r="G1710" s="164"/>
      <c r="H1710" s="164"/>
      <c r="I1710" s="164"/>
      <c r="J1710" s="164"/>
    </row>
    <row r="1711" spans="3:10" x14ac:dyDescent="0.25">
      <c r="C1711" s="164"/>
      <c r="D1711" s="164"/>
      <c r="F1711" s="164"/>
      <c r="G1711" s="164"/>
      <c r="H1711" s="164"/>
      <c r="I1711" s="164"/>
      <c r="J1711" s="164"/>
    </row>
    <row r="1712" spans="3:10" x14ac:dyDescent="0.25">
      <c r="C1712" s="164"/>
      <c r="D1712" s="164"/>
      <c r="F1712" s="164"/>
      <c r="G1712" s="164"/>
      <c r="H1712" s="164"/>
      <c r="I1712" s="164"/>
      <c r="J1712" s="164"/>
    </row>
    <row r="1713" spans="3:10" x14ac:dyDescent="0.25">
      <c r="C1713" s="164"/>
      <c r="D1713" s="164"/>
      <c r="F1713" s="164"/>
      <c r="G1713" s="164"/>
      <c r="H1713" s="164"/>
      <c r="I1713" s="164"/>
      <c r="J1713" s="164"/>
    </row>
    <row r="1714" spans="3:10" x14ac:dyDescent="0.25">
      <c r="C1714" s="164"/>
      <c r="D1714" s="164"/>
      <c r="F1714" s="164"/>
      <c r="G1714" s="164"/>
      <c r="H1714" s="164"/>
      <c r="I1714" s="164"/>
      <c r="J1714" s="164"/>
    </row>
    <row r="1715" spans="3:10" x14ac:dyDescent="0.25">
      <c r="C1715" s="164"/>
      <c r="D1715" s="164"/>
      <c r="F1715" s="164"/>
      <c r="G1715" s="164"/>
      <c r="H1715" s="164"/>
      <c r="I1715" s="164"/>
      <c r="J1715" s="164"/>
    </row>
    <row r="1716" spans="3:10" x14ac:dyDescent="0.25">
      <c r="C1716" s="164"/>
      <c r="D1716" s="164"/>
      <c r="F1716" s="164"/>
      <c r="G1716" s="164"/>
      <c r="H1716" s="164"/>
      <c r="I1716" s="164"/>
      <c r="J1716" s="164"/>
    </row>
    <row r="1717" spans="3:10" x14ac:dyDescent="0.25">
      <c r="C1717" s="164"/>
      <c r="D1717" s="164"/>
      <c r="F1717" s="164"/>
      <c r="G1717" s="164"/>
      <c r="H1717" s="164"/>
      <c r="I1717" s="164"/>
      <c r="J1717" s="164"/>
    </row>
    <row r="1718" spans="3:10" x14ac:dyDescent="0.25">
      <c r="C1718" s="164"/>
      <c r="D1718" s="164"/>
      <c r="F1718" s="164"/>
      <c r="G1718" s="164"/>
      <c r="H1718" s="164"/>
      <c r="I1718" s="164"/>
      <c r="J1718" s="164"/>
    </row>
    <row r="1719" spans="3:10" x14ac:dyDescent="0.25">
      <c r="C1719" s="164"/>
      <c r="D1719" s="164"/>
      <c r="F1719" s="164"/>
      <c r="G1719" s="164"/>
      <c r="H1719" s="164"/>
      <c r="I1719" s="164"/>
      <c r="J1719" s="164"/>
    </row>
    <row r="1720" spans="3:10" x14ac:dyDescent="0.25">
      <c r="C1720" s="164"/>
      <c r="D1720" s="164"/>
      <c r="F1720" s="164"/>
      <c r="G1720" s="164"/>
      <c r="H1720" s="164"/>
      <c r="I1720" s="164"/>
      <c r="J1720" s="164"/>
    </row>
    <row r="1721" spans="3:10" x14ac:dyDescent="0.25">
      <c r="C1721" s="164"/>
      <c r="D1721" s="164"/>
      <c r="F1721" s="164"/>
      <c r="G1721" s="164"/>
      <c r="H1721" s="164"/>
      <c r="I1721" s="164"/>
      <c r="J1721" s="164"/>
    </row>
    <row r="1722" spans="3:10" x14ac:dyDescent="0.25">
      <c r="C1722" s="164"/>
      <c r="D1722" s="164"/>
      <c r="F1722" s="164"/>
      <c r="G1722" s="164"/>
      <c r="H1722" s="164"/>
      <c r="I1722" s="164"/>
      <c r="J1722" s="164"/>
    </row>
    <row r="1723" spans="3:10" x14ac:dyDescent="0.25">
      <c r="C1723" s="164"/>
      <c r="D1723" s="164"/>
      <c r="F1723" s="164"/>
      <c r="G1723" s="164"/>
      <c r="H1723" s="164"/>
      <c r="I1723" s="164"/>
      <c r="J1723" s="164"/>
    </row>
    <row r="1724" spans="3:10" x14ac:dyDescent="0.25">
      <c r="C1724" s="164"/>
      <c r="D1724" s="164"/>
      <c r="F1724" s="164"/>
      <c r="G1724" s="164"/>
      <c r="H1724" s="164"/>
      <c r="I1724" s="164"/>
      <c r="J1724" s="164"/>
    </row>
    <row r="1725" spans="3:10" x14ac:dyDescent="0.25">
      <c r="C1725" s="164"/>
      <c r="D1725" s="164"/>
      <c r="F1725" s="164"/>
      <c r="G1725" s="164"/>
      <c r="H1725" s="164"/>
      <c r="I1725" s="164"/>
      <c r="J1725" s="164"/>
    </row>
    <row r="1726" spans="3:10" x14ac:dyDescent="0.25">
      <c r="C1726" s="164"/>
      <c r="D1726" s="164"/>
      <c r="F1726" s="164"/>
      <c r="G1726" s="164"/>
      <c r="H1726" s="164"/>
      <c r="I1726" s="164"/>
      <c r="J1726" s="164"/>
    </row>
    <row r="1727" spans="3:10" x14ac:dyDescent="0.25">
      <c r="C1727" s="164"/>
      <c r="D1727" s="164"/>
      <c r="F1727" s="164"/>
      <c r="G1727" s="164"/>
      <c r="H1727" s="164"/>
      <c r="I1727" s="164"/>
      <c r="J1727" s="164"/>
    </row>
    <row r="1728" spans="3:10" x14ac:dyDescent="0.25">
      <c r="C1728" s="164"/>
      <c r="D1728" s="164"/>
      <c r="F1728" s="164"/>
      <c r="G1728" s="164"/>
      <c r="H1728" s="164"/>
      <c r="I1728" s="164"/>
      <c r="J1728" s="164"/>
    </row>
    <row r="1729" spans="3:10" x14ac:dyDescent="0.25">
      <c r="C1729" s="164"/>
      <c r="D1729" s="164"/>
      <c r="F1729" s="164"/>
      <c r="G1729" s="164"/>
      <c r="H1729" s="164"/>
      <c r="I1729" s="164"/>
      <c r="J1729" s="164"/>
    </row>
    <row r="1730" spans="3:10" x14ac:dyDescent="0.25">
      <c r="C1730" s="164"/>
      <c r="D1730" s="164"/>
      <c r="F1730" s="164"/>
      <c r="G1730" s="164"/>
      <c r="H1730" s="164"/>
      <c r="I1730" s="164"/>
      <c r="J1730" s="164"/>
    </row>
    <row r="1731" spans="3:10" x14ac:dyDescent="0.25">
      <c r="C1731" s="164"/>
      <c r="D1731" s="164"/>
      <c r="F1731" s="164"/>
      <c r="G1731" s="164"/>
      <c r="H1731" s="164"/>
      <c r="I1731" s="164"/>
      <c r="J1731" s="164"/>
    </row>
    <row r="1732" spans="3:10" x14ac:dyDescent="0.25">
      <c r="C1732" s="164"/>
      <c r="D1732" s="164"/>
      <c r="F1732" s="164"/>
      <c r="G1732" s="164"/>
      <c r="H1732" s="164"/>
      <c r="I1732" s="164"/>
      <c r="J1732" s="164"/>
    </row>
    <row r="1733" spans="3:10" x14ac:dyDescent="0.25">
      <c r="C1733" s="164"/>
      <c r="D1733" s="164"/>
      <c r="F1733" s="164"/>
      <c r="G1733" s="164"/>
      <c r="H1733" s="164"/>
      <c r="I1733" s="164"/>
      <c r="J1733" s="164"/>
    </row>
    <row r="1734" spans="3:10" x14ac:dyDescent="0.25">
      <c r="C1734" s="164"/>
      <c r="D1734" s="164"/>
      <c r="F1734" s="164"/>
      <c r="G1734" s="164"/>
      <c r="H1734" s="164"/>
      <c r="I1734" s="164"/>
      <c r="J1734" s="164"/>
    </row>
    <row r="1735" spans="3:10" x14ac:dyDescent="0.25">
      <c r="C1735" s="164"/>
      <c r="D1735" s="164"/>
      <c r="F1735" s="164"/>
      <c r="G1735" s="164"/>
      <c r="H1735" s="164"/>
      <c r="I1735" s="164"/>
      <c r="J1735" s="164"/>
    </row>
    <row r="1736" spans="3:10" x14ac:dyDescent="0.25">
      <c r="C1736" s="164"/>
      <c r="D1736" s="164"/>
      <c r="F1736" s="164"/>
      <c r="G1736" s="164"/>
      <c r="H1736" s="164"/>
      <c r="I1736" s="164"/>
      <c r="J1736" s="164"/>
    </row>
    <row r="1737" spans="3:10" x14ac:dyDescent="0.25">
      <c r="C1737" s="164"/>
      <c r="D1737" s="164"/>
      <c r="F1737" s="164"/>
      <c r="G1737" s="164"/>
      <c r="H1737" s="164"/>
      <c r="I1737" s="164"/>
      <c r="J1737" s="164"/>
    </row>
    <row r="1738" spans="3:10" x14ac:dyDescent="0.25">
      <c r="C1738" s="164"/>
      <c r="D1738" s="164"/>
      <c r="F1738" s="164"/>
      <c r="G1738" s="164"/>
      <c r="H1738" s="164"/>
      <c r="I1738" s="164"/>
      <c r="J1738" s="164"/>
    </row>
    <row r="1739" spans="3:10" x14ac:dyDescent="0.25">
      <c r="C1739" s="164"/>
      <c r="D1739" s="164"/>
      <c r="F1739" s="164"/>
      <c r="G1739" s="164"/>
      <c r="H1739" s="164"/>
      <c r="I1739" s="164"/>
      <c r="J1739" s="164"/>
    </row>
    <row r="1740" spans="3:10" x14ac:dyDescent="0.25">
      <c r="C1740" s="164"/>
      <c r="D1740" s="164"/>
      <c r="F1740" s="164"/>
      <c r="G1740" s="164"/>
      <c r="H1740" s="164"/>
      <c r="I1740" s="164"/>
      <c r="J1740" s="164"/>
    </row>
    <row r="1741" spans="3:10" x14ac:dyDescent="0.25">
      <c r="C1741" s="164"/>
      <c r="D1741" s="164"/>
      <c r="F1741" s="164"/>
      <c r="G1741" s="164"/>
      <c r="H1741" s="164"/>
      <c r="I1741" s="164"/>
      <c r="J1741" s="164"/>
    </row>
    <row r="1742" spans="3:10" x14ac:dyDescent="0.25">
      <c r="C1742" s="164"/>
      <c r="D1742" s="164"/>
      <c r="F1742" s="164"/>
      <c r="G1742" s="164"/>
      <c r="H1742" s="164"/>
      <c r="I1742" s="164"/>
      <c r="J1742" s="164"/>
    </row>
    <row r="1743" spans="3:10" x14ac:dyDescent="0.25">
      <c r="C1743" s="164"/>
      <c r="D1743" s="164"/>
      <c r="F1743" s="164"/>
      <c r="G1743" s="164"/>
      <c r="H1743" s="164"/>
      <c r="I1743" s="164"/>
      <c r="J1743" s="164"/>
    </row>
    <row r="1744" spans="3:10" x14ac:dyDescent="0.25">
      <c r="C1744" s="164"/>
      <c r="D1744" s="164"/>
      <c r="F1744" s="164"/>
      <c r="G1744" s="164"/>
      <c r="H1744" s="164"/>
      <c r="I1744" s="164"/>
      <c r="J1744" s="164"/>
    </row>
    <row r="1745" spans="3:10" x14ac:dyDescent="0.25">
      <c r="C1745" s="164"/>
      <c r="D1745" s="164"/>
      <c r="F1745" s="164"/>
      <c r="G1745" s="164"/>
      <c r="H1745" s="164"/>
      <c r="I1745" s="164"/>
      <c r="J1745" s="164"/>
    </row>
    <row r="1746" spans="3:10" x14ac:dyDescent="0.25">
      <c r="C1746" s="164"/>
      <c r="D1746" s="164"/>
      <c r="F1746" s="164"/>
      <c r="G1746" s="164"/>
      <c r="H1746" s="164"/>
      <c r="I1746" s="164"/>
      <c r="J1746" s="164"/>
    </row>
    <row r="1747" spans="3:10" x14ac:dyDescent="0.25">
      <c r="C1747" s="164"/>
      <c r="D1747" s="164"/>
      <c r="F1747" s="164"/>
      <c r="G1747" s="164"/>
      <c r="H1747" s="164"/>
      <c r="I1747" s="164"/>
      <c r="J1747" s="164"/>
    </row>
    <row r="1748" spans="3:10" x14ac:dyDescent="0.25">
      <c r="C1748" s="164"/>
      <c r="D1748" s="164"/>
      <c r="F1748" s="164"/>
      <c r="G1748" s="164"/>
      <c r="H1748" s="164"/>
      <c r="I1748" s="164"/>
      <c r="J1748" s="164"/>
    </row>
    <row r="1749" spans="3:10" x14ac:dyDescent="0.25">
      <c r="C1749" s="164"/>
      <c r="D1749" s="164"/>
      <c r="F1749" s="164"/>
      <c r="G1749" s="164"/>
      <c r="H1749" s="164"/>
      <c r="I1749" s="164"/>
      <c r="J1749" s="164"/>
    </row>
    <row r="1750" spans="3:10" x14ac:dyDescent="0.25">
      <c r="C1750" s="164"/>
      <c r="D1750" s="164"/>
      <c r="F1750" s="164"/>
      <c r="G1750" s="164"/>
      <c r="H1750" s="164"/>
      <c r="I1750" s="164"/>
      <c r="J1750" s="164"/>
    </row>
    <row r="1751" spans="3:10" x14ac:dyDescent="0.25">
      <c r="C1751" s="164"/>
      <c r="D1751" s="164"/>
      <c r="F1751" s="164"/>
      <c r="G1751" s="164"/>
      <c r="H1751" s="164"/>
      <c r="I1751" s="164"/>
      <c r="J1751" s="164"/>
    </row>
    <row r="1752" spans="3:10" x14ac:dyDescent="0.25">
      <c r="C1752" s="164"/>
      <c r="D1752" s="164"/>
      <c r="F1752" s="164"/>
      <c r="G1752" s="164"/>
      <c r="H1752" s="164"/>
      <c r="I1752" s="164"/>
      <c r="J1752" s="164"/>
    </row>
    <row r="1753" spans="3:10" x14ac:dyDescent="0.25">
      <c r="C1753" s="164"/>
      <c r="D1753" s="164"/>
      <c r="F1753" s="164"/>
      <c r="G1753" s="164"/>
      <c r="H1753" s="164"/>
      <c r="I1753" s="164"/>
      <c r="J1753" s="164"/>
    </row>
    <row r="1754" spans="3:10" x14ac:dyDescent="0.25">
      <c r="C1754" s="164"/>
      <c r="D1754" s="164"/>
      <c r="F1754" s="164"/>
      <c r="G1754" s="164"/>
      <c r="H1754" s="164"/>
      <c r="I1754" s="164"/>
      <c r="J1754" s="164"/>
    </row>
    <row r="1755" spans="3:10" x14ac:dyDescent="0.25">
      <c r="C1755" s="164"/>
      <c r="D1755" s="164"/>
      <c r="F1755" s="164"/>
      <c r="G1755" s="164"/>
      <c r="H1755" s="164"/>
      <c r="I1755" s="164"/>
      <c r="J1755" s="164"/>
    </row>
    <row r="1756" spans="3:10" x14ac:dyDescent="0.25">
      <c r="C1756" s="164"/>
      <c r="D1756" s="164"/>
      <c r="F1756" s="164"/>
      <c r="G1756" s="164"/>
      <c r="H1756" s="164"/>
      <c r="I1756" s="164"/>
      <c r="J1756" s="164"/>
    </row>
    <row r="1757" spans="3:10" x14ac:dyDescent="0.25">
      <c r="C1757" s="164"/>
      <c r="D1757" s="164"/>
      <c r="F1757" s="164"/>
      <c r="G1757" s="164"/>
      <c r="H1757" s="164"/>
      <c r="I1757" s="164"/>
      <c r="J1757" s="164"/>
    </row>
    <row r="1758" spans="3:10" x14ac:dyDescent="0.25">
      <c r="C1758" s="164"/>
      <c r="D1758" s="164"/>
      <c r="F1758" s="164"/>
      <c r="G1758" s="164"/>
      <c r="H1758" s="164"/>
      <c r="I1758" s="164"/>
      <c r="J1758" s="164"/>
    </row>
    <row r="1759" spans="3:10" x14ac:dyDescent="0.25">
      <c r="C1759" s="164"/>
      <c r="D1759" s="164"/>
      <c r="F1759" s="164"/>
      <c r="G1759" s="164"/>
      <c r="H1759" s="164"/>
      <c r="I1759" s="164"/>
      <c r="J1759" s="164"/>
    </row>
    <row r="1760" spans="3:10" x14ac:dyDescent="0.25">
      <c r="C1760" s="164"/>
      <c r="D1760" s="164"/>
      <c r="F1760" s="164"/>
      <c r="G1760" s="164"/>
      <c r="H1760" s="164"/>
      <c r="I1760" s="164"/>
      <c r="J1760" s="164"/>
    </row>
    <row r="1761" spans="3:10" x14ac:dyDescent="0.25">
      <c r="C1761" s="164"/>
      <c r="D1761" s="164"/>
      <c r="F1761" s="164"/>
      <c r="G1761" s="164"/>
      <c r="H1761" s="164"/>
      <c r="I1761" s="164"/>
      <c r="J1761" s="164"/>
    </row>
    <row r="1762" spans="3:10" x14ac:dyDescent="0.25">
      <c r="C1762" s="164"/>
      <c r="D1762" s="164"/>
      <c r="F1762" s="164"/>
      <c r="G1762" s="164"/>
      <c r="H1762" s="164"/>
      <c r="I1762" s="164"/>
      <c r="J1762" s="164"/>
    </row>
    <row r="1763" spans="3:10" x14ac:dyDescent="0.25">
      <c r="C1763" s="164"/>
      <c r="D1763" s="164"/>
      <c r="F1763" s="164"/>
      <c r="G1763" s="164"/>
      <c r="H1763" s="164"/>
      <c r="I1763" s="164"/>
      <c r="J1763" s="164"/>
    </row>
    <row r="1764" spans="3:10" x14ac:dyDescent="0.25">
      <c r="C1764" s="164"/>
      <c r="D1764" s="164"/>
      <c r="F1764" s="164"/>
      <c r="G1764" s="164"/>
      <c r="H1764" s="164"/>
      <c r="I1764" s="164"/>
      <c r="J1764" s="164"/>
    </row>
    <row r="1765" spans="3:10" x14ac:dyDescent="0.25">
      <c r="C1765" s="164"/>
      <c r="D1765" s="164"/>
      <c r="F1765" s="164"/>
      <c r="G1765" s="164"/>
      <c r="H1765" s="164"/>
      <c r="I1765" s="164"/>
      <c r="J1765" s="164"/>
    </row>
    <row r="1766" spans="3:10" x14ac:dyDescent="0.25">
      <c r="C1766" s="164"/>
      <c r="D1766" s="164"/>
      <c r="F1766" s="164"/>
      <c r="G1766" s="164"/>
      <c r="H1766" s="164"/>
      <c r="I1766" s="164"/>
      <c r="J1766" s="164"/>
    </row>
    <row r="1767" spans="3:10" x14ac:dyDescent="0.25">
      <c r="C1767" s="164"/>
      <c r="D1767" s="164"/>
      <c r="F1767" s="164"/>
      <c r="G1767" s="164"/>
      <c r="H1767" s="164"/>
      <c r="I1767" s="164"/>
      <c r="J1767" s="164"/>
    </row>
    <row r="1768" spans="3:10" x14ac:dyDescent="0.25">
      <c r="C1768" s="164"/>
      <c r="D1768" s="164"/>
      <c r="F1768" s="164"/>
      <c r="G1768" s="164"/>
      <c r="H1768" s="164"/>
      <c r="I1768" s="164"/>
      <c r="J1768" s="164"/>
    </row>
    <row r="1769" spans="3:10" x14ac:dyDescent="0.25">
      <c r="C1769" s="164"/>
      <c r="D1769" s="164"/>
      <c r="F1769" s="164"/>
      <c r="G1769" s="164"/>
      <c r="H1769" s="164"/>
      <c r="I1769" s="164"/>
      <c r="J1769" s="164"/>
    </row>
    <row r="1770" spans="3:10" x14ac:dyDescent="0.25">
      <c r="C1770" s="164"/>
      <c r="D1770" s="164"/>
      <c r="F1770" s="164"/>
      <c r="G1770" s="164"/>
      <c r="H1770" s="164"/>
      <c r="I1770" s="164"/>
      <c r="J1770" s="164"/>
    </row>
    <row r="1771" spans="3:10" x14ac:dyDescent="0.25">
      <c r="C1771" s="164"/>
      <c r="D1771" s="164"/>
      <c r="F1771" s="164"/>
      <c r="G1771" s="164"/>
      <c r="H1771" s="164"/>
      <c r="I1771" s="164"/>
      <c r="J1771" s="164"/>
    </row>
    <row r="1772" spans="3:10" x14ac:dyDescent="0.25">
      <c r="C1772" s="164"/>
      <c r="D1772" s="164"/>
      <c r="F1772" s="164"/>
      <c r="G1772" s="164"/>
      <c r="H1772" s="164"/>
      <c r="I1772" s="164"/>
      <c r="J1772" s="164"/>
    </row>
    <row r="1773" spans="3:10" x14ac:dyDescent="0.25">
      <c r="C1773" s="164"/>
      <c r="D1773" s="164"/>
      <c r="F1773" s="164"/>
      <c r="G1773" s="164"/>
      <c r="H1773" s="164"/>
      <c r="I1773" s="164"/>
      <c r="J1773" s="164"/>
    </row>
    <row r="1774" spans="3:10" x14ac:dyDescent="0.25">
      <c r="C1774" s="164"/>
      <c r="D1774" s="164"/>
      <c r="F1774" s="164"/>
      <c r="G1774" s="164"/>
      <c r="H1774" s="164"/>
      <c r="I1774" s="164"/>
      <c r="J1774" s="164"/>
    </row>
    <row r="1775" spans="3:10" x14ac:dyDescent="0.25">
      <c r="C1775" s="164"/>
      <c r="D1775" s="164"/>
      <c r="F1775" s="164"/>
      <c r="G1775" s="164"/>
      <c r="H1775" s="164"/>
      <c r="I1775" s="164"/>
      <c r="J1775" s="164"/>
    </row>
    <row r="1776" spans="3:10" x14ac:dyDescent="0.25">
      <c r="C1776" s="164"/>
      <c r="D1776" s="164"/>
      <c r="F1776" s="164"/>
      <c r="G1776" s="164"/>
      <c r="H1776" s="164"/>
      <c r="I1776" s="164"/>
      <c r="J1776" s="164"/>
    </row>
    <row r="1777" spans="3:10" x14ac:dyDescent="0.25">
      <c r="C1777" s="164"/>
      <c r="D1777" s="164"/>
      <c r="F1777" s="164"/>
      <c r="G1777" s="164"/>
      <c r="H1777" s="164"/>
      <c r="I1777" s="164"/>
      <c r="J1777" s="164"/>
    </row>
    <row r="1778" spans="3:10" x14ac:dyDescent="0.25">
      <c r="C1778" s="164"/>
      <c r="D1778" s="164"/>
      <c r="F1778" s="164"/>
      <c r="G1778" s="164"/>
      <c r="H1778" s="164"/>
      <c r="I1778" s="164"/>
      <c r="J1778" s="164"/>
    </row>
    <row r="1779" spans="3:10" x14ac:dyDescent="0.25">
      <c r="C1779" s="164"/>
      <c r="D1779" s="164"/>
      <c r="F1779" s="164"/>
      <c r="G1779" s="164"/>
      <c r="H1779" s="164"/>
      <c r="I1779" s="164"/>
      <c r="J1779" s="164"/>
    </row>
    <row r="1780" spans="3:10" x14ac:dyDescent="0.25">
      <c r="C1780" s="164"/>
      <c r="D1780" s="164"/>
      <c r="F1780" s="164"/>
      <c r="G1780" s="164"/>
      <c r="H1780" s="164"/>
      <c r="I1780" s="164"/>
      <c r="J1780" s="164"/>
    </row>
    <row r="1781" spans="3:10" x14ac:dyDescent="0.25">
      <c r="C1781" s="164"/>
      <c r="D1781" s="164"/>
      <c r="F1781" s="164"/>
      <c r="G1781" s="164"/>
      <c r="H1781" s="164"/>
      <c r="I1781" s="164"/>
      <c r="J1781" s="164"/>
    </row>
    <row r="1782" spans="3:10" x14ac:dyDescent="0.25">
      <c r="C1782" s="164"/>
      <c r="D1782" s="164"/>
      <c r="F1782" s="164"/>
      <c r="G1782" s="164"/>
      <c r="H1782" s="164"/>
      <c r="I1782" s="164"/>
      <c r="J1782" s="164"/>
    </row>
    <row r="1783" spans="3:10" x14ac:dyDescent="0.25">
      <c r="C1783" s="164"/>
      <c r="D1783" s="164"/>
      <c r="F1783" s="164"/>
      <c r="G1783" s="164"/>
      <c r="H1783" s="164"/>
      <c r="I1783" s="164"/>
      <c r="J1783" s="164"/>
    </row>
    <row r="1784" spans="3:10" x14ac:dyDescent="0.25">
      <c r="C1784" s="164"/>
      <c r="D1784" s="164"/>
      <c r="F1784" s="164"/>
      <c r="G1784" s="164"/>
      <c r="H1784" s="164"/>
      <c r="I1784" s="164"/>
      <c r="J1784" s="164"/>
    </row>
    <row r="1785" spans="3:10" x14ac:dyDescent="0.25">
      <c r="C1785" s="164"/>
      <c r="D1785" s="164"/>
      <c r="F1785" s="164"/>
      <c r="G1785" s="164"/>
      <c r="H1785" s="164"/>
      <c r="I1785" s="164"/>
      <c r="J1785" s="164"/>
    </row>
    <row r="1786" spans="3:10" x14ac:dyDescent="0.25">
      <c r="C1786" s="164"/>
      <c r="D1786" s="164"/>
      <c r="F1786" s="164"/>
      <c r="G1786" s="164"/>
      <c r="H1786" s="164"/>
      <c r="I1786" s="164"/>
      <c r="J1786" s="164"/>
    </row>
    <row r="1787" spans="3:10" x14ac:dyDescent="0.25">
      <c r="C1787" s="164"/>
      <c r="D1787" s="164"/>
      <c r="F1787" s="164"/>
      <c r="G1787" s="164"/>
      <c r="H1787" s="164"/>
      <c r="I1787" s="164"/>
      <c r="J1787" s="164"/>
    </row>
    <row r="1788" spans="3:10" x14ac:dyDescent="0.25">
      <c r="C1788" s="164"/>
      <c r="D1788" s="164"/>
      <c r="F1788" s="164"/>
      <c r="G1788" s="164"/>
      <c r="H1788" s="164"/>
      <c r="I1788" s="164"/>
      <c r="J1788" s="164"/>
    </row>
    <row r="1789" spans="3:10" x14ac:dyDescent="0.25">
      <c r="C1789" s="164"/>
      <c r="D1789" s="164"/>
      <c r="F1789" s="164"/>
      <c r="G1789" s="164"/>
      <c r="H1789" s="164"/>
      <c r="I1789" s="164"/>
      <c r="J1789" s="164"/>
    </row>
    <row r="1790" spans="3:10" x14ac:dyDescent="0.25">
      <c r="C1790" s="164"/>
      <c r="D1790" s="164"/>
      <c r="F1790" s="164"/>
      <c r="G1790" s="164"/>
      <c r="H1790" s="164"/>
      <c r="I1790" s="164"/>
      <c r="J1790" s="164"/>
    </row>
    <row r="1791" spans="3:10" x14ac:dyDescent="0.25">
      <c r="C1791" s="164"/>
      <c r="D1791" s="164"/>
      <c r="F1791" s="164"/>
      <c r="G1791" s="164"/>
      <c r="H1791" s="164"/>
      <c r="I1791" s="164"/>
      <c r="J1791" s="164"/>
    </row>
    <row r="1792" spans="3:10" x14ac:dyDescent="0.25">
      <c r="C1792" s="164"/>
      <c r="D1792" s="164"/>
      <c r="F1792" s="164"/>
      <c r="G1792" s="164"/>
      <c r="H1792" s="164"/>
      <c r="I1792" s="164"/>
      <c r="J1792" s="164"/>
    </row>
    <row r="1793" spans="3:10" x14ac:dyDescent="0.25">
      <c r="C1793" s="164"/>
      <c r="D1793" s="164"/>
      <c r="F1793" s="164"/>
      <c r="G1793" s="164"/>
      <c r="H1793" s="164"/>
      <c r="I1793" s="164"/>
      <c r="J1793" s="164"/>
    </row>
    <row r="1794" spans="3:10" x14ac:dyDescent="0.25">
      <c r="C1794" s="164"/>
      <c r="D1794" s="164"/>
      <c r="F1794" s="164"/>
      <c r="G1794" s="164"/>
      <c r="H1794" s="164"/>
      <c r="I1794" s="164"/>
      <c r="J1794" s="164"/>
    </row>
    <row r="1795" spans="3:10" x14ac:dyDescent="0.25">
      <c r="C1795" s="164"/>
      <c r="D1795" s="164"/>
      <c r="F1795" s="164"/>
      <c r="G1795" s="164"/>
      <c r="H1795" s="164"/>
      <c r="I1795" s="164"/>
      <c r="J1795" s="164"/>
    </row>
    <row r="1796" spans="3:10" x14ac:dyDescent="0.25">
      <c r="C1796" s="164"/>
      <c r="D1796" s="164"/>
      <c r="F1796" s="164"/>
      <c r="G1796" s="164"/>
      <c r="H1796" s="164"/>
      <c r="I1796" s="164"/>
      <c r="J1796" s="164"/>
    </row>
    <row r="1797" spans="3:10" x14ac:dyDescent="0.25">
      <c r="C1797" s="164"/>
      <c r="D1797" s="164"/>
      <c r="F1797" s="164"/>
      <c r="G1797" s="164"/>
      <c r="H1797" s="164"/>
      <c r="I1797" s="164"/>
      <c r="J1797" s="164"/>
    </row>
    <row r="1798" spans="3:10" x14ac:dyDescent="0.25">
      <c r="C1798" s="164"/>
      <c r="D1798" s="164"/>
      <c r="F1798" s="164"/>
      <c r="G1798" s="164"/>
      <c r="H1798" s="164"/>
      <c r="I1798" s="164"/>
      <c r="J1798" s="164"/>
    </row>
    <row r="1799" spans="3:10" x14ac:dyDescent="0.25">
      <c r="C1799" s="164"/>
      <c r="D1799" s="164"/>
      <c r="F1799" s="164"/>
      <c r="G1799" s="164"/>
      <c r="H1799" s="164"/>
      <c r="I1799" s="164"/>
      <c r="J1799" s="164"/>
    </row>
    <row r="1800" spans="3:10" x14ac:dyDescent="0.25">
      <c r="C1800" s="164"/>
      <c r="D1800" s="164"/>
      <c r="F1800" s="164"/>
      <c r="G1800" s="164"/>
      <c r="H1800" s="164"/>
      <c r="I1800" s="164"/>
      <c r="J1800" s="164"/>
    </row>
    <row r="1801" spans="3:10" x14ac:dyDescent="0.25">
      <c r="C1801" s="164"/>
      <c r="D1801" s="164"/>
      <c r="F1801" s="164"/>
      <c r="G1801" s="164"/>
      <c r="H1801" s="164"/>
      <c r="I1801" s="164"/>
      <c r="J1801" s="164"/>
    </row>
    <row r="1802" spans="3:10" x14ac:dyDescent="0.25">
      <c r="C1802" s="164"/>
      <c r="D1802" s="164"/>
      <c r="F1802" s="164"/>
      <c r="G1802" s="164"/>
      <c r="H1802" s="164"/>
      <c r="I1802" s="164"/>
      <c r="J1802" s="164"/>
    </row>
    <row r="1803" spans="3:10" x14ac:dyDescent="0.25">
      <c r="C1803" s="164"/>
      <c r="D1803" s="164"/>
      <c r="F1803" s="164"/>
      <c r="G1803" s="164"/>
      <c r="H1803" s="164"/>
      <c r="I1803" s="164"/>
      <c r="J1803" s="164"/>
    </row>
    <row r="1804" spans="3:10" x14ac:dyDescent="0.25">
      <c r="C1804" s="164"/>
      <c r="D1804" s="164"/>
      <c r="F1804" s="164"/>
      <c r="G1804" s="164"/>
      <c r="H1804" s="164"/>
      <c r="I1804" s="164"/>
      <c r="J1804" s="164"/>
    </row>
    <row r="1805" spans="3:10" x14ac:dyDescent="0.25">
      <c r="C1805" s="164"/>
      <c r="D1805" s="164"/>
      <c r="F1805" s="164"/>
      <c r="G1805" s="164"/>
      <c r="H1805" s="164"/>
      <c r="I1805" s="164"/>
      <c r="J1805" s="164"/>
    </row>
    <row r="1806" spans="3:10" x14ac:dyDescent="0.25">
      <c r="C1806" s="164"/>
      <c r="D1806" s="164"/>
      <c r="F1806" s="164"/>
      <c r="G1806" s="164"/>
      <c r="H1806" s="164"/>
      <c r="I1806" s="164"/>
      <c r="J1806" s="164"/>
    </row>
    <row r="1807" spans="3:10" x14ac:dyDescent="0.25">
      <c r="C1807" s="164"/>
      <c r="D1807" s="164"/>
      <c r="F1807" s="164"/>
      <c r="G1807" s="164"/>
      <c r="H1807" s="164"/>
      <c r="I1807" s="164"/>
      <c r="J1807" s="164"/>
    </row>
    <row r="1808" spans="3:10" x14ac:dyDescent="0.25">
      <c r="C1808" s="164"/>
      <c r="D1808" s="164"/>
      <c r="F1808" s="164"/>
      <c r="G1808" s="164"/>
      <c r="H1808" s="164"/>
      <c r="I1808" s="164"/>
      <c r="J1808" s="164"/>
    </row>
    <row r="1809" spans="3:10" x14ac:dyDescent="0.25">
      <c r="C1809" s="164"/>
      <c r="D1809" s="164"/>
      <c r="F1809" s="164"/>
      <c r="G1809" s="164"/>
      <c r="H1809" s="164"/>
      <c r="I1809" s="164"/>
      <c r="J1809" s="164"/>
    </row>
    <row r="1810" spans="3:10" x14ac:dyDescent="0.25">
      <c r="C1810" s="164"/>
      <c r="D1810" s="164"/>
      <c r="F1810" s="164"/>
      <c r="G1810" s="164"/>
      <c r="H1810" s="164"/>
      <c r="I1810" s="164"/>
      <c r="J1810" s="164"/>
    </row>
    <row r="1811" spans="3:10" x14ac:dyDescent="0.25">
      <c r="C1811" s="164"/>
      <c r="D1811" s="164"/>
      <c r="F1811" s="164"/>
      <c r="G1811" s="164"/>
      <c r="H1811" s="164"/>
      <c r="I1811" s="164"/>
      <c r="J1811" s="164"/>
    </row>
    <row r="1812" spans="3:10" x14ac:dyDescent="0.25">
      <c r="C1812" s="164"/>
      <c r="D1812" s="164"/>
      <c r="F1812" s="164"/>
      <c r="G1812" s="164"/>
      <c r="H1812" s="164"/>
      <c r="I1812" s="164"/>
      <c r="J1812" s="164"/>
    </row>
    <row r="1813" spans="3:10" x14ac:dyDescent="0.25">
      <c r="C1813" s="164"/>
      <c r="D1813" s="164"/>
      <c r="F1813" s="164"/>
      <c r="G1813" s="164"/>
      <c r="H1813" s="164"/>
      <c r="I1813" s="164"/>
      <c r="J1813" s="164"/>
    </row>
    <row r="1814" spans="3:10" x14ac:dyDescent="0.25">
      <c r="C1814" s="164"/>
      <c r="D1814" s="164"/>
      <c r="F1814" s="164"/>
      <c r="G1814" s="164"/>
      <c r="H1814" s="164"/>
      <c r="I1814" s="164"/>
      <c r="J1814" s="164"/>
    </row>
    <row r="1815" spans="3:10" x14ac:dyDescent="0.25">
      <c r="C1815" s="164"/>
      <c r="D1815" s="164"/>
      <c r="F1815" s="164"/>
      <c r="G1815" s="164"/>
      <c r="H1815" s="164"/>
      <c r="I1815" s="164"/>
      <c r="J1815" s="164"/>
    </row>
    <row r="1816" spans="3:10" x14ac:dyDescent="0.25">
      <c r="C1816" s="164"/>
      <c r="D1816" s="164"/>
      <c r="F1816" s="164"/>
      <c r="G1816" s="164"/>
      <c r="H1816" s="164"/>
      <c r="I1816" s="164"/>
      <c r="J1816" s="164"/>
    </row>
    <row r="1817" spans="3:10" x14ac:dyDescent="0.25">
      <c r="C1817" s="164"/>
      <c r="D1817" s="164"/>
      <c r="F1817" s="164"/>
      <c r="G1817" s="164"/>
      <c r="H1817" s="164"/>
      <c r="I1817" s="164"/>
      <c r="J1817" s="164"/>
    </row>
    <row r="1818" spans="3:10" x14ac:dyDescent="0.25">
      <c r="C1818" s="164"/>
      <c r="D1818" s="164"/>
      <c r="F1818" s="164"/>
      <c r="G1818" s="164"/>
      <c r="H1818" s="164"/>
      <c r="I1818" s="164"/>
      <c r="J1818" s="164"/>
    </row>
    <row r="1819" spans="3:10" x14ac:dyDescent="0.25">
      <c r="C1819" s="164"/>
      <c r="D1819" s="164"/>
      <c r="F1819" s="164"/>
      <c r="G1819" s="164"/>
      <c r="H1819" s="164"/>
      <c r="I1819" s="164"/>
      <c r="J1819" s="164"/>
    </row>
    <row r="1820" spans="3:10" x14ac:dyDescent="0.25">
      <c r="C1820" s="164"/>
      <c r="D1820" s="164"/>
      <c r="F1820" s="164"/>
      <c r="G1820" s="164"/>
      <c r="H1820" s="164"/>
      <c r="I1820" s="164"/>
      <c r="J1820" s="164"/>
    </row>
    <row r="1821" spans="3:10" x14ac:dyDescent="0.25">
      <c r="C1821" s="164"/>
      <c r="D1821" s="164"/>
      <c r="F1821" s="164"/>
      <c r="G1821" s="164"/>
      <c r="H1821" s="164"/>
      <c r="I1821" s="164"/>
      <c r="J1821" s="164"/>
    </row>
    <row r="1822" spans="3:10" x14ac:dyDescent="0.25">
      <c r="C1822" s="164"/>
      <c r="D1822" s="164"/>
      <c r="F1822" s="164"/>
      <c r="G1822" s="164"/>
      <c r="H1822" s="164"/>
      <c r="I1822" s="164"/>
      <c r="J1822" s="164"/>
    </row>
    <row r="1823" spans="3:10" x14ac:dyDescent="0.25">
      <c r="C1823" s="164"/>
      <c r="D1823" s="164"/>
      <c r="F1823" s="164"/>
      <c r="G1823" s="164"/>
      <c r="H1823" s="164"/>
      <c r="I1823" s="164"/>
      <c r="J1823" s="164"/>
    </row>
    <row r="1824" spans="3:10" x14ac:dyDescent="0.25">
      <c r="C1824" s="164"/>
      <c r="D1824" s="164"/>
      <c r="F1824" s="164"/>
      <c r="G1824" s="164"/>
      <c r="H1824" s="164"/>
      <c r="I1824" s="164"/>
      <c r="J1824" s="164"/>
    </row>
    <row r="1825" spans="3:10" x14ac:dyDescent="0.25">
      <c r="C1825" s="164"/>
      <c r="D1825" s="164"/>
      <c r="F1825" s="164"/>
      <c r="G1825" s="164"/>
      <c r="H1825" s="164"/>
      <c r="I1825" s="164"/>
      <c r="J1825" s="164"/>
    </row>
    <row r="1826" spans="3:10" x14ac:dyDescent="0.25">
      <c r="C1826" s="164"/>
      <c r="D1826" s="164"/>
      <c r="F1826" s="164"/>
      <c r="G1826" s="164"/>
      <c r="H1826" s="164"/>
      <c r="I1826" s="164"/>
      <c r="J1826" s="164"/>
    </row>
    <row r="1827" spans="3:10" x14ac:dyDescent="0.25">
      <c r="C1827" s="164"/>
      <c r="D1827" s="164"/>
      <c r="F1827" s="164"/>
      <c r="G1827" s="164"/>
      <c r="H1827" s="164"/>
      <c r="I1827" s="164"/>
      <c r="J1827" s="164"/>
    </row>
    <row r="1828" spans="3:10" x14ac:dyDescent="0.25">
      <c r="C1828" s="164"/>
      <c r="D1828" s="164"/>
      <c r="F1828" s="164"/>
      <c r="G1828" s="164"/>
      <c r="H1828" s="164"/>
      <c r="I1828" s="164"/>
      <c r="J1828" s="164"/>
    </row>
    <row r="1829" spans="3:10" x14ac:dyDescent="0.25">
      <c r="C1829" s="164"/>
      <c r="D1829" s="164"/>
      <c r="F1829" s="164"/>
      <c r="G1829" s="164"/>
      <c r="H1829" s="164"/>
      <c r="I1829" s="164"/>
      <c r="J1829" s="164"/>
    </row>
    <row r="1830" spans="3:10" x14ac:dyDescent="0.25">
      <c r="C1830" s="164"/>
      <c r="D1830" s="164"/>
      <c r="F1830" s="164"/>
      <c r="G1830" s="164"/>
      <c r="H1830" s="164"/>
      <c r="I1830" s="164"/>
      <c r="J1830" s="164"/>
    </row>
    <row r="1831" spans="3:10" x14ac:dyDescent="0.25">
      <c r="C1831" s="164"/>
      <c r="D1831" s="164"/>
      <c r="F1831" s="164"/>
      <c r="G1831" s="164"/>
      <c r="H1831" s="164"/>
      <c r="I1831" s="164"/>
      <c r="J1831" s="164"/>
    </row>
    <row r="1832" spans="3:10" x14ac:dyDescent="0.25">
      <c r="C1832" s="164"/>
      <c r="D1832" s="164"/>
      <c r="F1832" s="164"/>
      <c r="G1832" s="164"/>
      <c r="H1832" s="164"/>
      <c r="I1832" s="164"/>
      <c r="J1832" s="164"/>
    </row>
    <row r="1833" spans="3:10" x14ac:dyDescent="0.25">
      <c r="C1833" s="164"/>
      <c r="D1833" s="164"/>
      <c r="F1833" s="164"/>
      <c r="G1833" s="164"/>
      <c r="H1833" s="164"/>
      <c r="I1833" s="164"/>
      <c r="J1833" s="164"/>
    </row>
    <row r="1834" spans="3:10" x14ac:dyDescent="0.25">
      <c r="C1834" s="164"/>
      <c r="D1834" s="164"/>
      <c r="F1834" s="164"/>
      <c r="G1834" s="164"/>
      <c r="H1834" s="164"/>
      <c r="I1834" s="164"/>
      <c r="J1834" s="164"/>
    </row>
    <row r="1835" spans="3:10" x14ac:dyDescent="0.25">
      <c r="C1835" s="164"/>
      <c r="D1835" s="164"/>
      <c r="F1835" s="164"/>
      <c r="G1835" s="164"/>
      <c r="H1835" s="164"/>
      <c r="I1835" s="164"/>
      <c r="J1835" s="164"/>
    </row>
    <row r="1836" spans="3:10" x14ac:dyDescent="0.25">
      <c r="C1836" s="164"/>
      <c r="D1836" s="164"/>
      <c r="F1836" s="164"/>
      <c r="G1836" s="164"/>
      <c r="H1836" s="164"/>
      <c r="I1836" s="164"/>
      <c r="J1836" s="164"/>
    </row>
    <row r="1837" spans="3:10" x14ac:dyDescent="0.25">
      <c r="C1837" s="164"/>
      <c r="D1837" s="164"/>
      <c r="F1837" s="164"/>
      <c r="G1837" s="164"/>
      <c r="H1837" s="164"/>
      <c r="I1837" s="164"/>
      <c r="J1837" s="164"/>
    </row>
    <row r="1838" spans="3:10" x14ac:dyDescent="0.25">
      <c r="C1838" s="164"/>
      <c r="D1838" s="164"/>
      <c r="F1838" s="164"/>
      <c r="G1838" s="164"/>
      <c r="H1838" s="164"/>
      <c r="I1838" s="164"/>
      <c r="J1838" s="164"/>
    </row>
    <row r="1839" spans="3:10" x14ac:dyDescent="0.25">
      <c r="C1839" s="164"/>
      <c r="D1839" s="164"/>
      <c r="F1839" s="164"/>
      <c r="G1839" s="164"/>
      <c r="H1839" s="164"/>
      <c r="I1839" s="164"/>
      <c r="J1839" s="164"/>
    </row>
    <row r="1840" spans="3:10" x14ac:dyDescent="0.25">
      <c r="C1840" s="164"/>
      <c r="D1840" s="164"/>
      <c r="F1840" s="164"/>
      <c r="G1840" s="164"/>
      <c r="H1840" s="164"/>
      <c r="I1840" s="164"/>
      <c r="J1840" s="164"/>
    </row>
    <row r="1841" spans="3:10" x14ac:dyDescent="0.25">
      <c r="C1841" s="164"/>
      <c r="D1841" s="164"/>
      <c r="F1841" s="164"/>
      <c r="G1841" s="164"/>
      <c r="H1841" s="164"/>
      <c r="I1841" s="164"/>
      <c r="J1841" s="164"/>
    </row>
    <row r="1842" spans="3:10" x14ac:dyDescent="0.25">
      <c r="C1842" s="164"/>
      <c r="D1842" s="164"/>
      <c r="F1842" s="164"/>
      <c r="G1842" s="164"/>
      <c r="H1842" s="164"/>
      <c r="I1842" s="164"/>
      <c r="J1842" s="164"/>
    </row>
    <row r="1843" spans="3:10" x14ac:dyDescent="0.25">
      <c r="C1843" s="164"/>
      <c r="D1843" s="164"/>
      <c r="F1843" s="164"/>
      <c r="G1843" s="164"/>
      <c r="H1843" s="164"/>
      <c r="I1843" s="164"/>
      <c r="J1843" s="164"/>
    </row>
    <row r="1844" spans="3:10" x14ac:dyDescent="0.25">
      <c r="C1844" s="164"/>
      <c r="D1844" s="164"/>
      <c r="F1844" s="164"/>
      <c r="G1844" s="164"/>
      <c r="H1844" s="164"/>
      <c r="I1844" s="164"/>
      <c r="J1844" s="164"/>
    </row>
    <row r="1845" spans="3:10" x14ac:dyDescent="0.25">
      <c r="C1845" s="164"/>
      <c r="D1845" s="164"/>
      <c r="F1845" s="164"/>
      <c r="G1845" s="164"/>
      <c r="H1845" s="164"/>
      <c r="I1845" s="164"/>
      <c r="J1845" s="164"/>
    </row>
    <row r="1846" spans="3:10" x14ac:dyDescent="0.25">
      <c r="C1846" s="164"/>
      <c r="D1846" s="164"/>
      <c r="F1846" s="164"/>
      <c r="G1846" s="164"/>
      <c r="H1846" s="164"/>
      <c r="I1846" s="164"/>
      <c r="J1846" s="164"/>
    </row>
    <row r="1847" spans="3:10" x14ac:dyDescent="0.25">
      <c r="C1847" s="164"/>
      <c r="D1847" s="164"/>
      <c r="F1847" s="164"/>
      <c r="G1847" s="164"/>
      <c r="H1847" s="164"/>
      <c r="I1847" s="164"/>
      <c r="J1847" s="164"/>
    </row>
    <row r="1848" spans="3:10" x14ac:dyDescent="0.25">
      <c r="C1848" s="164"/>
      <c r="D1848" s="164"/>
      <c r="F1848" s="164"/>
      <c r="G1848" s="164"/>
      <c r="H1848" s="164"/>
      <c r="I1848" s="164"/>
      <c r="J1848" s="164"/>
    </row>
    <row r="1849" spans="3:10" x14ac:dyDescent="0.25">
      <c r="C1849" s="164"/>
      <c r="D1849" s="164"/>
      <c r="F1849" s="164"/>
      <c r="G1849" s="164"/>
      <c r="H1849" s="164"/>
      <c r="I1849" s="164"/>
      <c r="J1849" s="164"/>
    </row>
    <row r="1850" spans="3:10" x14ac:dyDescent="0.25">
      <c r="C1850" s="164"/>
      <c r="D1850" s="164"/>
      <c r="F1850" s="164"/>
      <c r="G1850" s="164"/>
      <c r="H1850" s="164"/>
      <c r="I1850" s="164"/>
      <c r="J1850" s="164"/>
    </row>
    <row r="1851" spans="3:10" x14ac:dyDescent="0.25">
      <c r="C1851" s="164"/>
      <c r="D1851" s="164"/>
      <c r="F1851" s="164"/>
      <c r="G1851" s="164"/>
      <c r="H1851" s="164"/>
      <c r="I1851" s="164"/>
      <c r="J1851" s="164"/>
    </row>
    <row r="1852" spans="3:10" x14ac:dyDescent="0.25">
      <c r="C1852" s="164"/>
      <c r="D1852" s="164"/>
      <c r="F1852" s="164"/>
      <c r="G1852" s="164"/>
      <c r="H1852" s="164"/>
      <c r="I1852" s="164"/>
      <c r="J1852" s="164"/>
    </row>
    <row r="1853" spans="3:10" x14ac:dyDescent="0.25">
      <c r="C1853" s="164"/>
      <c r="D1853" s="164"/>
      <c r="F1853" s="164"/>
      <c r="G1853" s="164"/>
      <c r="H1853" s="164"/>
      <c r="I1853" s="164"/>
      <c r="J1853" s="164"/>
    </row>
    <row r="1854" spans="3:10" x14ac:dyDescent="0.25">
      <c r="C1854" s="164"/>
      <c r="D1854" s="164"/>
      <c r="F1854" s="164"/>
      <c r="G1854" s="164"/>
      <c r="H1854" s="164"/>
      <c r="I1854" s="164"/>
      <c r="J1854" s="164"/>
    </row>
    <row r="1855" spans="3:10" x14ac:dyDescent="0.25">
      <c r="C1855" s="164"/>
      <c r="D1855" s="164"/>
      <c r="F1855" s="164"/>
      <c r="G1855" s="164"/>
      <c r="H1855" s="164"/>
      <c r="I1855" s="164"/>
      <c r="J1855" s="164"/>
    </row>
    <row r="1856" spans="3:10" x14ac:dyDescent="0.25">
      <c r="C1856" s="164"/>
      <c r="D1856" s="164"/>
      <c r="F1856" s="164"/>
      <c r="G1856" s="164"/>
      <c r="H1856" s="164"/>
      <c r="I1856" s="164"/>
      <c r="J1856" s="164"/>
    </row>
    <row r="1857" spans="3:10" x14ac:dyDescent="0.25">
      <c r="C1857" s="164"/>
      <c r="D1857" s="164"/>
      <c r="F1857" s="164"/>
      <c r="G1857" s="164"/>
      <c r="H1857" s="164"/>
      <c r="I1857" s="164"/>
      <c r="J1857" s="164"/>
    </row>
    <row r="1858" spans="3:10" x14ac:dyDescent="0.25">
      <c r="C1858" s="164"/>
      <c r="D1858" s="164"/>
      <c r="F1858" s="164"/>
      <c r="G1858" s="164"/>
      <c r="H1858" s="164"/>
      <c r="I1858" s="164"/>
      <c r="J1858" s="164"/>
    </row>
    <row r="1859" spans="3:10" x14ac:dyDescent="0.25">
      <c r="C1859" s="164"/>
      <c r="D1859" s="164"/>
      <c r="F1859" s="164"/>
      <c r="G1859" s="164"/>
      <c r="H1859" s="164"/>
      <c r="I1859" s="164"/>
      <c r="J1859" s="164"/>
    </row>
    <row r="1860" spans="3:10" x14ac:dyDescent="0.25">
      <c r="C1860" s="164"/>
      <c r="D1860" s="164"/>
      <c r="F1860" s="164"/>
      <c r="G1860" s="164"/>
      <c r="H1860" s="164"/>
      <c r="I1860" s="164"/>
      <c r="J1860" s="164"/>
    </row>
    <row r="1861" spans="3:10" x14ac:dyDescent="0.25">
      <c r="C1861" s="164"/>
      <c r="D1861" s="164"/>
      <c r="F1861" s="164"/>
      <c r="G1861" s="164"/>
      <c r="H1861" s="164"/>
      <c r="I1861" s="164"/>
      <c r="J1861" s="164"/>
    </row>
    <row r="1862" spans="3:10" x14ac:dyDescent="0.25">
      <c r="C1862" s="164"/>
      <c r="D1862" s="164"/>
      <c r="F1862" s="164"/>
      <c r="G1862" s="164"/>
      <c r="H1862" s="164"/>
      <c r="I1862" s="164"/>
      <c r="J1862" s="164"/>
    </row>
    <row r="1863" spans="3:10" x14ac:dyDescent="0.25">
      <c r="C1863" s="164"/>
      <c r="D1863" s="164"/>
      <c r="F1863" s="164"/>
      <c r="G1863" s="164"/>
      <c r="H1863" s="164"/>
      <c r="I1863" s="164"/>
      <c r="J1863" s="164"/>
    </row>
    <row r="1864" spans="3:10" x14ac:dyDescent="0.25">
      <c r="C1864" s="164"/>
      <c r="D1864" s="164"/>
      <c r="F1864" s="164"/>
      <c r="G1864" s="164"/>
      <c r="H1864" s="164"/>
      <c r="I1864" s="164"/>
      <c r="J1864" s="164"/>
    </row>
    <row r="1865" spans="3:10" x14ac:dyDescent="0.25">
      <c r="C1865" s="164"/>
      <c r="D1865" s="164"/>
      <c r="F1865" s="164"/>
      <c r="G1865" s="164"/>
      <c r="H1865" s="164"/>
      <c r="I1865" s="164"/>
      <c r="J1865" s="164"/>
    </row>
    <row r="1866" spans="3:10" x14ac:dyDescent="0.25">
      <c r="C1866" s="164"/>
      <c r="D1866" s="164"/>
      <c r="F1866" s="164"/>
      <c r="G1866" s="164"/>
      <c r="H1866" s="164"/>
      <c r="I1866" s="164"/>
      <c r="J1866" s="164"/>
    </row>
    <row r="1867" spans="3:10" x14ac:dyDescent="0.25">
      <c r="C1867" s="164"/>
      <c r="D1867" s="164"/>
      <c r="F1867" s="164"/>
      <c r="G1867" s="164"/>
      <c r="H1867" s="164"/>
      <c r="I1867" s="164"/>
      <c r="J1867" s="164"/>
    </row>
    <row r="1868" spans="3:10" x14ac:dyDescent="0.25">
      <c r="C1868" s="164"/>
      <c r="D1868" s="164"/>
      <c r="F1868" s="164"/>
      <c r="G1868" s="164"/>
      <c r="H1868" s="164"/>
      <c r="I1868" s="164"/>
      <c r="J1868" s="164"/>
    </row>
    <row r="1869" spans="3:10" x14ac:dyDescent="0.25">
      <c r="C1869" s="164"/>
      <c r="D1869" s="164"/>
      <c r="F1869" s="164"/>
      <c r="G1869" s="164"/>
      <c r="H1869" s="164"/>
      <c r="I1869" s="164"/>
      <c r="J1869" s="164"/>
    </row>
    <row r="1870" spans="3:10" x14ac:dyDescent="0.25">
      <c r="C1870" s="164"/>
      <c r="D1870" s="164"/>
      <c r="F1870" s="164"/>
      <c r="G1870" s="164"/>
      <c r="H1870" s="164"/>
      <c r="I1870" s="164"/>
      <c r="J1870" s="164"/>
    </row>
    <row r="1871" spans="3:10" x14ac:dyDescent="0.25">
      <c r="C1871" s="164"/>
      <c r="D1871" s="164"/>
      <c r="F1871" s="164"/>
      <c r="G1871" s="164"/>
      <c r="H1871" s="164"/>
      <c r="I1871" s="164"/>
      <c r="J1871" s="164"/>
    </row>
    <row r="1872" spans="3:10" x14ac:dyDescent="0.25">
      <c r="C1872" s="164"/>
      <c r="D1872" s="164"/>
      <c r="F1872" s="164"/>
      <c r="G1872" s="164"/>
      <c r="H1872" s="164"/>
      <c r="I1872" s="164"/>
      <c r="J1872" s="164"/>
    </row>
    <row r="1873" spans="3:10" x14ac:dyDescent="0.25">
      <c r="C1873" s="164"/>
      <c r="D1873" s="164"/>
      <c r="F1873" s="164"/>
      <c r="G1873" s="164"/>
      <c r="H1873" s="164"/>
      <c r="I1873" s="164"/>
      <c r="J1873" s="164"/>
    </row>
    <row r="1874" spans="3:10" x14ac:dyDescent="0.25">
      <c r="C1874" s="164"/>
      <c r="D1874" s="164"/>
      <c r="F1874" s="164"/>
      <c r="G1874" s="164"/>
      <c r="H1874" s="164"/>
      <c r="I1874" s="164"/>
      <c r="J1874" s="164"/>
    </row>
    <row r="1875" spans="3:10" x14ac:dyDescent="0.25">
      <c r="C1875" s="164"/>
      <c r="D1875" s="164"/>
      <c r="F1875" s="164"/>
      <c r="G1875" s="164"/>
      <c r="H1875" s="164"/>
      <c r="I1875" s="164"/>
      <c r="J1875" s="164"/>
    </row>
    <row r="1876" spans="3:10" x14ac:dyDescent="0.25">
      <c r="C1876" s="164"/>
      <c r="D1876" s="164"/>
      <c r="F1876" s="164"/>
      <c r="G1876" s="164"/>
      <c r="H1876" s="164"/>
      <c r="I1876" s="164"/>
      <c r="J1876" s="164"/>
    </row>
    <row r="1877" spans="3:10" x14ac:dyDescent="0.25">
      <c r="C1877" s="164"/>
      <c r="D1877" s="164"/>
      <c r="F1877" s="164"/>
      <c r="G1877" s="164"/>
      <c r="H1877" s="164"/>
      <c r="I1877" s="164"/>
      <c r="J1877" s="164"/>
    </row>
    <row r="1878" spans="3:10" x14ac:dyDescent="0.25">
      <c r="C1878" s="164"/>
      <c r="D1878" s="164"/>
      <c r="F1878" s="164"/>
      <c r="G1878" s="164"/>
      <c r="H1878" s="164"/>
      <c r="I1878" s="164"/>
      <c r="J1878" s="164"/>
    </row>
    <row r="1879" spans="3:10" x14ac:dyDescent="0.25">
      <c r="C1879" s="164"/>
      <c r="D1879" s="164"/>
      <c r="F1879" s="164"/>
      <c r="G1879" s="164"/>
      <c r="H1879" s="164"/>
      <c r="I1879" s="164"/>
      <c r="J1879" s="164"/>
    </row>
    <row r="1880" spans="3:10" x14ac:dyDescent="0.25">
      <c r="C1880" s="164"/>
      <c r="D1880" s="164"/>
      <c r="F1880" s="164"/>
      <c r="G1880" s="164"/>
      <c r="H1880" s="164"/>
      <c r="I1880" s="164"/>
      <c r="J1880" s="164"/>
    </row>
    <row r="1881" spans="3:10" x14ac:dyDescent="0.25">
      <c r="C1881" s="164"/>
      <c r="D1881" s="164"/>
      <c r="F1881" s="164"/>
      <c r="G1881" s="164"/>
      <c r="H1881" s="164"/>
      <c r="I1881" s="164"/>
      <c r="J1881" s="164"/>
    </row>
    <row r="1882" spans="3:10" x14ac:dyDescent="0.25">
      <c r="C1882" s="164"/>
      <c r="D1882" s="164"/>
      <c r="F1882" s="164"/>
      <c r="G1882" s="164"/>
      <c r="H1882" s="164"/>
      <c r="I1882" s="164"/>
      <c r="J1882" s="164"/>
    </row>
    <row r="1883" spans="3:10" x14ac:dyDescent="0.25">
      <c r="C1883" s="164"/>
      <c r="D1883" s="164"/>
      <c r="F1883" s="164"/>
      <c r="G1883" s="164"/>
      <c r="H1883" s="164"/>
      <c r="I1883" s="164"/>
      <c r="J1883" s="164"/>
    </row>
    <row r="1884" spans="3:10" x14ac:dyDescent="0.25">
      <c r="C1884" s="164"/>
      <c r="D1884" s="164"/>
      <c r="F1884" s="164"/>
      <c r="G1884" s="164"/>
      <c r="H1884" s="164"/>
      <c r="I1884" s="164"/>
      <c r="J1884" s="164"/>
    </row>
    <row r="1885" spans="3:10" x14ac:dyDescent="0.25">
      <c r="C1885" s="164"/>
      <c r="D1885" s="164"/>
      <c r="F1885" s="164"/>
      <c r="G1885" s="164"/>
      <c r="H1885" s="164"/>
      <c r="I1885" s="164"/>
      <c r="J1885" s="164"/>
    </row>
    <row r="1886" spans="3:10" x14ac:dyDescent="0.25">
      <c r="C1886" s="164"/>
      <c r="D1886" s="164"/>
      <c r="F1886" s="164"/>
      <c r="G1886" s="164"/>
      <c r="H1886" s="164"/>
      <c r="I1886" s="164"/>
      <c r="J1886" s="164"/>
    </row>
    <row r="1887" spans="3:10" x14ac:dyDescent="0.25">
      <c r="C1887" s="164"/>
      <c r="D1887" s="164"/>
      <c r="F1887" s="164"/>
      <c r="G1887" s="164"/>
      <c r="H1887" s="164"/>
      <c r="I1887" s="164"/>
      <c r="J1887" s="164"/>
    </row>
    <row r="1888" spans="3:10" x14ac:dyDescent="0.25">
      <c r="C1888" s="164"/>
      <c r="D1888" s="164"/>
      <c r="F1888" s="164"/>
      <c r="G1888" s="164"/>
      <c r="H1888" s="164"/>
      <c r="I1888" s="164"/>
      <c r="J1888" s="164"/>
    </row>
    <row r="1889" spans="3:10" x14ac:dyDescent="0.25">
      <c r="C1889" s="164"/>
      <c r="D1889" s="164"/>
      <c r="F1889" s="164"/>
      <c r="G1889" s="164"/>
      <c r="H1889" s="164"/>
      <c r="I1889" s="164"/>
      <c r="J1889" s="164"/>
    </row>
    <row r="1890" spans="3:10" x14ac:dyDescent="0.25">
      <c r="C1890" s="164"/>
      <c r="D1890" s="164"/>
      <c r="F1890" s="164"/>
      <c r="G1890" s="164"/>
      <c r="H1890" s="164"/>
      <c r="I1890" s="164"/>
      <c r="J1890" s="164"/>
    </row>
    <row r="1891" spans="3:10" x14ac:dyDescent="0.25">
      <c r="C1891" s="164"/>
      <c r="D1891" s="164"/>
      <c r="F1891" s="164"/>
      <c r="G1891" s="164"/>
      <c r="H1891" s="164"/>
      <c r="I1891" s="164"/>
      <c r="J1891" s="164"/>
    </row>
    <row r="1892" spans="3:10" x14ac:dyDescent="0.25">
      <c r="C1892" s="164"/>
      <c r="D1892" s="164"/>
      <c r="F1892" s="164"/>
      <c r="G1892" s="164"/>
      <c r="H1892" s="164"/>
      <c r="I1892" s="164"/>
      <c r="J1892" s="164"/>
    </row>
    <row r="1893" spans="3:10" x14ac:dyDescent="0.25">
      <c r="C1893" s="164"/>
      <c r="D1893" s="164"/>
      <c r="F1893" s="164"/>
      <c r="G1893" s="164"/>
      <c r="H1893" s="164"/>
      <c r="I1893" s="164"/>
      <c r="J1893" s="164"/>
    </row>
    <row r="1894" spans="3:10" x14ac:dyDescent="0.25">
      <c r="C1894" s="164"/>
      <c r="D1894" s="164"/>
      <c r="F1894" s="164"/>
      <c r="G1894" s="164"/>
      <c r="H1894" s="164"/>
      <c r="I1894" s="164"/>
      <c r="J1894" s="164"/>
    </row>
    <row r="1895" spans="3:10" x14ac:dyDescent="0.25">
      <c r="C1895" s="164"/>
      <c r="D1895" s="164"/>
      <c r="F1895" s="164"/>
      <c r="G1895" s="164"/>
      <c r="H1895" s="164"/>
      <c r="I1895" s="164"/>
      <c r="J1895" s="164"/>
    </row>
    <row r="1896" spans="3:10" x14ac:dyDescent="0.25">
      <c r="C1896" s="164"/>
      <c r="D1896" s="164"/>
      <c r="F1896" s="164"/>
      <c r="G1896" s="164"/>
      <c r="H1896" s="164"/>
      <c r="I1896" s="164"/>
      <c r="J1896" s="164"/>
    </row>
    <row r="1897" spans="3:10" x14ac:dyDescent="0.25">
      <c r="C1897" s="164"/>
      <c r="D1897" s="164"/>
      <c r="F1897" s="164"/>
      <c r="G1897" s="164"/>
      <c r="H1897" s="164"/>
      <c r="I1897" s="164"/>
      <c r="J1897" s="164"/>
    </row>
    <row r="1898" spans="3:10" x14ac:dyDescent="0.25">
      <c r="C1898" s="164"/>
      <c r="D1898" s="164"/>
      <c r="F1898" s="164"/>
      <c r="G1898" s="164"/>
      <c r="H1898" s="164"/>
      <c r="I1898" s="164"/>
      <c r="J1898" s="164"/>
    </row>
    <row r="1899" spans="3:10" x14ac:dyDescent="0.25">
      <c r="C1899" s="164"/>
      <c r="D1899" s="164"/>
      <c r="F1899" s="164"/>
      <c r="G1899" s="164"/>
      <c r="H1899" s="164"/>
      <c r="I1899" s="164"/>
      <c r="J1899" s="164"/>
    </row>
    <row r="1900" spans="3:10" x14ac:dyDescent="0.25">
      <c r="C1900" s="164"/>
      <c r="D1900" s="164"/>
      <c r="F1900" s="164"/>
      <c r="G1900" s="164"/>
      <c r="H1900" s="164"/>
      <c r="I1900" s="164"/>
      <c r="J1900" s="164"/>
    </row>
    <row r="1901" spans="3:10" x14ac:dyDescent="0.25">
      <c r="C1901" s="164"/>
      <c r="D1901" s="164"/>
      <c r="F1901" s="164"/>
      <c r="G1901" s="164"/>
      <c r="H1901" s="164"/>
      <c r="I1901" s="164"/>
      <c r="J1901" s="164"/>
    </row>
    <row r="1902" spans="3:10" x14ac:dyDescent="0.25">
      <c r="C1902" s="164"/>
      <c r="D1902" s="164"/>
      <c r="F1902" s="164"/>
      <c r="G1902" s="164"/>
      <c r="H1902" s="164"/>
      <c r="I1902" s="164"/>
      <c r="J1902" s="164"/>
    </row>
    <row r="1903" spans="3:10" x14ac:dyDescent="0.25">
      <c r="C1903" s="164"/>
      <c r="D1903" s="164"/>
      <c r="F1903" s="164"/>
      <c r="G1903" s="164"/>
      <c r="H1903" s="164"/>
      <c r="I1903" s="164"/>
      <c r="J1903" s="164"/>
    </row>
    <row r="1904" spans="3:10" x14ac:dyDescent="0.25">
      <c r="C1904" s="164"/>
      <c r="D1904" s="164"/>
      <c r="F1904" s="164"/>
      <c r="G1904" s="164"/>
      <c r="H1904" s="164"/>
      <c r="I1904" s="164"/>
      <c r="J1904" s="164"/>
    </row>
    <row r="1905" spans="3:10" x14ac:dyDescent="0.25">
      <c r="C1905" s="164"/>
      <c r="D1905" s="164"/>
      <c r="F1905" s="164"/>
      <c r="G1905" s="164"/>
      <c r="H1905" s="164"/>
      <c r="I1905" s="164"/>
      <c r="J1905" s="164"/>
    </row>
    <row r="1906" spans="3:10" x14ac:dyDescent="0.25">
      <c r="C1906" s="164"/>
      <c r="D1906" s="164"/>
      <c r="F1906" s="164"/>
      <c r="G1906" s="164"/>
      <c r="H1906" s="164"/>
      <c r="I1906" s="164"/>
      <c r="J1906" s="164"/>
    </row>
    <row r="1907" spans="3:10" x14ac:dyDescent="0.25">
      <c r="C1907" s="164"/>
      <c r="D1907" s="164"/>
      <c r="F1907" s="164"/>
      <c r="G1907" s="164"/>
      <c r="H1907" s="164"/>
      <c r="I1907" s="164"/>
      <c r="J1907" s="164"/>
    </row>
    <row r="1908" spans="3:10" x14ac:dyDescent="0.25">
      <c r="C1908" s="164"/>
      <c r="D1908" s="164"/>
      <c r="F1908" s="164"/>
      <c r="G1908" s="164"/>
      <c r="H1908" s="164"/>
      <c r="I1908" s="164"/>
      <c r="J1908" s="164"/>
    </row>
    <row r="1909" spans="3:10" x14ac:dyDescent="0.25">
      <c r="C1909" s="164"/>
      <c r="D1909" s="164"/>
      <c r="F1909" s="164"/>
      <c r="G1909" s="164"/>
      <c r="H1909" s="164"/>
      <c r="I1909" s="164"/>
      <c r="J1909" s="164"/>
    </row>
    <row r="1910" spans="3:10" x14ac:dyDescent="0.25">
      <c r="C1910" s="164"/>
      <c r="D1910" s="164"/>
      <c r="F1910" s="164"/>
      <c r="G1910" s="164"/>
      <c r="H1910" s="164"/>
      <c r="I1910" s="164"/>
      <c r="J1910" s="164"/>
    </row>
    <row r="1911" spans="3:10" x14ac:dyDescent="0.25">
      <c r="C1911" s="164"/>
      <c r="D1911" s="164"/>
      <c r="F1911" s="164"/>
      <c r="G1911" s="164"/>
      <c r="H1911" s="164"/>
      <c r="I1911" s="164"/>
      <c r="J1911" s="164"/>
    </row>
    <row r="1912" spans="3:10" x14ac:dyDescent="0.25">
      <c r="C1912" s="164"/>
      <c r="D1912" s="164"/>
      <c r="F1912" s="164"/>
      <c r="G1912" s="164"/>
      <c r="H1912" s="164"/>
      <c r="I1912" s="164"/>
      <c r="J1912" s="164"/>
    </row>
    <row r="1913" spans="3:10" x14ac:dyDescent="0.25">
      <c r="C1913" s="164"/>
      <c r="D1913" s="164"/>
      <c r="F1913" s="164"/>
      <c r="G1913" s="164"/>
      <c r="H1913" s="164"/>
      <c r="I1913" s="164"/>
      <c r="J1913" s="164"/>
    </row>
    <row r="1914" spans="3:10" x14ac:dyDescent="0.25">
      <c r="C1914" s="164"/>
      <c r="D1914" s="164"/>
      <c r="F1914" s="164"/>
      <c r="G1914" s="164"/>
      <c r="H1914" s="164"/>
      <c r="I1914" s="164"/>
      <c r="J1914" s="164"/>
    </row>
    <row r="1915" spans="3:10" x14ac:dyDescent="0.25">
      <c r="C1915" s="164"/>
      <c r="D1915" s="164"/>
      <c r="F1915" s="164"/>
      <c r="G1915" s="164"/>
      <c r="H1915" s="164"/>
      <c r="I1915" s="164"/>
      <c r="J1915" s="164"/>
    </row>
    <row r="1916" spans="3:10" x14ac:dyDescent="0.25">
      <c r="C1916" s="164"/>
      <c r="D1916" s="164"/>
      <c r="F1916" s="164"/>
      <c r="G1916" s="164"/>
      <c r="H1916" s="164"/>
      <c r="I1916" s="164"/>
      <c r="J1916" s="164"/>
    </row>
    <row r="1917" spans="3:10" x14ac:dyDescent="0.25">
      <c r="C1917" s="164"/>
      <c r="D1917" s="164"/>
      <c r="F1917" s="164"/>
      <c r="G1917" s="164"/>
      <c r="H1917" s="164"/>
      <c r="I1917" s="164"/>
      <c r="J1917" s="164"/>
    </row>
    <row r="1918" spans="3:10" x14ac:dyDescent="0.25">
      <c r="C1918" s="164"/>
      <c r="D1918" s="164"/>
      <c r="F1918" s="164"/>
      <c r="G1918" s="164"/>
      <c r="H1918" s="164"/>
      <c r="I1918" s="164"/>
      <c r="J1918" s="164"/>
    </row>
    <row r="1919" spans="3:10" x14ac:dyDescent="0.25">
      <c r="C1919" s="164"/>
      <c r="D1919" s="164"/>
      <c r="F1919" s="164"/>
      <c r="G1919" s="164"/>
      <c r="H1919" s="164"/>
      <c r="I1919" s="164"/>
      <c r="J1919" s="164"/>
    </row>
    <row r="1920" spans="3:10" x14ac:dyDescent="0.25">
      <c r="C1920" s="164"/>
      <c r="D1920" s="164"/>
      <c r="F1920" s="164"/>
      <c r="G1920" s="164"/>
      <c r="H1920" s="164"/>
      <c r="I1920" s="164"/>
      <c r="J1920" s="164"/>
    </row>
    <row r="1921" spans="3:10" x14ac:dyDescent="0.25">
      <c r="C1921" s="164"/>
      <c r="D1921" s="164"/>
      <c r="F1921" s="164"/>
      <c r="G1921" s="164"/>
      <c r="H1921" s="164"/>
      <c r="I1921" s="164"/>
      <c r="J1921" s="164"/>
    </row>
    <row r="1922" spans="3:10" x14ac:dyDescent="0.25">
      <c r="C1922" s="164"/>
      <c r="D1922" s="164"/>
      <c r="F1922" s="164"/>
      <c r="G1922" s="164"/>
      <c r="H1922" s="164"/>
      <c r="I1922" s="164"/>
      <c r="J1922" s="164"/>
    </row>
    <row r="1923" spans="3:10" x14ac:dyDescent="0.25">
      <c r="C1923" s="164"/>
      <c r="D1923" s="164"/>
      <c r="F1923" s="164"/>
      <c r="G1923" s="164"/>
      <c r="H1923" s="164"/>
      <c r="I1923" s="164"/>
      <c r="J1923" s="164"/>
    </row>
    <row r="1924" spans="3:10" x14ac:dyDescent="0.25">
      <c r="C1924" s="164"/>
      <c r="D1924" s="164"/>
      <c r="F1924" s="164"/>
      <c r="G1924" s="164"/>
      <c r="H1924" s="164"/>
      <c r="I1924" s="164"/>
      <c r="J1924" s="164"/>
    </row>
    <row r="1925" spans="3:10" x14ac:dyDescent="0.25">
      <c r="C1925" s="164"/>
      <c r="D1925" s="164"/>
      <c r="F1925" s="164"/>
      <c r="G1925" s="164"/>
      <c r="H1925" s="164"/>
      <c r="I1925" s="164"/>
      <c r="J1925" s="164"/>
    </row>
    <row r="1926" spans="3:10" x14ac:dyDescent="0.25">
      <c r="C1926" s="164"/>
      <c r="D1926" s="164"/>
      <c r="F1926" s="164"/>
      <c r="G1926" s="164"/>
      <c r="H1926" s="164"/>
      <c r="I1926" s="164"/>
      <c r="J1926" s="164"/>
    </row>
    <row r="1927" spans="3:10" x14ac:dyDescent="0.25">
      <c r="C1927" s="164"/>
      <c r="D1927" s="164"/>
      <c r="F1927" s="164"/>
      <c r="G1927" s="164"/>
      <c r="H1927" s="164"/>
      <c r="I1927" s="164"/>
      <c r="J1927" s="164"/>
    </row>
    <row r="1928" spans="3:10" x14ac:dyDescent="0.25">
      <c r="C1928" s="164"/>
      <c r="D1928" s="164"/>
      <c r="F1928" s="164"/>
      <c r="G1928" s="164"/>
      <c r="H1928" s="164"/>
      <c r="I1928" s="164"/>
      <c r="J1928" s="164"/>
    </row>
    <row r="1929" spans="3:10" x14ac:dyDescent="0.25">
      <c r="C1929" s="164"/>
      <c r="D1929" s="164"/>
      <c r="F1929" s="164"/>
      <c r="G1929" s="164"/>
      <c r="H1929" s="164"/>
      <c r="I1929" s="164"/>
      <c r="J1929" s="164"/>
    </row>
    <row r="1930" spans="3:10" x14ac:dyDescent="0.25">
      <c r="C1930" s="164"/>
      <c r="D1930" s="164"/>
      <c r="F1930" s="164"/>
      <c r="G1930" s="164"/>
      <c r="H1930" s="164"/>
      <c r="I1930" s="164"/>
      <c r="J1930" s="164"/>
    </row>
    <row r="1931" spans="3:10" x14ac:dyDescent="0.25">
      <c r="C1931" s="164"/>
      <c r="D1931" s="164"/>
      <c r="F1931" s="164"/>
      <c r="G1931" s="164"/>
      <c r="H1931" s="164"/>
      <c r="I1931" s="164"/>
      <c r="J1931" s="164"/>
    </row>
    <row r="1932" spans="3:10" x14ac:dyDescent="0.25">
      <c r="C1932" s="164"/>
      <c r="D1932" s="164"/>
      <c r="F1932" s="164"/>
      <c r="G1932" s="164"/>
      <c r="H1932" s="164"/>
      <c r="I1932" s="164"/>
      <c r="J1932" s="164"/>
    </row>
    <row r="1933" spans="3:10" x14ac:dyDescent="0.25">
      <c r="C1933" s="164"/>
      <c r="D1933" s="164"/>
      <c r="F1933" s="164"/>
      <c r="G1933" s="164"/>
      <c r="H1933" s="164"/>
      <c r="I1933" s="164"/>
      <c r="J1933" s="164"/>
    </row>
    <row r="1934" spans="3:10" x14ac:dyDescent="0.25">
      <c r="C1934" s="164"/>
      <c r="D1934" s="164"/>
      <c r="F1934" s="164"/>
      <c r="G1934" s="164"/>
      <c r="H1934" s="164"/>
      <c r="I1934" s="164"/>
      <c r="J1934" s="164"/>
    </row>
    <row r="1935" spans="3:10" x14ac:dyDescent="0.25">
      <c r="C1935" s="164"/>
      <c r="D1935" s="164"/>
      <c r="F1935" s="164"/>
      <c r="G1935" s="164"/>
      <c r="H1935" s="164"/>
      <c r="I1935" s="164"/>
      <c r="J1935" s="164"/>
    </row>
    <row r="1936" spans="3:10" x14ac:dyDescent="0.25">
      <c r="C1936" s="164"/>
      <c r="D1936" s="164"/>
      <c r="F1936" s="164"/>
      <c r="G1936" s="164"/>
      <c r="H1936" s="164"/>
      <c r="I1936" s="164"/>
      <c r="J1936" s="164"/>
    </row>
    <row r="1937" spans="3:10" x14ac:dyDescent="0.25">
      <c r="C1937" s="164"/>
      <c r="D1937" s="164"/>
      <c r="F1937" s="164"/>
      <c r="G1937" s="164"/>
      <c r="H1937" s="164"/>
      <c r="I1937" s="164"/>
      <c r="J1937" s="164"/>
    </row>
    <row r="1938" spans="3:10" x14ac:dyDescent="0.25">
      <c r="C1938" s="164"/>
      <c r="D1938" s="164"/>
      <c r="F1938" s="164"/>
      <c r="G1938" s="164"/>
      <c r="H1938" s="164"/>
      <c r="I1938" s="164"/>
      <c r="J1938" s="164"/>
    </row>
    <row r="1939" spans="3:10" x14ac:dyDescent="0.25">
      <c r="C1939" s="164"/>
      <c r="D1939" s="164"/>
      <c r="F1939" s="164"/>
      <c r="G1939" s="164"/>
      <c r="H1939" s="164"/>
      <c r="I1939" s="164"/>
      <c r="J1939" s="164"/>
    </row>
    <row r="1940" spans="3:10" x14ac:dyDescent="0.25">
      <c r="C1940" s="164"/>
      <c r="D1940" s="164"/>
      <c r="F1940" s="164"/>
      <c r="G1940" s="164"/>
      <c r="H1940" s="164"/>
      <c r="I1940" s="164"/>
      <c r="J1940" s="164"/>
    </row>
    <row r="1941" spans="3:10" x14ac:dyDescent="0.25">
      <c r="C1941" s="164"/>
      <c r="D1941" s="164"/>
      <c r="F1941" s="164"/>
      <c r="G1941" s="164"/>
      <c r="H1941" s="164"/>
      <c r="I1941" s="164"/>
      <c r="J1941" s="164"/>
    </row>
    <row r="1942" spans="3:10" x14ac:dyDescent="0.25">
      <c r="C1942" s="164"/>
      <c r="D1942" s="164"/>
      <c r="F1942" s="164"/>
      <c r="G1942" s="164"/>
      <c r="H1942" s="164"/>
      <c r="I1942" s="164"/>
      <c r="J1942" s="164"/>
    </row>
    <row r="1943" spans="3:10" x14ac:dyDescent="0.25">
      <c r="C1943" s="164"/>
      <c r="D1943" s="164"/>
      <c r="F1943" s="164"/>
      <c r="G1943" s="164"/>
      <c r="H1943" s="164"/>
      <c r="I1943" s="164"/>
      <c r="J1943" s="164"/>
    </row>
    <row r="1944" spans="3:10" x14ac:dyDescent="0.25">
      <c r="C1944" s="164"/>
      <c r="D1944" s="164"/>
      <c r="F1944" s="164"/>
      <c r="G1944" s="164"/>
      <c r="H1944" s="164"/>
      <c r="I1944" s="164"/>
      <c r="J1944" s="164"/>
    </row>
    <row r="1945" spans="3:10" x14ac:dyDescent="0.25">
      <c r="C1945" s="164"/>
      <c r="D1945" s="164"/>
      <c r="F1945" s="164"/>
      <c r="G1945" s="164"/>
      <c r="H1945" s="164"/>
      <c r="I1945" s="164"/>
      <c r="J1945" s="164"/>
    </row>
    <row r="1946" spans="3:10" x14ac:dyDescent="0.25">
      <c r="C1946" s="164"/>
      <c r="D1946" s="164"/>
      <c r="F1946" s="164"/>
      <c r="G1946" s="164"/>
      <c r="H1946" s="164"/>
      <c r="I1946" s="164"/>
      <c r="J1946" s="164"/>
    </row>
    <row r="1947" spans="3:10" x14ac:dyDescent="0.25">
      <c r="C1947" s="164"/>
      <c r="D1947" s="164"/>
      <c r="F1947" s="164"/>
      <c r="G1947" s="164"/>
      <c r="H1947" s="164"/>
      <c r="I1947" s="164"/>
      <c r="J1947" s="164"/>
    </row>
    <row r="1948" spans="3:10" x14ac:dyDescent="0.25">
      <c r="C1948" s="164"/>
      <c r="D1948" s="164"/>
      <c r="F1948" s="164"/>
      <c r="G1948" s="164"/>
      <c r="H1948" s="164"/>
      <c r="I1948" s="164"/>
      <c r="J1948" s="164"/>
    </row>
    <row r="1949" spans="3:10" x14ac:dyDescent="0.25">
      <c r="C1949" s="164"/>
      <c r="D1949" s="164"/>
      <c r="F1949" s="164"/>
      <c r="G1949" s="164"/>
      <c r="H1949" s="164"/>
      <c r="I1949" s="164"/>
      <c r="J1949" s="164"/>
    </row>
    <row r="1950" spans="3:10" x14ac:dyDescent="0.25">
      <c r="C1950" s="164"/>
      <c r="D1950" s="164"/>
      <c r="F1950" s="164"/>
      <c r="G1950" s="164"/>
      <c r="H1950" s="164"/>
      <c r="I1950" s="164"/>
      <c r="J1950" s="164"/>
    </row>
    <row r="1951" spans="3:10" x14ac:dyDescent="0.25">
      <c r="C1951" s="164"/>
      <c r="D1951" s="164"/>
      <c r="F1951" s="164"/>
      <c r="G1951" s="164"/>
      <c r="H1951" s="164"/>
      <c r="I1951" s="164"/>
      <c r="J1951" s="164"/>
    </row>
    <row r="1952" spans="3:10" x14ac:dyDescent="0.25">
      <c r="C1952" s="164"/>
      <c r="D1952" s="164"/>
      <c r="F1952" s="164"/>
      <c r="G1952" s="164"/>
      <c r="H1952" s="164"/>
      <c r="I1952" s="164"/>
      <c r="J1952" s="164"/>
    </row>
    <row r="1953" spans="3:10" x14ac:dyDescent="0.25">
      <c r="C1953" s="164"/>
      <c r="D1953" s="164"/>
      <c r="F1953" s="164"/>
      <c r="G1953" s="164"/>
      <c r="H1953" s="164"/>
      <c r="I1953" s="164"/>
      <c r="J1953" s="164"/>
    </row>
    <row r="1954" spans="3:10" x14ac:dyDescent="0.25">
      <c r="C1954" s="164"/>
      <c r="D1954" s="164"/>
      <c r="F1954" s="164"/>
      <c r="G1954" s="164"/>
      <c r="H1954" s="164"/>
      <c r="I1954" s="164"/>
      <c r="J1954" s="164"/>
    </row>
    <row r="1955" spans="3:10" x14ac:dyDescent="0.25">
      <c r="C1955" s="164"/>
      <c r="D1955" s="164"/>
      <c r="F1955" s="164"/>
      <c r="G1955" s="164"/>
      <c r="H1955" s="164"/>
      <c r="I1955" s="164"/>
      <c r="J1955" s="164"/>
    </row>
    <row r="1956" spans="3:10" x14ac:dyDescent="0.25">
      <c r="C1956" s="164"/>
      <c r="D1956" s="164"/>
      <c r="F1956" s="164"/>
      <c r="G1956" s="164"/>
      <c r="H1956" s="164"/>
      <c r="I1956" s="164"/>
      <c r="J1956" s="164"/>
    </row>
    <row r="1957" spans="3:10" x14ac:dyDescent="0.25">
      <c r="C1957" s="164"/>
      <c r="D1957" s="164"/>
      <c r="F1957" s="164"/>
      <c r="G1957" s="164"/>
      <c r="H1957" s="164"/>
      <c r="I1957" s="164"/>
      <c r="J1957" s="164"/>
    </row>
    <row r="1958" spans="3:10" x14ac:dyDescent="0.25">
      <c r="C1958" s="164"/>
      <c r="D1958" s="164"/>
      <c r="F1958" s="164"/>
      <c r="G1958" s="164"/>
      <c r="H1958" s="164"/>
      <c r="I1958" s="164"/>
      <c r="J1958" s="164"/>
    </row>
    <row r="1959" spans="3:10" x14ac:dyDescent="0.25">
      <c r="C1959" s="164"/>
      <c r="D1959" s="164"/>
      <c r="F1959" s="164"/>
      <c r="G1959" s="164"/>
      <c r="H1959" s="164"/>
      <c r="I1959" s="164"/>
      <c r="J1959" s="164"/>
    </row>
    <row r="1960" spans="3:10" x14ac:dyDescent="0.25">
      <c r="C1960" s="164"/>
      <c r="D1960" s="164"/>
      <c r="F1960" s="164"/>
      <c r="G1960" s="164"/>
      <c r="H1960" s="164"/>
      <c r="I1960" s="164"/>
      <c r="J1960" s="164"/>
    </row>
    <row r="1961" spans="3:10" x14ac:dyDescent="0.25">
      <c r="C1961" s="164"/>
      <c r="D1961" s="164"/>
      <c r="F1961" s="164"/>
      <c r="G1961" s="164"/>
      <c r="H1961" s="164"/>
      <c r="I1961" s="164"/>
      <c r="J1961" s="164"/>
    </row>
    <row r="1962" spans="3:10" x14ac:dyDescent="0.25">
      <c r="C1962" s="164"/>
      <c r="D1962" s="164"/>
      <c r="F1962" s="164"/>
      <c r="G1962" s="164"/>
      <c r="H1962" s="164"/>
      <c r="I1962" s="164"/>
      <c r="J1962" s="164"/>
    </row>
    <row r="1963" spans="3:10" x14ac:dyDescent="0.25">
      <c r="C1963" s="164"/>
      <c r="D1963" s="164"/>
      <c r="F1963" s="164"/>
      <c r="G1963" s="164"/>
      <c r="H1963" s="164"/>
      <c r="I1963" s="164"/>
      <c r="J1963" s="164"/>
    </row>
    <row r="1964" spans="3:10" x14ac:dyDescent="0.25">
      <c r="C1964" s="164"/>
      <c r="D1964" s="164"/>
      <c r="F1964" s="164"/>
      <c r="G1964" s="164"/>
      <c r="H1964" s="164"/>
      <c r="I1964" s="164"/>
      <c r="J1964" s="164"/>
    </row>
    <row r="1965" spans="3:10" x14ac:dyDescent="0.25">
      <c r="C1965" s="164"/>
      <c r="D1965" s="164"/>
      <c r="F1965" s="164"/>
      <c r="G1965" s="164"/>
      <c r="H1965" s="164"/>
      <c r="I1965" s="164"/>
      <c r="J1965" s="164"/>
    </row>
    <row r="1966" spans="3:10" x14ac:dyDescent="0.25">
      <c r="C1966" s="164"/>
      <c r="D1966" s="164"/>
      <c r="F1966" s="164"/>
      <c r="G1966" s="164"/>
      <c r="H1966" s="164"/>
      <c r="I1966" s="164"/>
      <c r="J1966" s="164"/>
    </row>
    <row r="1967" spans="3:10" x14ac:dyDescent="0.25">
      <c r="C1967" s="164"/>
      <c r="D1967" s="164"/>
      <c r="F1967" s="164"/>
      <c r="G1967" s="164"/>
      <c r="H1967" s="164"/>
      <c r="I1967" s="164"/>
      <c r="J1967" s="164"/>
    </row>
    <row r="1968" spans="3:10" x14ac:dyDescent="0.25">
      <c r="C1968" s="164"/>
      <c r="D1968" s="164"/>
      <c r="F1968" s="164"/>
      <c r="G1968" s="164"/>
      <c r="H1968" s="164"/>
      <c r="I1968" s="164"/>
      <c r="J1968" s="164"/>
    </row>
    <row r="1969" spans="3:10" x14ac:dyDescent="0.25">
      <c r="C1969" s="164"/>
      <c r="D1969" s="164"/>
      <c r="F1969" s="164"/>
      <c r="G1969" s="164"/>
      <c r="H1969" s="164"/>
      <c r="I1969" s="164"/>
      <c r="J1969" s="164"/>
    </row>
    <row r="1970" spans="3:10" x14ac:dyDescent="0.25">
      <c r="C1970" s="164"/>
      <c r="D1970" s="164"/>
      <c r="F1970" s="164"/>
      <c r="G1970" s="164"/>
      <c r="H1970" s="164"/>
      <c r="I1970" s="164"/>
      <c r="J1970" s="164"/>
    </row>
    <row r="1971" spans="3:10" x14ac:dyDescent="0.25">
      <c r="C1971" s="164"/>
      <c r="D1971" s="164"/>
      <c r="F1971" s="164"/>
      <c r="G1971" s="164"/>
      <c r="H1971" s="164"/>
      <c r="I1971" s="164"/>
      <c r="J1971" s="164"/>
    </row>
    <row r="1972" spans="3:10" x14ac:dyDescent="0.25">
      <c r="C1972" s="164"/>
      <c r="D1972" s="164"/>
      <c r="F1972" s="164"/>
      <c r="G1972" s="164"/>
      <c r="H1972" s="164"/>
      <c r="I1972" s="164"/>
      <c r="J1972" s="164"/>
    </row>
    <row r="1973" spans="3:10" x14ac:dyDescent="0.25">
      <c r="C1973" s="164"/>
      <c r="D1973" s="164"/>
      <c r="F1973" s="164"/>
      <c r="G1973" s="164"/>
      <c r="H1973" s="164"/>
      <c r="I1973" s="164"/>
      <c r="J1973" s="164"/>
    </row>
    <row r="1974" spans="3:10" x14ac:dyDescent="0.25">
      <c r="C1974" s="164"/>
      <c r="D1974" s="164"/>
      <c r="F1974" s="164"/>
      <c r="G1974" s="164"/>
      <c r="H1974" s="164"/>
      <c r="I1974" s="164"/>
      <c r="J1974" s="164"/>
    </row>
    <row r="1975" spans="3:10" x14ac:dyDescent="0.25">
      <c r="C1975" s="164"/>
      <c r="D1975" s="164"/>
      <c r="F1975" s="164"/>
      <c r="G1975" s="164"/>
      <c r="H1975" s="164"/>
      <c r="I1975" s="164"/>
      <c r="J1975" s="164"/>
    </row>
    <row r="1976" spans="3:10" x14ac:dyDescent="0.25">
      <c r="C1976" s="164"/>
      <c r="D1976" s="164"/>
      <c r="F1976" s="164"/>
      <c r="G1976" s="164"/>
      <c r="H1976" s="164"/>
      <c r="I1976" s="164"/>
      <c r="J1976" s="164"/>
    </row>
    <row r="1977" spans="3:10" x14ac:dyDescent="0.25">
      <c r="C1977" s="164"/>
      <c r="D1977" s="164"/>
      <c r="F1977" s="164"/>
      <c r="G1977" s="164"/>
      <c r="H1977" s="164"/>
      <c r="I1977" s="164"/>
      <c r="J1977" s="164"/>
    </row>
    <row r="1978" spans="3:10" x14ac:dyDescent="0.25">
      <c r="C1978" s="164"/>
      <c r="D1978" s="164"/>
      <c r="F1978" s="164"/>
      <c r="G1978" s="164"/>
      <c r="H1978" s="164"/>
      <c r="I1978" s="164"/>
      <c r="J1978" s="164"/>
    </row>
    <row r="1979" spans="3:10" x14ac:dyDescent="0.25">
      <c r="C1979" s="164"/>
      <c r="D1979" s="164"/>
      <c r="F1979" s="164"/>
      <c r="G1979" s="164"/>
      <c r="H1979" s="164"/>
      <c r="I1979" s="164"/>
      <c r="J1979" s="164"/>
    </row>
    <row r="1980" spans="3:10" x14ac:dyDescent="0.25">
      <c r="C1980" s="164"/>
      <c r="D1980" s="164"/>
      <c r="F1980" s="164"/>
      <c r="G1980" s="164"/>
      <c r="H1980" s="164"/>
      <c r="I1980" s="164"/>
      <c r="J1980" s="164"/>
    </row>
    <row r="1981" spans="3:10" x14ac:dyDescent="0.25">
      <c r="C1981" s="164"/>
      <c r="D1981" s="164"/>
      <c r="F1981" s="164"/>
      <c r="G1981" s="164"/>
      <c r="H1981" s="164"/>
      <c r="I1981" s="164"/>
      <c r="J1981" s="164"/>
    </row>
    <row r="1982" spans="3:10" x14ac:dyDescent="0.25">
      <c r="C1982" s="164"/>
      <c r="D1982" s="164"/>
      <c r="F1982" s="164"/>
      <c r="G1982" s="164"/>
      <c r="H1982" s="164"/>
      <c r="I1982" s="164"/>
      <c r="J1982" s="164"/>
    </row>
    <row r="1983" spans="3:10" x14ac:dyDescent="0.25">
      <c r="C1983" s="164"/>
      <c r="D1983" s="164"/>
      <c r="F1983" s="164"/>
      <c r="G1983" s="164"/>
      <c r="H1983" s="164"/>
      <c r="I1983" s="164"/>
      <c r="J1983" s="164"/>
    </row>
    <row r="1984" spans="3:10" x14ac:dyDescent="0.25">
      <c r="C1984" s="164"/>
      <c r="D1984" s="164"/>
      <c r="F1984" s="164"/>
      <c r="G1984" s="164"/>
      <c r="H1984" s="164"/>
      <c r="I1984" s="164"/>
      <c r="J1984" s="164"/>
    </row>
    <row r="1985" spans="3:10" x14ac:dyDescent="0.25">
      <c r="C1985" s="164"/>
      <c r="D1985" s="164"/>
      <c r="F1985" s="164"/>
      <c r="G1985" s="164"/>
      <c r="H1985" s="164"/>
      <c r="I1985" s="164"/>
      <c r="J1985" s="164"/>
    </row>
    <row r="1986" spans="3:10" x14ac:dyDescent="0.25">
      <c r="C1986" s="164"/>
      <c r="D1986" s="164"/>
      <c r="F1986" s="164"/>
      <c r="G1986" s="164"/>
      <c r="H1986" s="164"/>
      <c r="I1986" s="164"/>
      <c r="J1986" s="164"/>
    </row>
    <row r="1987" spans="3:10" x14ac:dyDescent="0.25">
      <c r="C1987" s="164"/>
      <c r="D1987" s="164"/>
      <c r="F1987" s="164"/>
      <c r="G1987" s="164"/>
      <c r="H1987" s="164"/>
      <c r="I1987" s="164"/>
      <c r="J1987" s="164"/>
    </row>
    <row r="1988" spans="3:10" x14ac:dyDescent="0.25">
      <c r="C1988" s="164"/>
      <c r="D1988" s="164"/>
      <c r="F1988" s="164"/>
      <c r="G1988" s="164"/>
      <c r="H1988" s="164"/>
      <c r="I1988" s="164"/>
      <c r="J1988" s="164"/>
    </row>
    <row r="1989" spans="3:10" x14ac:dyDescent="0.25">
      <c r="C1989" s="164"/>
      <c r="D1989" s="164"/>
      <c r="F1989" s="164"/>
      <c r="G1989" s="164"/>
      <c r="H1989" s="164"/>
      <c r="I1989" s="164"/>
      <c r="J1989" s="164"/>
    </row>
    <row r="1990" spans="3:10" x14ac:dyDescent="0.25">
      <c r="C1990" s="164"/>
      <c r="D1990" s="164"/>
      <c r="F1990" s="164"/>
      <c r="G1990" s="164"/>
      <c r="H1990" s="164"/>
      <c r="I1990" s="164"/>
      <c r="J1990" s="164"/>
    </row>
    <row r="1991" spans="3:10" x14ac:dyDescent="0.25">
      <c r="C1991" s="164"/>
      <c r="D1991" s="164"/>
      <c r="F1991" s="164"/>
      <c r="G1991" s="164"/>
      <c r="H1991" s="164"/>
      <c r="I1991" s="164"/>
      <c r="J1991" s="164"/>
    </row>
    <row r="1992" spans="3:10" x14ac:dyDescent="0.25">
      <c r="C1992" s="164"/>
      <c r="D1992" s="164"/>
      <c r="F1992" s="164"/>
      <c r="G1992" s="164"/>
      <c r="H1992" s="164"/>
      <c r="I1992" s="164"/>
      <c r="J1992" s="164"/>
    </row>
    <row r="1993" spans="3:10" x14ac:dyDescent="0.25">
      <c r="C1993" s="164"/>
      <c r="D1993" s="164"/>
      <c r="F1993" s="164"/>
      <c r="G1993" s="164"/>
      <c r="H1993" s="164"/>
      <c r="I1993" s="164"/>
      <c r="J1993" s="164"/>
    </row>
    <row r="1994" spans="3:10" x14ac:dyDescent="0.25">
      <c r="C1994" s="164"/>
      <c r="D1994" s="164"/>
      <c r="F1994" s="164"/>
      <c r="G1994" s="164"/>
      <c r="H1994" s="164"/>
      <c r="I1994" s="164"/>
      <c r="J1994" s="164"/>
    </row>
    <row r="1995" spans="3:10" x14ac:dyDescent="0.25">
      <c r="C1995" s="164"/>
      <c r="D1995" s="164"/>
      <c r="F1995" s="164"/>
      <c r="G1995" s="164"/>
      <c r="H1995" s="164"/>
      <c r="I1995" s="164"/>
      <c r="J1995" s="164"/>
    </row>
    <row r="1996" spans="3:10" x14ac:dyDescent="0.25">
      <c r="C1996" s="164"/>
      <c r="D1996" s="164"/>
      <c r="F1996" s="164"/>
      <c r="G1996" s="164"/>
      <c r="H1996" s="164"/>
      <c r="I1996" s="164"/>
      <c r="J1996" s="164"/>
    </row>
    <row r="1997" spans="3:10" x14ac:dyDescent="0.25">
      <c r="C1997" s="164"/>
      <c r="D1997" s="164"/>
      <c r="F1997" s="164"/>
      <c r="G1997" s="164"/>
      <c r="H1997" s="164"/>
      <c r="I1997" s="164"/>
      <c r="J1997" s="164"/>
    </row>
    <row r="1998" spans="3:10" x14ac:dyDescent="0.25">
      <c r="C1998" s="164"/>
      <c r="D1998" s="164"/>
      <c r="F1998" s="164"/>
      <c r="G1998" s="164"/>
      <c r="H1998" s="164"/>
      <c r="I1998" s="164"/>
      <c r="J1998" s="164"/>
    </row>
    <row r="1999" spans="3:10" x14ac:dyDescent="0.25">
      <c r="C1999" s="164"/>
      <c r="D1999" s="164"/>
      <c r="F1999" s="164"/>
      <c r="G1999" s="164"/>
      <c r="H1999" s="164"/>
      <c r="I1999" s="164"/>
      <c r="J1999" s="164"/>
    </row>
    <row r="2000" spans="3:10" x14ac:dyDescent="0.25">
      <c r="C2000" s="164"/>
      <c r="D2000" s="164"/>
      <c r="F2000" s="164"/>
      <c r="G2000" s="164"/>
      <c r="H2000" s="164"/>
      <c r="I2000" s="164"/>
      <c r="J2000" s="164"/>
    </row>
    <row r="2001" spans="3:10" x14ac:dyDescent="0.25">
      <c r="C2001" s="164"/>
      <c r="D2001" s="164"/>
      <c r="F2001" s="164"/>
      <c r="G2001" s="164"/>
      <c r="H2001" s="164"/>
      <c r="I2001" s="164"/>
      <c r="J2001" s="164"/>
    </row>
    <row r="2002" spans="3:10" x14ac:dyDescent="0.25">
      <c r="C2002" s="164"/>
      <c r="D2002" s="164"/>
      <c r="F2002" s="164"/>
      <c r="G2002" s="164"/>
      <c r="H2002" s="164"/>
      <c r="I2002" s="164"/>
      <c r="J2002" s="164"/>
    </row>
    <row r="2003" spans="3:10" x14ac:dyDescent="0.25">
      <c r="C2003" s="164"/>
      <c r="D2003" s="164"/>
      <c r="F2003" s="164"/>
      <c r="G2003" s="164"/>
      <c r="H2003" s="164"/>
      <c r="I2003" s="164"/>
      <c r="J2003" s="164"/>
    </row>
    <row r="2004" spans="3:10" x14ac:dyDescent="0.25">
      <c r="G2004" s="164"/>
      <c r="H2004" s="164"/>
      <c r="I2004" s="164"/>
      <c r="J2004" s="164"/>
    </row>
    <row r="2005" spans="3:10" x14ac:dyDescent="0.25">
      <c r="G2005" s="164"/>
      <c r="H2005" s="164"/>
      <c r="I2005" s="164"/>
      <c r="J2005" s="164"/>
    </row>
    <row r="2006" spans="3:10" x14ac:dyDescent="0.25">
      <c r="G2006" s="164"/>
      <c r="H2006" s="164"/>
      <c r="I2006" s="164"/>
      <c r="J2006" s="164"/>
    </row>
    <row r="2007" spans="3:10" x14ac:dyDescent="0.25">
      <c r="G2007" s="164"/>
      <c r="H2007" s="164"/>
      <c r="I2007" s="164"/>
      <c r="J2007" s="164"/>
    </row>
    <row r="2008" spans="3:10" x14ac:dyDescent="0.25">
      <c r="G2008" s="164"/>
      <c r="H2008" s="164"/>
      <c r="I2008" s="164"/>
      <c r="J2008" s="164"/>
    </row>
    <row r="2009" spans="3:10" x14ac:dyDescent="0.25">
      <c r="G2009" s="164"/>
      <c r="H2009" s="164"/>
      <c r="I2009" s="164"/>
      <c r="J2009" s="164"/>
    </row>
    <row r="2010" spans="3:10" x14ac:dyDescent="0.25">
      <c r="G2010" s="164"/>
      <c r="H2010" s="164"/>
      <c r="I2010" s="164"/>
      <c r="J2010" s="164"/>
    </row>
    <row r="2011" spans="3:10" x14ac:dyDescent="0.25">
      <c r="G2011" s="164"/>
      <c r="H2011" s="164"/>
      <c r="I2011" s="164"/>
      <c r="J2011" s="164"/>
    </row>
    <row r="2012" spans="3:10" x14ac:dyDescent="0.25">
      <c r="G2012" s="164"/>
      <c r="H2012" s="164"/>
      <c r="I2012" s="164"/>
      <c r="J2012" s="164"/>
    </row>
    <row r="2013" spans="3:10" x14ac:dyDescent="0.25">
      <c r="G2013" s="164"/>
      <c r="H2013" s="164"/>
      <c r="I2013" s="164"/>
      <c r="J2013" s="164"/>
    </row>
    <row r="2014" spans="3:10" x14ac:dyDescent="0.25">
      <c r="G2014" s="164"/>
      <c r="H2014" s="164"/>
      <c r="I2014" s="164"/>
      <c r="J2014" s="164"/>
    </row>
    <row r="2015" spans="3:10" x14ac:dyDescent="0.25">
      <c r="G2015" s="164"/>
      <c r="H2015" s="164"/>
      <c r="I2015" s="164"/>
      <c r="J2015" s="164"/>
    </row>
    <row r="2016" spans="3:10" x14ac:dyDescent="0.25">
      <c r="G2016" s="164"/>
      <c r="H2016" s="164"/>
      <c r="I2016" s="164"/>
      <c r="J2016" s="164"/>
    </row>
    <row r="2017" spans="7:10" x14ac:dyDescent="0.25">
      <c r="G2017" s="164"/>
      <c r="H2017" s="164"/>
      <c r="I2017" s="164"/>
      <c r="J2017" s="164"/>
    </row>
    <row r="2018" spans="7:10" x14ac:dyDescent="0.25">
      <c r="G2018" s="164"/>
      <c r="H2018" s="164"/>
      <c r="I2018" s="164"/>
      <c r="J2018" s="164"/>
    </row>
    <row r="2019" spans="7:10" x14ac:dyDescent="0.25">
      <c r="G2019" s="164"/>
      <c r="H2019" s="164"/>
      <c r="I2019" s="164"/>
      <c r="J2019" s="164"/>
    </row>
    <row r="2020" spans="7:10" x14ac:dyDescent="0.25">
      <c r="G2020" s="164"/>
      <c r="H2020" s="164"/>
      <c r="I2020" s="164"/>
      <c r="J2020" s="164"/>
    </row>
    <row r="2021" spans="7:10" x14ac:dyDescent="0.25">
      <c r="G2021" s="164"/>
      <c r="H2021" s="164"/>
      <c r="I2021" s="164"/>
      <c r="J2021" s="164"/>
    </row>
    <row r="2022" spans="7:10" x14ac:dyDescent="0.25">
      <c r="G2022" s="164"/>
      <c r="H2022" s="164"/>
      <c r="I2022" s="164"/>
      <c r="J2022" s="164"/>
    </row>
    <row r="2023" spans="7:10" x14ac:dyDescent="0.25">
      <c r="G2023" s="164"/>
      <c r="H2023" s="164"/>
      <c r="I2023" s="164"/>
      <c r="J2023" s="164"/>
    </row>
    <row r="2024" spans="7:10" x14ac:dyDescent="0.25">
      <c r="G2024" s="164"/>
      <c r="H2024" s="164"/>
      <c r="I2024" s="164"/>
      <c r="J2024" s="164"/>
    </row>
    <row r="2025" spans="7:10" x14ac:dyDescent="0.25">
      <c r="G2025" s="164"/>
      <c r="H2025" s="164"/>
      <c r="I2025" s="164"/>
      <c r="J2025" s="164"/>
    </row>
    <row r="2026" spans="7:10" x14ac:dyDescent="0.25">
      <c r="G2026" s="164"/>
      <c r="H2026" s="164"/>
      <c r="I2026" s="164"/>
      <c r="J2026" s="164"/>
    </row>
    <row r="2027" spans="7:10" x14ac:dyDescent="0.25">
      <c r="G2027" s="164"/>
      <c r="H2027" s="164"/>
      <c r="I2027" s="164"/>
      <c r="J2027" s="164"/>
    </row>
    <row r="2028" spans="7:10" x14ac:dyDescent="0.25">
      <c r="G2028" s="164"/>
      <c r="H2028" s="164"/>
      <c r="I2028" s="164"/>
      <c r="J2028" s="164"/>
    </row>
    <row r="2029" spans="7:10" x14ac:dyDescent="0.25">
      <c r="G2029" s="164"/>
      <c r="H2029" s="164"/>
      <c r="I2029" s="164"/>
      <c r="J2029" s="164"/>
    </row>
    <row r="2030" spans="7:10" x14ac:dyDescent="0.25">
      <c r="G2030" s="164"/>
      <c r="H2030" s="164"/>
      <c r="I2030" s="164"/>
      <c r="J2030" s="164"/>
    </row>
    <row r="2031" spans="7:10" x14ac:dyDescent="0.25">
      <c r="G2031" s="164"/>
      <c r="H2031" s="164"/>
      <c r="I2031" s="164"/>
      <c r="J2031" s="164"/>
    </row>
    <row r="2032" spans="7:10" x14ac:dyDescent="0.25">
      <c r="G2032" s="164"/>
      <c r="H2032" s="164"/>
      <c r="I2032" s="164"/>
      <c r="J2032" s="164"/>
    </row>
    <row r="2033" spans="7:10" x14ac:dyDescent="0.25">
      <c r="G2033" s="164"/>
      <c r="H2033" s="164"/>
      <c r="I2033" s="164"/>
      <c r="J2033" s="164"/>
    </row>
    <row r="2034" spans="7:10" x14ac:dyDescent="0.25">
      <c r="G2034" s="164"/>
      <c r="H2034" s="164"/>
      <c r="I2034" s="164"/>
      <c r="J2034" s="164"/>
    </row>
    <row r="2035" spans="7:10" x14ac:dyDescent="0.25">
      <c r="G2035" s="164"/>
      <c r="H2035" s="164"/>
      <c r="I2035" s="164"/>
      <c r="J2035" s="164"/>
    </row>
    <row r="2036" spans="7:10" x14ac:dyDescent="0.25">
      <c r="G2036" s="164"/>
      <c r="H2036" s="164"/>
      <c r="I2036" s="164"/>
      <c r="J2036" s="164"/>
    </row>
    <row r="2037" spans="7:10" x14ac:dyDescent="0.25">
      <c r="G2037" s="164"/>
      <c r="H2037" s="164"/>
      <c r="I2037" s="164"/>
      <c r="J2037" s="164"/>
    </row>
    <row r="2038" spans="7:10" x14ac:dyDescent="0.25">
      <c r="G2038" s="164"/>
      <c r="H2038" s="164"/>
      <c r="I2038" s="164"/>
      <c r="J2038" s="164"/>
    </row>
    <row r="2039" spans="7:10" x14ac:dyDescent="0.25">
      <c r="G2039" s="164"/>
      <c r="H2039" s="164"/>
      <c r="I2039" s="164"/>
      <c r="J2039" s="164"/>
    </row>
    <row r="2040" spans="7:10" x14ac:dyDescent="0.25">
      <c r="G2040" s="164"/>
      <c r="H2040" s="164"/>
      <c r="I2040" s="164"/>
      <c r="J2040" s="164"/>
    </row>
    <row r="2041" spans="7:10" x14ac:dyDescent="0.25">
      <c r="G2041" s="164"/>
      <c r="H2041" s="164"/>
      <c r="I2041" s="164"/>
      <c r="J2041" s="164"/>
    </row>
    <row r="2042" spans="7:10" x14ac:dyDescent="0.25">
      <c r="G2042" s="164"/>
      <c r="H2042" s="164"/>
      <c r="I2042" s="164"/>
      <c r="J2042" s="164"/>
    </row>
    <row r="2043" spans="7:10" x14ac:dyDescent="0.25">
      <c r="G2043" s="164"/>
      <c r="H2043" s="164"/>
      <c r="I2043" s="164"/>
      <c r="J2043" s="164"/>
    </row>
    <row r="2044" spans="7:10" x14ac:dyDescent="0.25">
      <c r="G2044" s="164"/>
      <c r="H2044" s="164"/>
      <c r="I2044" s="164"/>
      <c r="J2044" s="164"/>
    </row>
    <row r="2045" spans="7:10" x14ac:dyDescent="0.25">
      <c r="G2045" s="164"/>
      <c r="H2045" s="164"/>
      <c r="I2045" s="164"/>
      <c r="J2045" s="164"/>
    </row>
    <row r="2046" spans="7:10" x14ac:dyDescent="0.25">
      <c r="G2046" s="164"/>
      <c r="H2046" s="164"/>
      <c r="I2046" s="164"/>
      <c r="J2046" s="164"/>
    </row>
    <row r="2047" spans="7:10" x14ac:dyDescent="0.25">
      <c r="G2047" s="164"/>
      <c r="H2047" s="164"/>
      <c r="I2047" s="164"/>
      <c r="J2047" s="164"/>
    </row>
    <row r="2048" spans="7:10" x14ac:dyDescent="0.25">
      <c r="G2048" s="164"/>
      <c r="H2048" s="164"/>
      <c r="I2048" s="164"/>
      <c r="J2048" s="164"/>
    </row>
    <row r="2049" spans="7:10" x14ac:dyDescent="0.25">
      <c r="G2049" s="164"/>
      <c r="H2049" s="164"/>
      <c r="I2049" s="164"/>
      <c r="J2049" s="164"/>
    </row>
    <row r="2050" spans="7:10" x14ac:dyDescent="0.25">
      <c r="G2050" s="164"/>
      <c r="H2050" s="164"/>
      <c r="I2050" s="164"/>
      <c r="J2050" s="164"/>
    </row>
    <row r="2051" spans="7:10" x14ac:dyDescent="0.25">
      <c r="G2051" s="164"/>
      <c r="H2051" s="164"/>
      <c r="I2051" s="164"/>
      <c r="J2051" s="164"/>
    </row>
    <row r="2052" spans="7:10" x14ac:dyDescent="0.25">
      <c r="G2052" s="164"/>
      <c r="H2052" s="164"/>
      <c r="I2052" s="164"/>
      <c r="J2052" s="164"/>
    </row>
    <row r="2053" spans="7:10" x14ac:dyDescent="0.25">
      <c r="G2053" s="164"/>
      <c r="H2053" s="164"/>
      <c r="I2053" s="164"/>
      <c r="J2053" s="164"/>
    </row>
    <row r="2054" spans="7:10" x14ac:dyDescent="0.25">
      <c r="G2054" s="164"/>
      <c r="H2054" s="164"/>
      <c r="I2054" s="164"/>
      <c r="J2054" s="164"/>
    </row>
    <row r="2055" spans="7:10" x14ac:dyDescent="0.25">
      <c r="G2055" s="164"/>
      <c r="H2055" s="164"/>
      <c r="I2055" s="164"/>
      <c r="J2055" s="164"/>
    </row>
    <row r="2056" spans="7:10" x14ac:dyDescent="0.25">
      <c r="G2056" s="164"/>
      <c r="H2056" s="164"/>
      <c r="I2056" s="164"/>
      <c r="J2056" s="164"/>
    </row>
    <row r="2057" spans="7:10" x14ac:dyDescent="0.25">
      <c r="G2057" s="164"/>
      <c r="H2057" s="164"/>
      <c r="I2057" s="164"/>
      <c r="J2057" s="164"/>
    </row>
    <row r="2058" spans="7:10" x14ac:dyDescent="0.25">
      <c r="G2058" s="164"/>
      <c r="H2058" s="164"/>
      <c r="I2058" s="164"/>
      <c r="J2058" s="164"/>
    </row>
    <row r="2059" spans="7:10" x14ac:dyDescent="0.25">
      <c r="G2059" s="164"/>
      <c r="H2059" s="164"/>
      <c r="I2059" s="164"/>
      <c r="J2059" s="164"/>
    </row>
    <row r="2060" spans="7:10" x14ac:dyDescent="0.25">
      <c r="G2060" s="164"/>
      <c r="H2060" s="164"/>
      <c r="I2060" s="164"/>
      <c r="J2060" s="164"/>
    </row>
    <row r="2061" spans="7:10" x14ac:dyDescent="0.25">
      <c r="G2061" s="164"/>
      <c r="H2061" s="164"/>
      <c r="I2061" s="164"/>
      <c r="J2061" s="164"/>
    </row>
    <row r="2062" spans="7:10" x14ac:dyDescent="0.25">
      <c r="G2062" s="164"/>
      <c r="H2062" s="164"/>
      <c r="I2062" s="164"/>
      <c r="J2062" s="164"/>
    </row>
    <row r="2063" spans="7:10" x14ac:dyDescent="0.25">
      <c r="G2063" s="164"/>
      <c r="H2063" s="164"/>
      <c r="I2063" s="164"/>
      <c r="J2063" s="164"/>
    </row>
    <row r="2064" spans="7:10" x14ac:dyDescent="0.25">
      <c r="G2064" s="164"/>
      <c r="H2064" s="164"/>
      <c r="I2064" s="164"/>
      <c r="J2064" s="164"/>
    </row>
    <row r="2065" spans="7:10" x14ac:dyDescent="0.25">
      <c r="G2065" s="164"/>
      <c r="H2065" s="164"/>
      <c r="I2065" s="164"/>
      <c r="J2065" s="164"/>
    </row>
    <row r="2066" spans="7:10" x14ac:dyDescent="0.25">
      <c r="G2066" s="164"/>
      <c r="H2066" s="164"/>
      <c r="I2066" s="164"/>
      <c r="J2066" s="164"/>
    </row>
    <row r="2067" spans="7:10" x14ac:dyDescent="0.25">
      <c r="G2067" s="164"/>
      <c r="H2067" s="164"/>
      <c r="I2067" s="164"/>
      <c r="J2067" s="164"/>
    </row>
    <row r="2068" spans="7:10" x14ac:dyDescent="0.25">
      <c r="G2068" s="164"/>
      <c r="H2068" s="164"/>
      <c r="I2068" s="164"/>
      <c r="J2068" s="164"/>
    </row>
    <row r="2069" spans="7:10" x14ac:dyDescent="0.25">
      <c r="G2069" s="164"/>
      <c r="H2069" s="164"/>
      <c r="I2069" s="164"/>
      <c r="J2069" s="164"/>
    </row>
    <row r="2070" spans="7:10" x14ac:dyDescent="0.25">
      <c r="G2070" s="164"/>
      <c r="H2070" s="164"/>
      <c r="I2070" s="164"/>
      <c r="J2070" s="164"/>
    </row>
    <row r="2071" spans="7:10" x14ac:dyDescent="0.25">
      <c r="G2071" s="164"/>
      <c r="H2071" s="164"/>
      <c r="I2071" s="164"/>
      <c r="J2071" s="164"/>
    </row>
    <row r="2072" spans="7:10" x14ac:dyDescent="0.25">
      <c r="G2072" s="164"/>
      <c r="H2072" s="164"/>
      <c r="I2072" s="164"/>
      <c r="J2072" s="164"/>
    </row>
    <row r="2073" spans="7:10" x14ac:dyDescent="0.25">
      <c r="G2073" s="164"/>
      <c r="H2073" s="164"/>
      <c r="I2073" s="164"/>
      <c r="J2073" s="164"/>
    </row>
    <row r="2074" spans="7:10" x14ac:dyDescent="0.25">
      <c r="G2074" s="164"/>
      <c r="H2074" s="164"/>
      <c r="I2074" s="164"/>
      <c r="J2074" s="164"/>
    </row>
    <row r="2075" spans="7:10" x14ac:dyDescent="0.25">
      <c r="G2075" s="164"/>
      <c r="H2075" s="164"/>
      <c r="I2075" s="164"/>
      <c r="J2075" s="164"/>
    </row>
    <row r="2076" spans="7:10" x14ac:dyDescent="0.25">
      <c r="G2076" s="164"/>
      <c r="H2076" s="164"/>
      <c r="I2076" s="164"/>
      <c r="J2076" s="164"/>
    </row>
    <row r="2077" spans="7:10" x14ac:dyDescent="0.25">
      <c r="G2077" s="164"/>
      <c r="H2077" s="164"/>
      <c r="I2077" s="164"/>
      <c r="J2077" s="164"/>
    </row>
    <row r="2078" spans="7:10" x14ac:dyDescent="0.25">
      <c r="G2078" s="164"/>
      <c r="H2078" s="164"/>
      <c r="I2078" s="164"/>
      <c r="J2078" s="164"/>
    </row>
    <row r="2079" spans="7:10" x14ac:dyDescent="0.25">
      <c r="G2079" s="164"/>
      <c r="H2079" s="164"/>
      <c r="I2079" s="164"/>
      <c r="J2079" s="164"/>
    </row>
    <row r="2080" spans="7:10" x14ac:dyDescent="0.25">
      <c r="G2080" s="164"/>
      <c r="H2080" s="164"/>
      <c r="I2080" s="164"/>
      <c r="J2080" s="164"/>
    </row>
    <row r="2081" spans="7:10" x14ac:dyDescent="0.25">
      <c r="G2081" s="164"/>
      <c r="H2081" s="164"/>
      <c r="I2081" s="164"/>
      <c r="J2081" s="164"/>
    </row>
    <row r="2082" spans="7:10" x14ac:dyDescent="0.25">
      <c r="G2082" s="164"/>
      <c r="H2082" s="164"/>
      <c r="I2082" s="164"/>
      <c r="J2082" s="164"/>
    </row>
    <row r="2083" spans="7:10" x14ac:dyDescent="0.25">
      <c r="G2083" s="164"/>
      <c r="H2083" s="164"/>
      <c r="I2083" s="164"/>
      <c r="J2083" s="164"/>
    </row>
    <row r="2084" spans="7:10" x14ac:dyDescent="0.25">
      <c r="G2084" s="164"/>
      <c r="H2084" s="164"/>
      <c r="I2084" s="164"/>
      <c r="J2084" s="164"/>
    </row>
    <row r="2085" spans="7:10" x14ac:dyDescent="0.25">
      <c r="G2085" s="164"/>
      <c r="H2085" s="164"/>
      <c r="I2085" s="164"/>
      <c r="J2085" s="164"/>
    </row>
    <row r="2086" spans="7:10" x14ac:dyDescent="0.25">
      <c r="G2086" s="164"/>
      <c r="H2086" s="164"/>
      <c r="I2086" s="164"/>
      <c r="J2086" s="164"/>
    </row>
    <row r="2087" spans="7:10" x14ac:dyDescent="0.25">
      <c r="G2087" s="164"/>
      <c r="H2087" s="164"/>
      <c r="I2087" s="164"/>
      <c r="J2087" s="164"/>
    </row>
    <row r="2088" spans="7:10" x14ac:dyDescent="0.25">
      <c r="G2088" s="164"/>
      <c r="H2088" s="164"/>
      <c r="I2088" s="164"/>
      <c r="J2088" s="164"/>
    </row>
    <row r="2089" spans="7:10" x14ac:dyDescent="0.25">
      <c r="G2089" s="164"/>
      <c r="H2089" s="164"/>
      <c r="I2089" s="164"/>
      <c r="J2089" s="164"/>
    </row>
    <row r="2090" spans="7:10" x14ac:dyDescent="0.25">
      <c r="G2090" s="164"/>
      <c r="H2090" s="164"/>
      <c r="I2090" s="164"/>
      <c r="J2090" s="164"/>
    </row>
    <row r="2091" spans="7:10" x14ac:dyDescent="0.25">
      <c r="G2091" s="164"/>
      <c r="H2091" s="164"/>
      <c r="I2091" s="164"/>
      <c r="J2091" s="164"/>
    </row>
    <row r="2092" spans="7:10" x14ac:dyDescent="0.25">
      <c r="G2092" s="164"/>
      <c r="H2092" s="164"/>
      <c r="I2092" s="164"/>
      <c r="J2092" s="164"/>
    </row>
    <row r="2093" spans="7:10" x14ac:dyDescent="0.25">
      <c r="G2093" s="164"/>
      <c r="H2093" s="164"/>
      <c r="I2093" s="164"/>
      <c r="J2093" s="164"/>
    </row>
    <row r="2094" spans="7:10" x14ac:dyDescent="0.25">
      <c r="G2094" s="164"/>
      <c r="H2094" s="164"/>
      <c r="I2094" s="164"/>
      <c r="J2094" s="164"/>
    </row>
    <row r="2095" spans="7:10" x14ac:dyDescent="0.25">
      <c r="G2095" s="164"/>
      <c r="H2095" s="164"/>
      <c r="I2095" s="164"/>
      <c r="J2095" s="164"/>
    </row>
    <row r="2096" spans="7:10" x14ac:dyDescent="0.25">
      <c r="G2096" s="164"/>
      <c r="H2096" s="164"/>
      <c r="I2096" s="164"/>
      <c r="J2096" s="164"/>
    </row>
    <row r="2097" spans="7:10" x14ac:dyDescent="0.25">
      <c r="G2097" s="164"/>
      <c r="H2097" s="164"/>
      <c r="I2097" s="164"/>
      <c r="J2097" s="164"/>
    </row>
    <row r="2098" spans="7:10" x14ac:dyDescent="0.25">
      <c r="G2098" s="164"/>
      <c r="H2098" s="164"/>
      <c r="I2098" s="164"/>
      <c r="J2098" s="164"/>
    </row>
    <row r="2099" spans="7:10" x14ac:dyDescent="0.25">
      <c r="G2099" s="164"/>
      <c r="H2099" s="164"/>
      <c r="I2099" s="164"/>
      <c r="J2099" s="164"/>
    </row>
    <row r="2100" spans="7:10" x14ac:dyDescent="0.25">
      <c r="G2100" s="164"/>
      <c r="H2100" s="164"/>
      <c r="I2100" s="164"/>
      <c r="J2100" s="164"/>
    </row>
    <row r="2101" spans="7:10" x14ac:dyDescent="0.25">
      <c r="G2101" s="164"/>
      <c r="H2101" s="164"/>
      <c r="I2101" s="164"/>
      <c r="J2101" s="164"/>
    </row>
    <row r="2102" spans="7:10" x14ac:dyDescent="0.25">
      <c r="G2102" s="164"/>
      <c r="H2102" s="164"/>
      <c r="I2102" s="164"/>
      <c r="J2102" s="164"/>
    </row>
    <row r="2103" spans="7:10" x14ac:dyDescent="0.25">
      <c r="G2103" s="164"/>
      <c r="H2103" s="164"/>
      <c r="I2103" s="164"/>
      <c r="J2103" s="164"/>
    </row>
    <row r="2104" spans="7:10" x14ac:dyDescent="0.25">
      <c r="G2104" s="164"/>
      <c r="H2104" s="164"/>
      <c r="I2104" s="164"/>
      <c r="J2104" s="164"/>
    </row>
    <row r="2105" spans="7:10" x14ac:dyDescent="0.25">
      <c r="G2105" s="164"/>
      <c r="H2105" s="164"/>
      <c r="I2105" s="164"/>
      <c r="J2105" s="164"/>
    </row>
    <row r="2106" spans="7:10" x14ac:dyDescent="0.25">
      <c r="G2106" s="164"/>
      <c r="H2106" s="164"/>
      <c r="I2106" s="164"/>
      <c r="J2106" s="164"/>
    </row>
    <row r="2107" spans="7:10" x14ac:dyDescent="0.25">
      <c r="G2107" s="164"/>
      <c r="H2107" s="164"/>
      <c r="I2107" s="164"/>
      <c r="J2107" s="164"/>
    </row>
    <row r="2108" spans="7:10" x14ac:dyDescent="0.25">
      <c r="G2108" s="164"/>
      <c r="H2108" s="164"/>
      <c r="I2108" s="164"/>
      <c r="J2108" s="164"/>
    </row>
    <row r="2109" spans="7:10" x14ac:dyDescent="0.25">
      <c r="G2109" s="164"/>
      <c r="H2109" s="164"/>
      <c r="I2109" s="164"/>
      <c r="J2109" s="164"/>
    </row>
    <row r="2110" spans="7:10" x14ac:dyDescent="0.25">
      <c r="G2110" s="164"/>
      <c r="H2110" s="164"/>
      <c r="I2110" s="164"/>
      <c r="J2110" s="164"/>
    </row>
    <row r="2111" spans="7:10" x14ac:dyDescent="0.25">
      <c r="G2111" s="164"/>
      <c r="H2111" s="164"/>
      <c r="I2111" s="164"/>
      <c r="J2111" s="164"/>
    </row>
    <row r="2112" spans="7:10" x14ac:dyDescent="0.25">
      <c r="G2112" s="164"/>
      <c r="H2112" s="164"/>
      <c r="I2112" s="164"/>
      <c r="J2112" s="164"/>
    </row>
    <row r="2113" spans="7:10" x14ac:dyDescent="0.25">
      <c r="G2113" s="164"/>
      <c r="H2113" s="164"/>
      <c r="I2113" s="164"/>
      <c r="J2113" s="164"/>
    </row>
    <row r="2114" spans="7:10" x14ac:dyDescent="0.25">
      <c r="G2114" s="164"/>
      <c r="H2114" s="164"/>
      <c r="I2114" s="164"/>
      <c r="J2114" s="164"/>
    </row>
    <row r="2115" spans="7:10" x14ac:dyDescent="0.25">
      <c r="G2115" s="164"/>
      <c r="H2115" s="164"/>
      <c r="I2115" s="164"/>
      <c r="J2115" s="164"/>
    </row>
    <row r="2116" spans="7:10" x14ac:dyDescent="0.25">
      <c r="G2116" s="164"/>
      <c r="H2116" s="164"/>
      <c r="I2116" s="164"/>
      <c r="J2116" s="164"/>
    </row>
    <row r="2117" spans="7:10" x14ac:dyDescent="0.25">
      <c r="G2117" s="164"/>
      <c r="H2117" s="164"/>
      <c r="I2117" s="164"/>
      <c r="J2117" s="164"/>
    </row>
    <row r="2118" spans="7:10" x14ac:dyDescent="0.25">
      <c r="G2118" s="164"/>
      <c r="H2118" s="164"/>
      <c r="I2118" s="164"/>
      <c r="J2118" s="164"/>
    </row>
    <row r="2119" spans="7:10" x14ac:dyDescent="0.25">
      <c r="G2119" s="164"/>
      <c r="H2119" s="164"/>
      <c r="I2119" s="164"/>
      <c r="J2119" s="164"/>
    </row>
    <row r="2120" spans="7:10" x14ac:dyDescent="0.25">
      <c r="G2120" s="164"/>
      <c r="H2120" s="164"/>
      <c r="I2120" s="164"/>
      <c r="J2120" s="164"/>
    </row>
    <row r="2121" spans="7:10" x14ac:dyDescent="0.25">
      <c r="G2121" s="164"/>
      <c r="H2121" s="164"/>
      <c r="I2121" s="164"/>
      <c r="J2121" s="164"/>
    </row>
    <row r="2122" spans="7:10" x14ac:dyDescent="0.25">
      <c r="G2122" s="164"/>
      <c r="H2122" s="164"/>
      <c r="I2122" s="164"/>
      <c r="J2122" s="164"/>
    </row>
    <row r="2123" spans="7:10" x14ac:dyDescent="0.25">
      <c r="G2123" s="164"/>
      <c r="H2123" s="164"/>
      <c r="I2123" s="164"/>
      <c r="J2123" s="164"/>
    </row>
    <row r="2124" spans="7:10" x14ac:dyDescent="0.25">
      <c r="G2124" s="164"/>
      <c r="H2124" s="164"/>
      <c r="I2124" s="164"/>
      <c r="J2124" s="164"/>
    </row>
    <row r="2125" spans="7:10" x14ac:dyDescent="0.25">
      <c r="G2125" s="164"/>
      <c r="H2125" s="164"/>
      <c r="I2125" s="164"/>
      <c r="J2125" s="164"/>
    </row>
    <row r="2126" spans="7:10" x14ac:dyDescent="0.25">
      <c r="G2126" s="164"/>
      <c r="H2126" s="164"/>
      <c r="I2126" s="164"/>
      <c r="J2126" s="164"/>
    </row>
    <row r="2127" spans="7:10" x14ac:dyDescent="0.25">
      <c r="G2127" s="164"/>
      <c r="H2127" s="164"/>
      <c r="I2127" s="164"/>
      <c r="J2127" s="164"/>
    </row>
    <row r="2128" spans="7:10" x14ac:dyDescent="0.25">
      <c r="G2128" s="164"/>
      <c r="H2128" s="164"/>
      <c r="I2128" s="164"/>
      <c r="J2128" s="164"/>
    </row>
    <row r="2129" spans="7:10" x14ac:dyDescent="0.25">
      <c r="G2129" s="164"/>
      <c r="H2129" s="164"/>
      <c r="I2129" s="164"/>
      <c r="J2129" s="164"/>
    </row>
    <row r="2130" spans="7:10" x14ac:dyDescent="0.25">
      <c r="G2130" s="164"/>
      <c r="H2130" s="164"/>
      <c r="I2130" s="164"/>
      <c r="J2130" s="164"/>
    </row>
    <row r="2131" spans="7:10" x14ac:dyDescent="0.25">
      <c r="G2131" s="164"/>
      <c r="H2131" s="164"/>
      <c r="I2131" s="164"/>
      <c r="J2131" s="164"/>
    </row>
    <row r="2132" spans="7:10" x14ac:dyDescent="0.25">
      <c r="G2132" s="164"/>
      <c r="H2132" s="164"/>
      <c r="I2132" s="164"/>
      <c r="J2132" s="164"/>
    </row>
    <row r="2133" spans="7:10" x14ac:dyDescent="0.25">
      <c r="G2133" s="164"/>
      <c r="H2133" s="164"/>
      <c r="I2133" s="164"/>
      <c r="J2133" s="164"/>
    </row>
    <row r="2134" spans="7:10" x14ac:dyDescent="0.25">
      <c r="G2134" s="164"/>
      <c r="H2134" s="164"/>
      <c r="I2134" s="164"/>
      <c r="J2134" s="164"/>
    </row>
    <row r="2135" spans="7:10" x14ac:dyDescent="0.25">
      <c r="G2135" s="164"/>
      <c r="H2135" s="164"/>
      <c r="I2135" s="164"/>
      <c r="J2135" s="164"/>
    </row>
    <row r="2136" spans="7:10" x14ac:dyDescent="0.25">
      <c r="G2136" s="164"/>
      <c r="H2136" s="164"/>
      <c r="I2136" s="164"/>
      <c r="J2136" s="164"/>
    </row>
    <row r="2137" spans="7:10" x14ac:dyDescent="0.25">
      <c r="G2137" s="164"/>
      <c r="H2137" s="164"/>
      <c r="I2137" s="164"/>
      <c r="J2137" s="164"/>
    </row>
    <row r="2138" spans="7:10" x14ac:dyDescent="0.25">
      <c r="G2138" s="164"/>
      <c r="H2138" s="164"/>
      <c r="I2138" s="164"/>
      <c r="J2138" s="164"/>
    </row>
    <row r="2139" spans="7:10" x14ac:dyDescent="0.25">
      <c r="G2139" s="164"/>
      <c r="H2139" s="164"/>
      <c r="I2139" s="164"/>
      <c r="J2139" s="164"/>
    </row>
    <row r="2140" spans="7:10" x14ac:dyDescent="0.25">
      <c r="G2140" s="164"/>
      <c r="H2140" s="164"/>
      <c r="I2140" s="164"/>
      <c r="J2140" s="164"/>
    </row>
    <row r="2141" spans="7:10" x14ac:dyDescent="0.25">
      <c r="G2141" s="164"/>
      <c r="H2141" s="164"/>
      <c r="I2141" s="164"/>
      <c r="J2141" s="164"/>
    </row>
    <row r="2142" spans="7:10" x14ac:dyDescent="0.25">
      <c r="G2142" s="164"/>
      <c r="H2142" s="164"/>
      <c r="I2142" s="164"/>
      <c r="J2142" s="164"/>
    </row>
    <row r="2143" spans="7:10" x14ac:dyDescent="0.25">
      <c r="G2143" s="164"/>
      <c r="H2143" s="164"/>
      <c r="I2143" s="164"/>
      <c r="J2143" s="164"/>
    </row>
    <row r="2144" spans="7:10" x14ac:dyDescent="0.25">
      <c r="G2144" s="164"/>
      <c r="H2144" s="164"/>
      <c r="I2144" s="164"/>
      <c r="J2144" s="164"/>
    </row>
    <row r="2145" spans="7:10" x14ac:dyDescent="0.25">
      <c r="G2145" s="164"/>
      <c r="H2145" s="164"/>
      <c r="I2145" s="164"/>
      <c r="J2145" s="164"/>
    </row>
    <row r="2146" spans="7:10" x14ac:dyDescent="0.25">
      <c r="G2146" s="164"/>
      <c r="H2146" s="164"/>
      <c r="I2146" s="164"/>
      <c r="J2146" s="164"/>
    </row>
    <row r="2147" spans="7:10" x14ac:dyDescent="0.25">
      <c r="G2147" s="164"/>
      <c r="H2147" s="164"/>
      <c r="I2147" s="164"/>
      <c r="J2147" s="164"/>
    </row>
    <row r="2148" spans="7:10" x14ac:dyDescent="0.25">
      <c r="G2148" s="164"/>
      <c r="H2148" s="164"/>
      <c r="I2148" s="164"/>
      <c r="J2148" s="164"/>
    </row>
    <row r="2149" spans="7:10" x14ac:dyDescent="0.25">
      <c r="G2149" s="164"/>
      <c r="H2149" s="164"/>
      <c r="I2149" s="164"/>
      <c r="J2149" s="164"/>
    </row>
    <row r="2150" spans="7:10" x14ac:dyDescent="0.25">
      <c r="G2150" s="164"/>
      <c r="H2150" s="164"/>
      <c r="I2150" s="164"/>
      <c r="J2150" s="164"/>
    </row>
    <row r="2151" spans="7:10" x14ac:dyDescent="0.25">
      <c r="G2151" s="164"/>
      <c r="H2151" s="164"/>
      <c r="I2151" s="164"/>
      <c r="J2151" s="164"/>
    </row>
    <row r="2152" spans="7:10" x14ac:dyDescent="0.25">
      <c r="G2152" s="164"/>
      <c r="H2152" s="164"/>
      <c r="I2152" s="164"/>
      <c r="J2152" s="164"/>
    </row>
    <row r="2153" spans="7:10" x14ac:dyDescent="0.25">
      <c r="G2153" s="164"/>
      <c r="H2153" s="164"/>
      <c r="I2153" s="164"/>
      <c r="J2153" s="164"/>
    </row>
    <row r="2154" spans="7:10" x14ac:dyDescent="0.25">
      <c r="G2154" s="164"/>
      <c r="H2154" s="164"/>
      <c r="I2154" s="164"/>
      <c r="J2154" s="164"/>
    </row>
    <row r="2155" spans="7:10" x14ac:dyDescent="0.25">
      <c r="G2155" s="164"/>
      <c r="H2155" s="164"/>
      <c r="I2155" s="164"/>
      <c r="J2155" s="164"/>
    </row>
    <row r="2156" spans="7:10" x14ac:dyDescent="0.25">
      <c r="G2156" s="164"/>
      <c r="H2156" s="164"/>
      <c r="I2156" s="164"/>
      <c r="J2156" s="164"/>
    </row>
    <row r="2157" spans="7:10" x14ac:dyDescent="0.25">
      <c r="G2157" s="164"/>
      <c r="H2157" s="164"/>
      <c r="I2157" s="164"/>
      <c r="J2157" s="164"/>
    </row>
    <row r="2158" spans="7:10" x14ac:dyDescent="0.25">
      <c r="G2158" s="164"/>
      <c r="H2158" s="164"/>
      <c r="I2158" s="164"/>
      <c r="J2158" s="164"/>
    </row>
    <row r="2159" spans="7:10" x14ac:dyDescent="0.25">
      <c r="G2159" s="164"/>
      <c r="H2159" s="164"/>
      <c r="I2159" s="164"/>
      <c r="J2159" s="164"/>
    </row>
    <row r="2160" spans="7:10" x14ac:dyDescent="0.25">
      <c r="G2160" s="164"/>
      <c r="H2160" s="164"/>
      <c r="I2160" s="164"/>
      <c r="J2160" s="164"/>
    </row>
    <row r="2161" spans="7:10" x14ac:dyDescent="0.25">
      <c r="G2161" s="164"/>
      <c r="H2161" s="164"/>
      <c r="I2161" s="164"/>
      <c r="J2161" s="164"/>
    </row>
    <row r="2162" spans="7:10" x14ac:dyDescent="0.25">
      <c r="G2162" s="164"/>
      <c r="H2162" s="164"/>
      <c r="I2162" s="164"/>
      <c r="J2162" s="164"/>
    </row>
    <row r="2163" spans="7:10" x14ac:dyDescent="0.25">
      <c r="G2163" s="164"/>
      <c r="H2163" s="164"/>
      <c r="I2163" s="164"/>
      <c r="J2163" s="164"/>
    </row>
    <row r="2164" spans="7:10" x14ac:dyDescent="0.25">
      <c r="G2164" s="164"/>
      <c r="H2164" s="164"/>
      <c r="I2164" s="164"/>
      <c r="J2164" s="164"/>
    </row>
    <row r="2165" spans="7:10" x14ac:dyDescent="0.25">
      <c r="G2165" s="164"/>
      <c r="H2165" s="164"/>
      <c r="I2165" s="164"/>
      <c r="J2165" s="164"/>
    </row>
    <row r="2166" spans="7:10" x14ac:dyDescent="0.25">
      <c r="G2166" s="164"/>
      <c r="H2166" s="164"/>
      <c r="I2166" s="164"/>
      <c r="J2166" s="164"/>
    </row>
    <row r="2167" spans="7:10" x14ac:dyDescent="0.25">
      <c r="G2167" s="164"/>
      <c r="H2167" s="164"/>
      <c r="I2167" s="164"/>
      <c r="J2167" s="164"/>
    </row>
    <row r="2168" spans="7:10" x14ac:dyDescent="0.25">
      <c r="G2168" s="164"/>
      <c r="H2168" s="164"/>
      <c r="I2168" s="164"/>
      <c r="J2168" s="164"/>
    </row>
    <row r="2169" spans="7:10" x14ac:dyDescent="0.25">
      <c r="G2169" s="164"/>
      <c r="H2169" s="164"/>
      <c r="I2169" s="164"/>
      <c r="J2169" s="164"/>
    </row>
    <row r="2170" spans="7:10" x14ac:dyDescent="0.25">
      <c r="G2170" s="164"/>
      <c r="H2170" s="164"/>
      <c r="I2170" s="164"/>
      <c r="J2170" s="164"/>
    </row>
    <row r="2171" spans="7:10" x14ac:dyDescent="0.25">
      <c r="G2171" s="164"/>
      <c r="H2171" s="164"/>
      <c r="I2171" s="164"/>
      <c r="J2171" s="164"/>
    </row>
    <row r="2172" spans="7:10" x14ac:dyDescent="0.25">
      <c r="G2172" s="164"/>
      <c r="H2172" s="164"/>
      <c r="I2172" s="164"/>
      <c r="J2172" s="164"/>
    </row>
    <row r="2173" spans="7:10" x14ac:dyDescent="0.25">
      <c r="G2173" s="164"/>
      <c r="H2173" s="164"/>
      <c r="I2173" s="164"/>
      <c r="J2173" s="164"/>
    </row>
    <row r="2174" spans="7:10" x14ac:dyDescent="0.25">
      <c r="G2174" s="164"/>
      <c r="H2174" s="164"/>
      <c r="I2174" s="164"/>
      <c r="J2174" s="164"/>
    </row>
    <row r="2175" spans="7:10" x14ac:dyDescent="0.25">
      <c r="G2175" s="164"/>
      <c r="H2175" s="164"/>
      <c r="I2175" s="164"/>
      <c r="J2175" s="164"/>
    </row>
    <row r="2176" spans="7:10" x14ac:dyDescent="0.25">
      <c r="G2176" s="164"/>
      <c r="H2176" s="164"/>
      <c r="I2176" s="164"/>
      <c r="J2176" s="164"/>
    </row>
    <row r="2177" spans="7:10" x14ac:dyDescent="0.25">
      <c r="G2177" s="164"/>
      <c r="H2177" s="164"/>
      <c r="I2177" s="164"/>
      <c r="J2177" s="164"/>
    </row>
    <row r="2178" spans="7:10" x14ac:dyDescent="0.25">
      <c r="G2178" s="164"/>
      <c r="H2178" s="164"/>
      <c r="I2178" s="164"/>
      <c r="J2178" s="164"/>
    </row>
    <row r="2179" spans="7:10" x14ac:dyDescent="0.25">
      <c r="G2179" s="164"/>
      <c r="H2179" s="164"/>
      <c r="I2179" s="164"/>
      <c r="J2179" s="164"/>
    </row>
    <row r="2180" spans="7:10" x14ac:dyDescent="0.25">
      <c r="G2180" s="164"/>
      <c r="H2180" s="164"/>
      <c r="I2180" s="164"/>
      <c r="J2180" s="164"/>
    </row>
    <row r="2181" spans="7:10" x14ac:dyDescent="0.25">
      <c r="G2181" s="164"/>
      <c r="H2181" s="164"/>
      <c r="I2181" s="164"/>
      <c r="J2181" s="164"/>
    </row>
    <row r="2182" spans="7:10" x14ac:dyDescent="0.25">
      <c r="G2182" s="164"/>
      <c r="H2182" s="164"/>
      <c r="I2182" s="164"/>
      <c r="J2182" s="164"/>
    </row>
    <row r="2183" spans="7:10" x14ac:dyDescent="0.25">
      <c r="G2183" s="164"/>
      <c r="H2183" s="164"/>
      <c r="I2183" s="164"/>
      <c r="J2183" s="164"/>
    </row>
    <row r="2184" spans="7:10" x14ac:dyDescent="0.25">
      <c r="G2184" s="164"/>
      <c r="H2184" s="164"/>
      <c r="I2184" s="164"/>
      <c r="J2184" s="164"/>
    </row>
    <row r="2185" spans="7:10" x14ac:dyDescent="0.25">
      <c r="G2185" s="164"/>
      <c r="H2185" s="164"/>
      <c r="I2185" s="164"/>
      <c r="J2185" s="164"/>
    </row>
    <row r="2186" spans="7:10" x14ac:dyDescent="0.25">
      <c r="G2186" s="164"/>
      <c r="H2186" s="164"/>
      <c r="I2186" s="164"/>
      <c r="J2186" s="164"/>
    </row>
    <row r="2187" spans="7:10" x14ac:dyDescent="0.25">
      <c r="G2187" s="164"/>
      <c r="H2187" s="164"/>
      <c r="I2187" s="164"/>
      <c r="J2187" s="164"/>
    </row>
    <row r="2188" spans="7:10" x14ac:dyDescent="0.25">
      <c r="G2188" s="164"/>
      <c r="H2188" s="164"/>
      <c r="I2188" s="164"/>
      <c r="J2188" s="164"/>
    </row>
    <row r="2189" spans="7:10" x14ac:dyDescent="0.25">
      <c r="G2189" s="164"/>
      <c r="H2189" s="164"/>
      <c r="I2189" s="164"/>
      <c r="J2189" s="164"/>
    </row>
    <row r="2190" spans="7:10" x14ac:dyDescent="0.25">
      <c r="G2190" s="164"/>
      <c r="H2190" s="164"/>
      <c r="I2190" s="164"/>
      <c r="J2190" s="164"/>
    </row>
    <row r="2191" spans="7:10" x14ac:dyDescent="0.25">
      <c r="G2191" s="164"/>
      <c r="H2191" s="164"/>
      <c r="I2191" s="164"/>
      <c r="J2191" s="164"/>
    </row>
    <row r="2192" spans="7:10" x14ac:dyDescent="0.25">
      <c r="G2192" s="164"/>
      <c r="H2192" s="164"/>
      <c r="I2192" s="164"/>
      <c r="J2192" s="164"/>
    </row>
    <row r="2193" spans="7:10" x14ac:dyDescent="0.25">
      <c r="G2193" s="164"/>
      <c r="H2193" s="164"/>
      <c r="I2193" s="164"/>
      <c r="J2193" s="164"/>
    </row>
    <row r="2194" spans="7:10" x14ac:dyDescent="0.25">
      <c r="G2194" s="164"/>
      <c r="H2194" s="164"/>
      <c r="I2194" s="164"/>
      <c r="J2194" s="164"/>
    </row>
    <row r="2195" spans="7:10" x14ac:dyDescent="0.25">
      <c r="G2195" s="164"/>
      <c r="H2195" s="164"/>
      <c r="I2195" s="164"/>
      <c r="J2195" s="164"/>
    </row>
    <row r="2196" spans="7:10" x14ac:dyDescent="0.25">
      <c r="G2196" s="164"/>
      <c r="H2196" s="164"/>
      <c r="I2196" s="164"/>
      <c r="J2196" s="164"/>
    </row>
    <row r="2197" spans="7:10" x14ac:dyDescent="0.25">
      <c r="G2197" s="164"/>
      <c r="H2197" s="164"/>
      <c r="I2197" s="164"/>
      <c r="J2197" s="164"/>
    </row>
    <row r="2198" spans="7:10" x14ac:dyDescent="0.25">
      <c r="G2198" s="164"/>
      <c r="H2198" s="164"/>
      <c r="I2198" s="164"/>
      <c r="J2198" s="164"/>
    </row>
    <row r="2199" spans="7:10" x14ac:dyDescent="0.25">
      <c r="G2199" s="164"/>
      <c r="H2199" s="164"/>
      <c r="I2199" s="164"/>
      <c r="J2199" s="164"/>
    </row>
    <row r="2200" spans="7:10" x14ac:dyDescent="0.25">
      <c r="G2200" s="164"/>
      <c r="H2200" s="164"/>
      <c r="I2200" s="164"/>
      <c r="J2200" s="164"/>
    </row>
    <row r="2201" spans="7:10" x14ac:dyDescent="0.25">
      <c r="G2201" s="164"/>
      <c r="H2201" s="164"/>
      <c r="I2201" s="164"/>
      <c r="J2201" s="164"/>
    </row>
    <row r="2202" spans="7:10" x14ac:dyDescent="0.25">
      <c r="G2202" s="164"/>
      <c r="H2202" s="164"/>
      <c r="I2202" s="164"/>
      <c r="J2202" s="164"/>
    </row>
    <row r="2203" spans="7:10" x14ac:dyDescent="0.25">
      <c r="G2203" s="164"/>
      <c r="H2203" s="164"/>
      <c r="I2203" s="164"/>
      <c r="J2203" s="164"/>
    </row>
    <row r="2204" spans="7:10" x14ac:dyDescent="0.25">
      <c r="G2204" s="164"/>
      <c r="H2204" s="164"/>
      <c r="I2204" s="164"/>
      <c r="J2204" s="164"/>
    </row>
    <row r="2205" spans="7:10" x14ac:dyDescent="0.25">
      <c r="G2205" s="164"/>
      <c r="H2205" s="164"/>
      <c r="I2205" s="164"/>
      <c r="J2205" s="164"/>
    </row>
    <row r="2206" spans="7:10" x14ac:dyDescent="0.25">
      <c r="G2206" s="164"/>
      <c r="H2206" s="164"/>
      <c r="I2206" s="164"/>
      <c r="J2206" s="164"/>
    </row>
    <row r="2207" spans="7:10" x14ac:dyDescent="0.25">
      <c r="G2207" s="164"/>
      <c r="H2207" s="164"/>
      <c r="I2207" s="164"/>
      <c r="J2207" s="164"/>
    </row>
    <row r="2208" spans="7:10" x14ac:dyDescent="0.25">
      <c r="G2208" s="164"/>
      <c r="H2208" s="164"/>
      <c r="I2208" s="164"/>
      <c r="J2208" s="164"/>
    </row>
    <row r="2209" spans="7:10" x14ac:dyDescent="0.25">
      <c r="G2209" s="164"/>
      <c r="H2209" s="164"/>
      <c r="I2209" s="164"/>
      <c r="J2209" s="164"/>
    </row>
    <row r="2210" spans="7:10" x14ac:dyDescent="0.25">
      <c r="G2210" s="164"/>
      <c r="H2210" s="164"/>
      <c r="I2210" s="164"/>
      <c r="J2210" s="164"/>
    </row>
    <row r="2211" spans="7:10" x14ac:dyDescent="0.25">
      <c r="G2211" s="164"/>
      <c r="H2211" s="164"/>
      <c r="I2211" s="164"/>
      <c r="J2211" s="164"/>
    </row>
    <row r="2212" spans="7:10" x14ac:dyDescent="0.25">
      <c r="G2212" s="164"/>
      <c r="H2212" s="164"/>
      <c r="I2212" s="164"/>
      <c r="J2212" s="164"/>
    </row>
    <row r="2213" spans="7:10" x14ac:dyDescent="0.25">
      <c r="G2213" s="164"/>
      <c r="H2213" s="164"/>
      <c r="I2213" s="164"/>
      <c r="J2213" s="164"/>
    </row>
    <row r="2214" spans="7:10" x14ac:dyDescent="0.25">
      <c r="G2214" s="164"/>
      <c r="H2214" s="164"/>
      <c r="I2214" s="164"/>
      <c r="J2214" s="164"/>
    </row>
    <row r="2215" spans="7:10" x14ac:dyDescent="0.25">
      <c r="G2215" s="164"/>
      <c r="H2215" s="164"/>
      <c r="I2215" s="164"/>
      <c r="J2215" s="164"/>
    </row>
    <row r="2216" spans="7:10" x14ac:dyDescent="0.25">
      <c r="G2216" s="164"/>
      <c r="H2216" s="164"/>
      <c r="I2216" s="164"/>
      <c r="J2216" s="164"/>
    </row>
    <row r="2217" spans="7:10" x14ac:dyDescent="0.25">
      <c r="G2217" s="164"/>
      <c r="H2217" s="164"/>
      <c r="I2217" s="164"/>
      <c r="J2217" s="164"/>
    </row>
    <row r="2218" spans="7:10" x14ac:dyDescent="0.25">
      <c r="G2218" s="164"/>
      <c r="H2218" s="164"/>
      <c r="I2218" s="164"/>
      <c r="J2218" s="164"/>
    </row>
    <row r="2219" spans="7:10" x14ac:dyDescent="0.25">
      <c r="G2219" s="164"/>
      <c r="H2219" s="164"/>
      <c r="I2219" s="164"/>
      <c r="J2219" s="164"/>
    </row>
    <row r="2220" spans="7:10" x14ac:dyDescent="0.25">
      <c r="G2220" s="164"/>
      <c r="H2220" s="164"/>
      <c r="I2220" s="164"/>
      <c r="J2220" s="164"/>
    </row>
    <row r="2221" spans="7:10" x14ac:dyDescent="0.25">
      <c r="G2221" s="164"/>
      <c r="H2221" s="164"/>
      <c r="I2221" s="164"/>
      <c r="J2221" s="164"/>
    </row>
    <row r="2222" spans="7:10" x14ac:dyDescent="0.25">
      <c r="G2222" s="164"/>
      <c r="H2222" s="164"/>
      <c r="I2222" s="164"/>
      <c r="J2222" s="164"/>
    </row>
    <row r="2223" spans="7:10" x14ac:dyDescent="0.25">
      <c r="G2223" s="164"/>
      <c r="H2223" s="164"/>
      <c r="I2223" s="164"/>
      <c r="J2223" s="164"/>
    </row>
    <row r="2224" spans="7:10" x14ac:dyDescent="0.25">
      <c r="G2224" s="164"/>
      <c r="H2224" s="164"/>
      <c r="I2224" s="164"/>
      <c r="J2224" s="164"/>
    </row>
    <row r="2225" spans="7:10" x14ac:dyDescent="0.25">
      <c r="G2225" s="164"/>
      <c r="H2225" s="164"/>
      <c r="I2225" s="164"/>
      <c r="J2225" s="164"/>
    </row>
    <row r="2226" spans="7:10" x14ac:dyDescent="0.25">
      <c r="G2226" s="164"/>
      <c r="H2226" s="164"/>
      <c r="I2226" s="164"/>
      <c r="J2226" s="164"/>
    </row>
    <row r="2227" spans="7:10" x14ac:dyDescent="0.25">
      <c r="G2227" s="164"/>
      <c r="H2227" s="164"/>
      <c r="I2227" s="164"/>
      <c r="J2227" s="164"/>
    </row>
    <row r="2228" spans="7:10" x14ac:dyDescent="0.25">
      <c r="G2228" s="164"/>
      <c r="H2228" s="164"/>
      <c r="I2228" s="164"/>
      <c r="J2228" s="164"/>
    </row>
    <row r="2229" spans="7:10" x14ac:dyDescent="0.25">
      <c r="G2229" s="164"/>
      <c r="H2229" s="164"/>
      <c r="I2229" s="164"/>
      <c r="J2229" s="164"/>
    </row>
    <row r="2230" spans="7:10" x14ac:dyDescent="0.25">
      <c r="G2230" s="164"/>
      <c r="H2230" s="164"/>
      <c r="I2230" s="164"/>
      <c r="J2230" s="164"/>
    </row>
    <row r="2231" spans="7:10" x14ac:dyDescent="0.25">
      <c r="G2231" s="164"/>
      <c r="H2231" s="164"/>
      <c r="I2231" s="164"/>
      <c r="J2231" s="164"/>
    </row>
    <row r="2232" spans="7:10" x14ac:dyDescent="0.25">
      <c r="G2232" s="164"/>
      <c r="H2232" s="164"/>
      <c r="I2232" s="164"/>
      <c r="J2232" s="164"/>
    </row>
    <row r="2233" spans="7:10" x14ac:dyDescent="0.25">
      <c r="G2233" s="164"/>
      <c r="H2233" s="164"/>
      <c r="I2233" s="164"/>
      <c r="J2233" s="164"/>
    </row>
    <row r="2234" spans="7:10" x14ac:dyDescent="0.25">
      <c r="G2234" s="164"/>
      <c r="H2234" s="164"/>
      <c r="I2234" s="164"/>
      <c r="J2234" s="164"/>
    </row>
    <row r="2235" spans="7:10" x14ac:dyDescent="0.25">
      <c r="G2235" s="164"/>
      <c r="H2235" s="164"/>
      <c r="I2235" s="164"/>
      <c r="J2235" s="164"/>
    </row>
    <row r="2236" spans="7:10" x14ac:dyDescent="0.25">
      <c r="G2236" s="164"/>
      <c r="H2236" s="164"/>
      <c r="I2236" s="164"/>
      <c r="J2236" s="164"/>
    </row>
    <row r="2237" spans="7:10" x14ac:dyDescent="0.25">
      <c r="G2237" s="164"/>
      <c r="H2237" s="164"/>
      <c r="I2237" s="164"/>
      <c r="J2237" s="164"/>
    </row>
    <row r="2238" spans="7:10" x14ac:dyDescent="0.25">
      <c r="G2238" s="164"/>
      <c r="H2238" s="164"/>
      <c r="I2238" s="164"/>
      <c r="J2238" s="164"/>
    </row>
    <row r="2239" spans="7:10" x14ac:dyDescent="0.25">
      <c r="G2239" s="164"/>
      <c r="H2239" s="164"/>
      <c r="I2239" s="164"/>
      <c r="J2239" s="164"/>
    </row>
    <row r="2240" spans="7:10" x14ac:dyDescent="0.25">
      <c r="G2240" s="164"/>
      <c r="H2240" s="164"/>
      <c r="I2240" s="164"/>
      <c r="J2240" s="164"/>
    </row>
    <row r="2241" spans="7:10" x14ac:dyDescent="0.25">
      <c r="G2241" s="164"/>
      <c r="H2241" s="164"/>
      <c r="I2241" s="164"/>
      <c r="J2241" s="164"/>
    </row>
    <row r="2242" spans="7:10" x14ac:dyDescent="0.25">
      <c r="G2242" s="164"/>
      <c r="H2242" s="164"/>
      <c r="I2242" s="164"/>
      <c r="J2242" s="164"/>
    </row>
    <row r="2243" spans="7:10" x14ac:dyDescent="0.25">
      <c r="G2243" s="164"/>
      <c r="H2243" s="164"/>
      <c r="I2243" s="164"/>
      <c r="J2243" s="164"/>
    </row>
    <row r="2244" spans="7:10" x14ac:dyDescent="0.25">
      <c r="G2244" s="164"/>
      <c r="H2244" s="164"/>
      <c r="I2244" s="164"/>
      <c r="J2244" s="164"/>
    </row>
    <row r="2245" spans="7:10" x14ac:dyDescent="0.25">
      <c r="G2245" s="164"/>
      <c r="H2245" s="164"/>
      <c r="I2245" s="164"/>
      <c r="J2245" s="164"/>
    </row>
    <row r="2246" spans="7:10" x14ac:dyDescent="0.25">
      <c r="G2246" s="164"/>
      <c r="H2246" s="164"/>
      <c r="I2246" s="164"/>
      <c r="J2246" s="164"/>
    </row>
    <row r="2247" spans="7:10" x14ac:dyDescent="0.25">
      <c r="G2247" s="164"/>
      <c r="H2247" s="164"/>
      <c r="I2247" s="164"/>
      <c r="J2247" s="164"/>
    </row>
    <row r="2248" spans="7:10" x14ac:dyDescent="0.25">
      <c r="G2248" s="164"/>
      <c r="H2248" s="164"/>
      <c r="I2248" s="164"/>
      <c r="J2248" s="164"/>
    </row>
    <row r="2249" spans="7:10" x14ac:dyDescent="0.25">
      <c r="G2249" s="164"/>
      <c r="H2249" s="164"/>
      <c r="I2249" s="164"/>
      <c r="J2249" s="164"/>
    </row>
    <row r="2250" spans="7:10" x14ac:dyDescent="0.25">
      <c r="G2250" s="164"/>
      <c r="H2250" s="164"/>
      <c r="I2250" s="164"/>
      <c r="J2250" s="164"/>
    </row>
    <row r="2251" spans="7:10" x14ac:dyDescent="0.25">
      <c r="G2251" s="164"/>
      <c r="H2251" s="164"/>
      <c r="I2251" s="164"/>
      <c r="J2251" s="164"/>
    </row>
    <row r="2252" spans="7:10" x14ac:dyDescent="0.25">
      <c r="G2252" s="164"/>
      <c r="H2252" s="164"/>
      <c r="I2252" s="164"/>
      <c r="J2252" s="164"/>
    </row>
    <row r="2253" spans="7:10" x14ac:dyDescent="0.25">
      <c r="G2253" s="164"/>
      <c r="H2253" s="164"/>
      <c r="I2253" s="164"/>
      <c r="J2253" s="164"/>
    </row>
    <row r="2254" spans="7:10" x14ac:dyDescent="0.25">
      <c r="G2254" s="164"/>
      <c r="H2254" s="164"/>
      <c r="I2254" s="164"/>
      <c r="J2254" s="164"/>
    </row>
    <row r="2255" spans="7:10" x14ac:dyDescent="0.25">
      <c r="G2255" s="164"/>
      <c r="H2255" s="164"/>
      <c r="I2255" s="164"/>
      <c r="J2255" s="164"/>
    </row>
    <row r="2256" spans="7:10" x14ac:dyDescent="0.25">
      <c r="G2256" s="164"/>
      <c r="H2256" s="164"/>
      <c r="I2256" s="164"/>
      <c r="J2256" s="164"/>
    </row>
    <row r="2257" spans="7:10" x14ac:dyDescent="0.25">
      <c r="G2257" s="164"/>
      <c r="H2257" s="164"/>
      <c r="I2257" s="164"/>
      <c r="J2257" s="164"/>
    </row>
    <row r="2258" spans="7:10" x14ac:dyDescent="0.25">
      <c r="G2258" s="164"/>
      <c r="H2258" s="164"/>
      <c r="I2258" s="164"/>
      <c r="J2258" s="164"/>
    </row>
    <row r="2259" spans="7:10" x14ac:dyDescent="0.25">
      <c r="G2259" s="164"/>
      <c r="H2259" s="164"/>
      <c r="I2259" s="164"/>
      <c r="J2259" s="164"/>
    </row>
    <row r="2260" spans="7:10" x14ac:dyDescent="0.25">
      <c r="G2260" s="164"/>
      <c r="H2260" s="164"/>
      <c r="I2260" s="164"/>
      <c r="J2260" s="164"/>
    </row>
    <row r="2261" spans="7:10" x14ac:dyDescent="0.25">
      <c r="G2261" s="164"/>
      <c r="H2261" s="164"/>
      <c r="I2261" s="164"/>
      <c r="J2261" s="164"/>
    </row>
    <row r="2262" spans="7:10" x14ac:dyDescent="0.25">
      <c r="G2262" s="164"/>
      <c r="H2262" s="164"/>
      <c r="I2262" s="164"/>
      <c r="J2262" s="164"/>
    </row>
    <row r="2263" spans="7:10" x14ac:dyDescent="0.25">
      <c r="G2263" s="164"/>
      <c r="H2263" s="164"/>
      <c r="I2263" s="164"/>
      <c r="J2263" s="164"/>
    </row>
    <row r="2264" spans="7:10" x14ac:dyDescent="0.25">
      <c r="G2264" s="164"/>
      <c r="H2264" s="164"/>
      <c r="I2264" s="164"/>
      <c r="J2264" s="164"/>
    </row>
    <row r="2265" spans="7:10" x14ac:dyDescent="0.25">
      <c r="G2265" s="164"/>
      <c r="H2265" s="164"/>
      <c r="I2265" s="164"/>
      <c r="J2265" s="164"/>
    </row>
    <row r="2266" spans="7:10" x14ac:dyDescent="0.25">
      <c r="G2266" s="164"/>
      <c r="H2266" s="164"/>
      <c r="I2266" s="164"/>
      <c r="J2266" s="164"/>
    </row>
    <row r="2267" spans="7:10" x14ac:dyDescent="0.25">
      <c r="G2267" s="164"/>
      <c r="H2267" s="164"/>
      <c r="I2267" s="164"/>
      <c r="J2267" s="164"/>
    </row>
    <row r="2268" spans="7:10" x14ac:dyDescent="0.25">
      <c r="G2268" s="164"/>
      <c r="H2268" s="164"/>
      <c r="I2268" s="164"/>
      <c r="J2268" s="164"/>
    </row>
    <row r="2269" spans="7:10" x14ac:dyDescent="0.25">
      <c r="G2269" s="164"/>
      <c r="H2269" s="164"/>
      <c r="I2269" s="164"/>
      <c r="J2269" s="164"/>
    </row>
    <row r="2270" spans="7:10" x14ac:dyDescent="0.25">
      <c r="G2270" s="164"/>
      <c r="H2270" s="164"/>
      <c r="I2270" s="164"/>
      <c r="J2270" s="164"/>
    </row>
    <row r="2271" spans="7:10" x14ac:dyDescent="0.25">
      <c r="G2271" s="164"/>
      <c r="H2271" s="164"/>
      <c r="I2271" s="164"/>
      <c r="J2271" s="164"/>
    </row>
    <row r="2272" spans="7:10" x14ac:dyDescent="0.25">
      <c r="G2272" s="164"/>
      <c r="H2272" s="164"/>
      <c r="I2272" s="164"/>
      <c r="J2272" s="164"/>
    </row>
    <row r="2273" spans="7:10" x14ac:dyDescent="0.25">
      <c r="G2273" s="164"/>
      <c r="H2273" s="164"/>
      <c r="I2273" s="164"/>
      <c r="J2273" s="164"/>
    </row>
    <row r="2274" spans="7:10" x14ac:dyDescent="0.25">
      <c r="G2274" s="164"/>
      <c r="H2274" s="164"/>
      <c r="I2274" s="164"/>
      <c r="J2274" s="164"/>
    </row>
    <row r="2275" spans="7:10" x14ac:dyDescent="0.25">
      <c r="G2275" s="164"/>
      <c r="H2275" s="164"/>
      <c r="I2275" s="164"/>
      <c r="J2275" s="164"/>
    </row>
    <row r="2276" spans="7:10" x14ac:dyDescent="0.25">
      <c r="G2276" s="164"/>
      <c r="H2276" s="164"/>
      <c r="I2276" s="164"/>
      <c r="J2276" s="164"/>
    </row>
    <row r="2277" spans="7:10" x14ac:dyDescent="0.25">
      <c r="G2277" s="164"/>
      <c r="H2277" s="164"/>
      <c r="I2277" s="164"/>
      <c r="J2277" s="164"/>
    </row>
    <row r="2278" spans="7:10" x14ac:dyDescent="0.25">
      <c r="G2278" s="164"/>
      <c r="H2278" s="164"/>
      <c r="I2278" s="164"/>
      <c r="J2278" s="164"/>
    </row>
    <row r="2279" spans="7:10" x14ac:dyDescent="0.25">
      <c r="G2279" s="164"/>
      <c r="H2279" s="164"/>
      <c r="I2279" s="164"/>
      <c r="J2279" s="164"/>
    </row>
    <row r="2280" spans="7:10" x14ac:dyDescent="0.25">
      <c r="G2280" s="164"/>
      <c r="H2280" s="164"/>
      <c r="I2280" s="164"/>
      <c r="J2280" s="164"/>
    </row>
    <row r="2281" spans="7:10" x14ac:dyDescent="0.25">
      <c r="G2281" s="164"/>
      <c r="H2281" s="164"/>
      <c r="I2281" s="164"/>
      <c r="J2281" s="164"/>
    </row>
    <row r="2282" spans="7:10" x14ac:dyDescent="0.25">
      <c r="G2282" s="164"/>
      <c r="H2282" s="164"/>
      <c r="I2282" s="164"/>
      <c r="J2282" s="164"/>
    </row>
    <row r="2283" spans="7:10" x14ac:dyDescent="0.25">
      <c r="G2283" s="164"/>
      <c r="H2283" s="164"/>
      <c r="I2283" s="164"/>
      <c r="J2283" s="164"/>
    </row>
    <row r="2284" spans="7:10" x14ac:dyDescent="0.25">
      <c r="G2284" s="164"/>
      <c r="H2284" s="164"/>
      <c r="I2284" s="164"/>
      <c r="J2284" s="164"/>
    </row>
    <row r="2285" spans="7:10" x14ac:dyDescent="0.25">
      <c r="G2285" s="164"/>
      <c r="H2285" s="164"/>
      <c r="I2285" s="164"/>
      <c r="J2285" s="164"/>
    </row>
    <row r="2286" spans="7:10" x14ac:dyDescent="0.25">
      <c r="G2286" s="164"/>
      <c r="H2286" s="164"/>
      <c r="I2286" s="164"/>
      <c r="J2286" s="164"/>
    </row>
    <row r="2287" spans="7:10" x14ac:dyDescent="0.25">
      <c r="G2287" s="164"/>
      <c r="H2287" s="164"/>
      <c r="I2287" s="164"/>
      <c r="J2287" s="164"/>
    </row>
    <row r="2288" spans="7:10" x14ac:dyDescent="0.25">
      <c r="G2288" s="164"/>
      <c r="H2288" s="164"/>
      <c r="I2288" s="164"/>
      <c r="J2288" s="164"/>
    </row>
    <row r="2289" spans="7:10" x14ac:dyDescent="0.25">
      <c r="G2289" s="164"/>
      <c r="H2289" s="164"/>
      <c r="I2289" s="164"/>
      <c r="J2289" s="164"/>
    </row>
    <row r="2290" spans="7:10" x14ac:dyDescent="0.25">
      <c r="G2290" s="164"/>
      <c r="H2290" s="164"/>
      <c r="I2290" s="164"/>
      <c r="J2290" s="164"/>
    </row>
    <row r="2291" spans="7:10" x14ac:dyDescent="0.25">
      <c r="G2291" s="164"/>
      <c r="H2291" s="164"/>
      <c r="I2291" s="164"/>
      <c r="J2291" s="164"/>
    </row>
    <row r="2292" spans="7:10" x14ac:dyDescent="0.25">
      <c r="G2292" s="164"/>
      <c r="H2292" s="164"/>
      <c r="I2292" s="164"/>
      <c r="J2292" s="164"/>
    </row>
    <row r="2293" spans="7:10" x14ac:dyDescent="0.25">
      <c r="G2293" s="164"/>
      <c r="H2293" s="164"/>
      <c r="I2293" s="164"/>
      <c r="J2293" s="164"/>
    </row>
    <row r="2294" spans="7:10" x14ac:dyDescent="0.25">
      <c r="G2294" s="164"/>
      <c r="H2294" s="164"/>
      <c r="I2294" s="164"/>
      <c r="J2294" s="164"/>
    </row>
    <row r="2295" spans="7:10" x14ac:dyDescent="0.25">
      <c r="G2295" s="164"/>
      <c r="H2295" s="164"/>
      <c r="I2295" s="164"/>
      <c r="J2295" s="164"/>
    </row>
    <row r="2296" spans="7:10" x14ac:dyDescent="0.25">
      <c r="G2296" s="164"/>
      <c r="H2296" s="164"/>
      <c r="I2296" s="164"/>
      <c r="J2296" s="164"/>
    </row>
    <row r="2297" spans="7:10" x14ac:dyDescent="0.25">
      <c r="G2297" s="164"/>
      <c r="H2297" s="164"/>
      <c r="I2297" s="164"/>
      <c r="J2297" s="164"/>
    </row>
    <row r="2298" spans="7:10" x14ac:dyDescent="0.25">
      <c r="G2298" s="164"/>
      <c r="H2298" s="164"/>
      <c r="I2298" s="164"/>
      <c r="J2298" s="164"/>
    </row>
    <row r="2299" spans="7:10" x14ac:dyDescent="0.25">
      <c r="G2299" s="164"/>
      <c r="H2299" s="164"/>
      <c r="I2299" s="164"/>
      <c r="J2299" s="164"/>
    </row>
    <row r="2300" spans="7:10" x14ac:dyDescent="0.25">
      <c r="G2300" s="164"/>
      <c r="H2300" s="164"/>
      <c r="I2300" s="164"/>
      <c r="J2300" s="164"/>
    </row>
    <row r="2301" spans="7:10" x14ac:dyDescent="0.25">
      <c r="G2301" s="164"/>
      <c r="H2301" s="164"/>
      <c r="I2301" s="164"/>
      <c r="J2301" s="164"/>
    </row>
    <row r="2302" spans="7:10" x14ac:dyDescent="0.25">
      <c r="G2302" s="164"/>
      <c r="H2302" s="164"/>
      <c r="I2302" s="164"/>
      <c r="J2302" s="164"/>
    </row>
    <row r="2303" spans="7:10" x14ac:dyDescent="0.25">
      <c r="G2303" s="164"/>
      <c r="H2303" s="164"/>
      <c r="I2303" s="164"/>
      <c r="J2303" s="164"/>
    </row>
    <row r="2304" spans="7:10" x14ac:dyDescent="0.25">
      <c r="G2304" s="164"/>
      <c r="H2304" s="164"/>
      <c r="I2304" s="164"/>
      <c r="J2304" s="164"/>
    </row>
    <row r="2305" spans="7:10" x14ac:dyDescent="0.25">
      <c r="G2305" s="164"/>
      <c r="H2305" s="164"/>
      <c r="I2305" s="164"/>
      <c r="J2305" s="164"/>
    </row>
    <row r="2306" spans="7:10" x14ac:dyDescent="0.25">
      <c r="G2306" s="164"/>
      <c r="H2306" s="164"/>
      <c r="I2306" s="164"/>
      <c r="J2306" s="164"/>
    </row>
    <row r="2307" spans="7:10" x14ac:dyDescent="0.25">
      <c r="G2307" s="164"/>
      <c r="H2307" s="164"/>
      <c r="I2307" s="164"/>
      <c r="J2307" s="164"/>
    </row>
    <row r="2308" spans="7:10" x14ac:dyDescent="0.25">
      <c r="G2308" s="164"/>
      <c r="H2308" s="164"/>
      <c r="I2308" s="164"/>
      <c r="J2308" s="164"/>
    </row>
    <row r="2309" spans="7:10" x14ac:dyDescent="0.25">
      <c r="G2309" s="164"/>
      <c r="H2309" s="164"/>
      <c r="I2309" s="164"/>
      <c r="J2309" s="164"/>
    </row>
    <row r="2310" spans="7:10" x14ac:dyDescent="0.25">
      <c r="G2310" s="164"/>
      <c r="H2310" s="164"/>
      <c r="I2310" s="164"/>
      <c r="J2310" s="164"/>
    </row>
    <row r="2311" spans="7:10" x14ac:dyDescent="0.25">
      <c r="G2311" s="164"/>
      <c r="H2311" s="164"/>
      <c r="I2311" s="164"/>
      <c r="J2311" s="164"/>
    </row>
    <row r="2312" spans="7:10" x14ac:dyDescent="0.25">
      <c r="G2312" s="164"/>
      <c r="H2312" s="164"/>
      <c r="I2312" s="164"/>
      <c r="J2312" s="164"/>
    </row>
    <row r="2313" spans="7:10" x14ac:dyDescent="0.25">
      <c r="G2313" s="164"/>
      <c r="H2313" s="164"/>
      <c r="I2313" s="164"/>
      <c r="J2313" s="164"/>
    </row>
    <row r="2314" spans="7:10" x14ac:dyDescent="0.25">
      <c r="G2314" s="164"/>
      <c r="H2314" s="164"/>
      <c r="I2314" s="164"/>
      <c r="J2314" s="164"/>
    </row>
    <row r="2315" spans="7:10" x14ac:dyDescent="0.25">
      <c r="G2315" s="164"/>
      <c r="H2315" s="164"/>
      <c r="I2315" s="164"/>
      <c r="J2315" s="164"/>
    </row>
    <row r="2316" spans="7:10" x14ac:dyDescent="0.25">
      <c r="G2316" s="164"/>
      <c r="H2316" s="164"/>
      <c r="I2316" s="164"/>
      <c r="J2316" s="164"/>
    </row>
    <row r="2317" spans="7:10" x14ac:dyDescent="0.25">
      <c r="G2317" s="164"/>
      <c r="H2317" s="164"/>
      <c r="I2317" s="164"/>
      <c r="J2317" s="164"/>
    </row>
    <row r="2318" spans="7:10" x14ac:dyDescent="0.25">
      <c r="G2318" s="164"/>
      <c r="H2318" s="164"/>
      <c r="I2318" s="164"/>
      <c r="J2318" s="164"/>
    </row>
    <row r="2319" spans="7:10" x14ac:dyDescent="0.25">
      <c r="G2319" s="164"/>
      <c r="H2319" s="164"/>
      <c r="I2319" s="164"/>
      <c r="J2319" s="164"/>
    </row>
    <row r="2320" spans="7:10" x14ac:dyDescent="0.25">
      <c r="G2320" s="164"/>
      <c r="H2320" s="164"/>
      <c r="I2320" s="164"/>
      <c r="J2320" s="164"/>
    </row>
    <row r="2321" spans="7:10" x14ac:dyDescent="0.25">
      <c r="G2321" s="164"/>
      <c r="H2321" s="164"/>
      <c r="I2321" s="164"/>
      <c r="J2321" s="164"/>
    </row>
    <row r="2322" spans="7:10" x14ac:dyDescent="0.25">
      <c r="G2322" s="164"/>
      <c r="H2322" s="164"/>
      <c r="I2322" s="164"/>
      <c r="J2322" s="164"/>
    </row>
    <row r="2323" spans="7:10" x14ac:dyDescent="0.25">
      <c r="G2323" s="164"/>
      <c r="H2323" s="164"/>
      <c r="I2323" s="164"/>
      <c r="J2323" s="164"/>
    </row>
    <row r="2324" spans="7:10" x14ac:dyDescent="0.25">
      <c r="G2324" s="164"/>
      <c r="H2324" s="164"/>
      <c r="I2324" s="164"/>
      <c r="J2324" s="164"/>
    </row>
    <row r="2325" spans="7:10" x14ac:dyDescent="0.25">
      <c r="G2325" s="164"/>
      <c r="H2325" s="164"/>
      <c r="I2325" s="164"/>
      <c r="J2325" s="164"/>
    </row>
    <row r="2326" spans="7:10" x14ac:dyDescent="0.25">
      <c r="G2326" s="164"/>
      <c r="H2326" s="164"/>
      <c r="I2326" s="164"/>
      <c r="J2326" s="164"/>
    </row>
    <row r="2327" spans="7:10" x14ac:dyDescent="0.25">
      <c r="G2327" s="164"/>
      <c r="H2327" s="164"/>
      <c r="I2327" s="164"/>
      <c r="J2327" s="164"/>
    </row>
    <row r="2328" spans="7:10" x14ac:dyDescent="0.25">
      <c r="G2328" s="164"/>
      <c r="H2328" s="164"/>
      <c r="I2328" s="164"/>
      <c r="J2328" s="164"/>
    </row>
    <row r="2329" spans="7:10" x14ac:dyDescent="0.25">
      <c r="G2329" s="164"/>
      <c r="H2329" s="164"/>
      <c r="I2329" s="164"/>
      <c r="J2329" s="164"/>
    </row>
    <row r="2330" spans="7:10" x14ac:dyDescent="0.25">
      <c r="G2330" s="164"/>
      <c r="H2330" s="164"/>
      <c r="I2330" s="164"/>
      <c r="J2330" s="164"/>
    </row>
    <row r="2331" spans="7:10" x14ac:dyDescent="0.25">
      <c r="G2331" s="164"/>
      <c r="H2331" s="164"/>
      <c r="I2331" s="164"/>
      <c r="J2331" s="164"/>
    </row>
    <row r="2332" spans="7:10" x14ac:dyDescent="0.25">
      <c r="G2332" s="164"/>
      <c r="H2332" s="164"/>
      <c r="I2332" s="164"/>
      <c r="J2332" s="164"/>
    </row>
    <row r="2333" spans="7:10" x14ac:dyDescent="0.25">
      <c r="G2333" s="164"/>
      <c r="H2333" s="164"/>
      <c r="I2333" s="164"/>
      <c r="J2333" s="164"/>
    </row>
    <row r="2334" spans="7:10" x14ac:dyDescent="0.25">
      <c r="G2334" s="164"/>
      <c r="H2334" s="164"/>
      <c r="I2334" s="164"/>
      <c r="J2334" s="164"/>
    </row>
    <row r="2335" spans="7:10" x14ac:dyDescent="0.25">
      <c r="G2335" s="164"/>
      <c r="H2335" s="164"/>
      <c r="I2335" s="164"/>
      <c r="J2335" s="164"/>
    </row>
    <row r="2336" spans="7:10" x14ac:dyDescent="0.25">
      <c r="G2336" s="164"/>
      <c r="H2336" s="164"/>
      <c r="I2336" s="164"/>
      <c r="J2336" s="164"/>
    </row>
    <row r="2337" spans="7:10" x14ac:dyDescent="0.25">
      <c r="G2337" s="164"/>
      <c r="H2337" s="164"/>
      <c r="I2337" s="164"/>
      <c r="J2337" s="164"/>
    </row>
    <row r="2338" spans="7:10" x14ac:dyDescent="0.25">
      <c r="G2338" s="164"/>
      <c r="H2338" s="164"/>
      <c r="I2338" s="164"/>
      <c r="J2338" s="164"/>
    </row>
    <row r="2339" spans="7:10" x14ac:dyDescent="0.25">
      <c r="G2339" s="164"/>
      <c r="H2339" s="164"/>
      <c r="I2339" s="164"/>
      <c r="J2339" s="164"/>
    </row>
    <row r="2340" spans="7:10" x14ac:dyDescent="0.25">
      <c r="G2340" s="164"/>
      <c r="H2340" s="164"/>
      <c r="I2340" s="164"/>
      <c r="J2340" s="164"/>
    </row>
    <row r="2341" spans="7:10" x14ac:dyDescent="0.25">
      <c r="G2341" s="164"/>
      <c r="H2341" s="164"/>
      <c r="I2341" s="164"/>
      <c r="J2341" s="164"/>
    </row>
    <row r="2342" spans="7:10" x14ac:dyDescent="0.25">
      <c r="G2342" s="164"/>
      <c r="H2342" s="164"/>
      <c r="I2342" s="164"/>
      <c r="J2342" s="164"/>
    </row>
    <row r="2343" spans="7:10" x14ac:dyDescent="0.25">
      <c r="G2343" s="164"/>
      <c r="H2343" s="164"/>
      <c r="I2343" s="164"/>
      <c r="J2343" s="164"/>
    </row>
    <row r="2344" spans="7:10" x14ac:dyDescent="0.25">
      <c r="G2344" s="164"/>
      <c r="H2344" s="164"/>
      <c r="I2344" s="164"/>
      <c r="J2344" s="164"/>
    </row>
    <row r="2345" spans="7:10" x14ac:dyDescent="0.25">
      <c r="G2345" s="164"/>
      <c r="H2345" s="164"/>
      <c r="I2345" s="164"/>
      <c r="J2345" s="164"/>
    </row>
    <row r="2346" spans="7:10" x14ac:dyDescent="0.25">
      <c r="G2346" s="164"/>
      <c r="H2346" s="164"/>
      <c r="I2346" s="164"/>
      <c r="J2346" s="164"/>
    </row>
    <row r="2347" spans="7:10" x14ac:dyDescent="0.25">
      <c r="G2347" s="164"/>
      <c r="H2347" s="164"/>
      <c r="I2347" s="164"/>
      <c r="J2347" s="164"/>
    </row>
    <row r="2348" spans="7:10" x14ac:dyDescent="0.25">
      <c r="G2348" s="164"/>
      <c r="H2348" s="164"/>
      <c r="I2348" s="164"/>
      <c r="J2348" s="164"/>
    </row>
    <row r="2349" spans="7:10" x14ac:dyDescent="0.25">
      <c r="G2349" s="164"/>
      <c r="H2349" s="164"/>
      <c r="I2349" s="164"/>
      <c r="J2349" s="164"/>
    </row>
    <row r="2350" spans="7:10" x14ac:dyDescent="0.25">
      <c r="G2350" s="164"/>
      <c r="H2350" s="164"/>
      <c r="I2350" s="164"/>
      <c r="J2350" s="164"/>
    </row>
    <row r="2351" spans="7:10" x14ac:dyDescent="0.25">
      <c r="G2351" s="164"/>
      <c r="H2351" s="164"/>
      <c r="I2351" s="164"/>
      <c r="J2351" s="164"/>
    </row>
    <row r="2352" spans="7:10" x14ac:dyDescent="0.25">
      <c r="G2352" s="164"/>
      <c r="H2352" s="164"/>
      <c r="I2352" s="164"/>
      <c r="J2352" s="164"/>
    </row>
    <row r="2353" spans="7:10" x14ac:dyDescent="0.25">
      <c r="G2353" s="164"/>
      <c r="H2353" s="164"/>
      <c r="I2353" s="164"/>
      <c r="J2353" s="164"/>
    </row>
    <row r="2354" spans="7:10" x14ac:dyDescent="0.25">
      <c r="G2354" s="164"/>
      <c r="H2354" s="164"/>
      <c r="I2354" s="164"/>
      <c r="J2354" s="164"/>
    </row>
    <row r="2355" spans="7:10" x14ac:dyDescent="0.25">
      <c r="G2355" s="164"/>
      <c r="H2355" s="164"/>
      <c r="I2355" s="164"/>
      <c r="J2355" s="164"/>
    </row>
    <row r="2356" spans="7:10" x14ac:dyDescent="0.25">
      <c r="G2356" s="164"/>
      <c r="H2356" s="164"/>
      <c r="I2356" s="164"/>
      <c r="J2356" s="164"/>
    </row>
    <row r="2357" spans="7:10" x14ac:dyDescent="0.25">
      <c r="G2357" s="164"/>
      <c r="H2357" s="164"/>
      <c r="I2357" s="164"/>
      <c r="J2357" s="164"/>
    </row>
    <row r="2358" spans="7:10" x14ac:dyDescent="0.25">
      <c r="G2358" s="164"/>
      <c r="H2358" s="164"/>
      <c r="I2358" s="164"/>
      <c r="J2358" s="164"/>
    </row>
    <row r="2359" spans="7:10" x14ac:dyDescent="0.25">
      <c r="G2359" s="164"/>
      <c r="H2359" s="164"/>
      <c r="I2359" s="164"/>
      <c r="J2359" s="164"/>
    </row>
    <row r="2360" spans="7:10" x14ac:dyDescent="0.25">
      <c r="G2360" s="164"/>
      <c r="H2360" s="164"/>
      <c r="I2360" s="164"/>
      <c r="J2360" s="164"/>
    </row>
    <row r="2361" spans="7:10" x14ac:dyDescent="0.25">
      <c r="G2361" s="164"/>
      <c r="H2361" s="164"/>
      <c r="I2361" s="164"/>
      <c r="J2361" s="164"/>
    </row>
    <row r="2362" spans="7:10" x14ac:dyDescent="0.25">
      <c r="G2362" s="164"/>
      <c r="H2362" s="164"/>
      <c r="I2362" s="164"/>
      <c r="J2362" s="164"/>
    </row>
    <row r="2363" spans="7:10" x14ac:dyDescent="0.25">
      <c r="G2363" s="164"/>
      <c r="H2363" s="164"/>
      <c r="I2363" s="164"/>
      <c r="J2363" s="164"/>
    </row>
    <row r="2364" spans="7:10" x14ac:dyDescent="0.25">
      <c r="G2364" s="164"/>
      <c r="H2364" s="164"/>
      <c r="I2364" s="164"/>
      <c r="J2364" s="164"/>
    </row>
    <row r="2365" spans="7:10" x14ac:dyDescent="0.25">
      <c r="G2365" s="164"/>
      <c r="H2365" s="164"/>
      <c r="I2365" s="164"/>
      <c r="J2365" s="164"/>
    </row>
    <row r="2366" spans="7:10" x14ac:dyDescent="0.25">
      <c r="G2366" s="164"/>
      <c r="H2366" s="164"/>
      <c r="I2366" s="164"/>
      <c r="J2366" s="164"/>
    </row>
    <row r="2367" spans="7:10" x14ac:dyDescent="0.25">
      <c r="G2367" s="164"/>
      <c r="H2367" s="164"/>
      <c r="I2367" s="164"/>
      <c r="J2367" s="164"/>
    </row>
    <row r="2368" spans="7:10" x14ac:dyDescent="0.25">
      <c r="G2368" s="164"/>
      <c r="H2368" s="164"/>
      <c r="I2368" s="164"/>
      <c r="J2368" s="164"/>
    </row>
    <row r="2369" spans="7:10" x14ac:dyDescent="0.25">
      <c r="G2369" s="164"/>
      <c r="H2369" s="164"/>
      <c r="I2369" s="164"/>
      <c r="J2369" s="164"/>
    </row>
    <row r="2370" spans="7:10" x14ac:dyDescent="0.25">
      <c r="G2370" s="164"/>
      <c r="H2370" s="164"/>
      <c r="I2370" s="164"/>
      <c r="J2370" s="164"/>
    </row>
    <row r="2371" spans="7:10" x14ac:dyDescent="0.25">
      <c r="G2371" s="164"/>
      <c r="H2371" s="164"/>
      <c r="I2371" s="164"/>
      <c r="J2371" s="164"/>
    </row>
    <row r="2372" spans="7:10" x14ac:dyDescent="0.25">
      <c r="G2372" s="164"/>
      <c r="H2372" s="164"/>
      <c r="I2372" s="164"/>
      <c r="J2372" s="164"/>
    </row>
    <row r="2373" spans="7:10" x14ac:dyDescent="0.25">
      <c r="G2373" s="164"/>
      <c r="H2373" s="164"/>
      <c r="I2373" s="164"/>
      <c r="J2373" s="164"/>
    </row>
    <row r="2374" spans="7:10" x14ac:dyDescent="0.25">
      <c r="G2374" s="164"/>
      <c r="H2374" s="164"/>
      <c r="I2374" s="164"/>
      <c r="J2374" s="164"/>
    </row>
    <row r="2375" spans="7:10" x14ac:dyDescent="0.25">
      <c r="G2375" s="164"/>
      <c r="H2375" s="164"/>
      <c r="I2375" s="164"/>
      <c r="J2375" s="164"/>
    </row>
    <row r="2376" spans="7:10" x14ac:dyDescent="0.25">
      <c r="G2376" s="164"/>
      <c r="H2376" s="164"/>
      <c r="I2376" s="164"/>
      <c r="J2376" s="164"/>
    </row>
    <row r="2377" spans="7:10" x14ac:dyDescent="0.25">
      <c r="G2377" s="164"/>
      <c r="H2377" s="164"/>
      <c r="I2377" s="164"/>
      <c r="J2377" s="164"/>
    </row>
    <row r="2378" spans="7:10" x14ac:dyDescent="0.25">
      <c r="G2378" s="164"/>
      <c r="H2378" s="164"/>
      <c r="I2378" s="164"/>
      <c r="J2378" s="164"/>
    </row>
    <row r="2379" spans="7:10" x14ac:dyDescent="0.25">
      <c r="G2379" s="164"/>
      <c r="H2379" s="164"/>
      <c r="I2379" s="164"/>
      <c r="J2379" s="164"/>
    </row>
    <row r="2380" spans="7:10" x14ac:dyDescent="0.25">
      <c r="G2380" s="164"/>
      <c r="H2380" s="164"/>
      <c r="I2380" s="164"/>
      <c r="J2380" s="164"/>
    </row>
    <row r="2381" spans="7:10" x14ac:dyDescent="0.25">
      <c r="G2381" s="164"/>
      <c r="H2381" s="164"/>
      <c r="I2381" s="164"/>
      <c r="J2381" s="164"/>
    </row>
    <row r="2382" spans="7:10" x14ac:dyDescent="0.25">
      <c r="G2382" s="164"/>
      <c r="H2382" s="164"/>
      <c r="I2382" s="164"/>
      <c r="J2382" s="164"/>
    </row>
    <row r="2383" spans="7:10" x14ac:dyDescent="0.25">
      <c r="G2383" s="164"/>
      <c r="H2383" s="164"/>
      <c r="I2383" s="164"/>
      <c r="J2383" s="164"/>
    </row>
    <row r="2384" spans="7:10" x14ac:dyDescent="0.25">
      <c r="G2384" s="164"/>
      <c r="H2384" s="164"/>
      <c r="I2384" s="164"/>
      <c r="J2384" s="164"/>
    </row>
    <row r="2385" spans="7:10" x14ac:dyDescent="0.25">
      <c r="G2385" s="164"/>
      <c r="H2385" s="164"/>
      <c r="I2385" s="164"/>
      <c r="J2385" s="164"/>
    </row>
    <row r="2386" spans="7:10" x14ac:dyDescent="0.25">
      <c r="G2386" s="164"/>
      <c r="H2386" s="164"/>
      <c r="I2386" s="164"/>
      <c r="J2386" s="164"/>
    </row>
    <row r="2387" spans="7:10" x14ac:dyDescent="0.25">
      <c r="G2387" s="164"/>
      <c r="H2387" s="164"/>
      <c r="I2387" s="164"/>
      <c r="J2387" s="164"/>
    </row>
    <row r="2388" spans="7:10" x14ac:dyDescent="0.25">
      <c r="G2388" s="164"/>
      <c r="H2388" s="164"/>
      <c r="I2388" s="164"/>
      <c r="J2388" s="164"/>
    </row>
    <row r="2389" spans="7:10" x14ac:dyDescent="0.25">
      <c r="G2389" s="164"/>
      <c r="H2389" s="164"/>
      <c r="I2389" s="164"/>
      <c r="J2389" s="164"/>
    </row>
    <row r="2390" spans="7:10" x14ac:dyDescent="0.25">
      <c r="G2390" s="164"/>
      <c r="H2390" s="164"/>
      <c r="I2390" s="164"/>
      <c r="J2390" s="164"/>
    </row>
    <row r="2391" spans="7:10" x14ac:dyDescent="0.25">
      <c r="G2391" s="164"/>
      <c r="H2391" s="164"/>
      <c r="I2391" s="164"/>
      <c r="J2391" s="164"/>
    </row>
    <row r="2392" spans="7:10" x14ac:dyDescent="0.25">
      <c r="G2392" s="164"/>
      <c r="H2392" s="164"/>
      <c r="I2392" s="164"/>
      <c r="J2392" s="164"/>
    </row>
    <row r="2393" spans="7:10" x14ac:dyDescent="0.25">
      <c r="G2393" s="164"/>
      <c r="H2393" s="164"/>
      <c r="I2393" s="164"/>
      <c r="J2393" s="164"/>
    </row>
    <row r="2394" spans="7:10" x14ac:dyDescent="0.25">
      <c r="G2394" s="164"/>
      <c r="H2394" s="164"/>
      <c r="I2394" s="164"/>
      <c r="J2394" s="164"/>
    </row>
    <row r="2395" spans="7:10" x14ac:dyDescent="0.25">
      <c r="G2395" s="164"/>
      <c r="H2395" s="164"/>
      <c r="I2395" s="164"/>
      <c r="J2395" s="164"/>
    </row>
    <row r="2396" spans="7:10" x14ac:dyDescent="0.25">
      <c r="G2396" s="164"/>
      <c r="H2396" s="164"/>
      <c r="I2396" s="164"/>
      <c r="J2396" s="164"/>
    </row>
    <row r="2397" spans="7:10" x14ac:dyDescent="0.25">
      <c r="G2397" s="164"/>
      <c r="H2397" s="164"/>
      <c r="I2397" s="164"/>
      <c r="J2397" s="164"/>
    </row>
    <row r="2398" spans="7:10" x14ac:dyDescent="0.25">
      <c r="G2398" s="164"/>
      <c r="H2398" s="164"/>
      <c r="I2398" s="164"/>
      <c r="J2398" s="164"/>
    </row>
    <row r="2399" spans="7:10" x14ac:dyDescent="0.25">
      <c r="G2399" s="164"/>
      <c r="H2399" s="164"/>
      <c r="I2399" s="164"/>
      <c r="J2399" s="164"/>
    </row>
    <row r="2400" spans="7:10" x14ac:dyDescent="0.25">
      <c r="G2400" s="164"/>
      <c r="H2400" s="164"/>
      <c r="I2400" s="164"/>
      <c r="J2400" s="164"/>
    </row>
    <row r="2401" spans="7:10" x14ac:dyDescent="0.25">
      <c r="G2401" s="164"/>
      <c r="H2401" s="164"/>
      <c r="I2401" s="164"/>
      <c r="J2401" s="164"/>
    </row>
    <row r="2402" spans="7:10" x14ac:dyDescent="0.25">
      <c r="G2402" s="164"/>
      <c r="H2402" s="164"/>
      <c r="I2402" s="164"/>
      <c r="J2402" s="164"/>
    </row>
    <row r="2403" spans="7:10" x14ac:dyDescent="0.25">
      <c r="G2403" s="164"/>
      <c r="H2403" s="164"/>
      <c r="I2403" s="164"/>
      <c r="J2403" s="164"/>
    </row>
    <row r="2404" spans="7:10" x14ac:dyDescent="0.25">
      <c r="G2404" s="164"/>
      <c r="H2404" s="164"/>
      <c r="I2404" s="164"/>
      <c r="J2404" s="164"/>
    </row>
    <row r="2405" spans="7:10" x14ac:dyDescent="0.25">
      <c r="G2405" s="164"/>
      <c r="H2405" s="164"/>
      <c r="I2405" s="164"/>
      <c r="J2405" s="164"/>
    </row>
    <row r="2406" spans="7:10" x14ac:dyDescent="0.25">
      <c r="G2406" s="164"/>
      <c r="H2406" s="164"/>
      <c r="I2406" s="164"/>
      <c r="J2406" s="164"/>
    </row>
    <row r="2407" spans="7:10" x14ac:dyDescent="0.25">
      <c r="G2407" s="164"/>
      <c r="H2407" s="164"/>
      <c r="I2407" s="164"/>
      <c r="J2407" s="164"/>
    </row>
    <row r="2408" spans="7:10" x14ac:dyDescent="0.25">
      <c r="G2408" s="164"/>
      <c r="H2408" s="164"/>
      <c r="I2408" s="164"/>
      <c r="J2408" s="164"/>
    </row>
    <row r="2409" spans="7:10" x14ac:dyDescent="0.25">
      <c r="G2409" s="164"/>
      <c r="H2409" s="164"/>
      <c r="I2409" s="164"/>
      <c r="J2409" s="164"/>
    </row>
    <row r="2410" spans="7:10" x14ac:dyDescent="0.25">
      <c r="G2410" s="164"/>
      <c r="H2410" s="164"/>
      <c r="I2410" s="164"/>
      <c r="J2410" s="164"/>
    </row>
    <row r="2411" spans="7:10" x14ac:dyDescent="0.25">
      <c r="G2411" s="164"/>
      <c r="H2411" s="164"/>
      <c r="I2411" s="164"/>
      <c r="J2411" s="164"/>
    </row>
    <row r="2412" spans="7:10" x14ac:dyDescent="0.25">
      <c r="G2412" s="164"/>
      <c r="H2412" s="164"/>
      <c r="I2412" s="164"/>
      <c r="J2412" s="164"/>
    </row>
    <row r="2413" spans="7:10" x14ac:dyDescent="0.25">
      <c r="G2413" s="164"/>
      <c r="H2413" s="164"/>
      <c r="I2413" s="164"/>
      <c r="J2413" s="164"/>
    </row>
    <row r="2414" spans="7:10" x14ac:dyDescent="0.25">
      <c r="G2414" s="164"/>
      <c r="H2414" s="164"/>
      <c r="I2414" s="164"/>
      <c r="J2414" s="164"/>
    </row>
    <row r="2415" spans="7:10" x14ac:dyDescent="0.25">
      <c r="G2415" s="164"/>
      <c r="H2415" s="164"/>
      <c r="I2415" s="164"/>
      <c r="J2415" s="164"/>
    </row>
    <row r="2416" spans="7:10" x14ac:dyDescent="0.25">
      <c r="G2416" s="164"/>
      <c r="H2416" s="164"/>
      <c r="I2416" s="164"/>
      <c r="J2416" s="164"/>
    </row>
    <row r="2417" spans="7:10" x14ac:dyDescent="0.25">
      <c r="G2417" s="164"/>
      <c r="H2417" s="164"/>
      <c r="I2417" s="164"/>
      <c r="J2417" s="164"/>
    </row>
    <row r="2418" spans="7:10" x14ac:dyDescent="0.25">
      <c r="G2418" s="164"/>
      <c r="H2418" s="164"/>
      <c r="I2418" s="164"/>
      <c r="J2418" s="164"/>
    </row>
    <row r="2419" spans="7:10" x14ac:dyDescent="0.25">
      <c r="G2419" s="164"/>
      <c r="H2419" s="164"/>
      <c r="I2419" s="164"/>
      <c r="J2419" s="164"/>
    </row>
    <row r="2420" spans="7:10" x14ac:dyDescent="0.25">
      <c r="G2420" s="164"/>
      <c r="H2420" s="164"/>
      <c r="I2420" s="164"/>
      <c r="J2420" s="164"/>
    </row>
    <row r="2421" spans="7:10" x14ac:dyDescent="0.25">
      <c r="G2421" s="164"/>
      <c r="H2421" s="164"/>
      <c r="I2421" s="164"/>
      <c r="J2421" s="164"/>
    </row>
    <row r="2422" spans="7:10" x14ac:dyDescent="0.25">
      <c r="G2422" s="164"/>
      <c r="H2422" s="164"/>
      <c r="I2422" s="164"/>
      <c r="J2422" s="164"/>
    </row>
    <row r="2423" spans="7:10" x14ac:dyDescent="0.25">
      <c r="G2423" s="164"/>
      <c r="H2423" s="164"/>
      <c r="I2423" s="164"/>
      <c r="J2423" s="164"/>
    </row>
    <row r="2424" spans="7:10" x14ac:dyDescent="0.25">
      <c r="G2424" s="164"/>
      <c r="H2424" s="164"/>
      <c r="I2424" s="164"/>
      <c r="J2424" s="164"/>
    </row>
    <row r="2425" spans="7:10" x14ac:dyDescent="0.25">
      <c r="G2425" s="164"/>
      <c r="H2425" s="164"/>
      <c r="I2425" s="164"/>
      <c r="J2425" s="164"/>
    </row>
    <row r="2426" spans="7:10" x14ac:dyDescent="0.25">
      <c r="G2426" s="164"/>
      <c r="H2426" s="164"/>
      <c r="I2426" s="164"/>
      <c r="J2426" s="164"/>
    </row>
    <row r="2427" spans="7:10" x14ac:dyDescent="0.25">
      <c r="G2427" s="164"/>
      <c r="H2427" s="164"/>
      <c r="I2427" s="164"/>
      <c r="J2427" s="164"/>
    </row>
    <row r="2428" spans="7:10" x14ac:dyDescent="0.25">
      <c r="G2428" s="164"/>
      <c r="H2428" s="164"/>
      <c r="I2428" s="164"/>
      <c r="J2428" s="164"/>
    </row>
    <row r="2429" spans="7:10" x14ac:dyDescent="0.25">
      <c r="G2429" s="164"/>
      <c r="H2429" s="164"/>
      <c r="I2429" s="164"/>
      <c r="J2429" s="164"/>
    </row>
    <row r="2430" spans="7:10" x14ac:dyDescent="0.25">
      <c r="G2430" s="164"/>
      <c r="H2430" s="164"/>
      <c r="I2430" s="164"/>
      <c r="J2430" s="164"/>
    </row>
    <row r="2431" spans="7:10" x14ac:dyDescent="0.25">
      <c r="G2431" s="164"/>
      <c r="H2431" s="164"/>
      <c r="I2431" s="164"/>
      <c r="J2431" s="164"/>
    </row>
    <row r="2432" spans="7:10" x14ac:dyDescent="0.25">
      <c r="G2432" s="164"/>
      <c r="H2432" s="164"/>
      <c r="I2432" s="164"/>
      <c r="J2432" s="164"/>
    </row>
    <row r="2433" spans="7:10" x14ac:dyDescent="0.25">
      <c r="G2433" s="164"/>
      <c r="H2433" s="164"/>
      <c r="I2433" s="164"/>
      <c r="J2433" s="164"/>
    </row>
    <row r="2434" spans="7:10" x14ac:dyDescent="0.25">
      <c r="G2434" s="164"/>
      <c r="H2434" s="164"/>
      <c r="I2434" s="164"/>
      <c r="J2434" s="164"/>
    </row>
    <row r="2435" spans="7:10" x14ac:dyDescent="0.25">
      <c r="G2435" s="164"/>
      <c r="H2435" s="164"/>
      <c r="I2435" s="164"/>
      <c r="J2435" s="164"/>
    </row>
    <row r="2436" spans="7:10" x14ac:dyDescent="0.25">
      <c r="G2436" s="164"/>
      <c r="H2436" s="164"/>
      <c r="I2436" s="164"/>
      <c r="J2436" s="164"/>
    </row>
    <row r="2437" spans="7:10" x14ac:dyDescent="0.25">
      <c r="G2437" s="164"/>
      <c r="H2437" s="164"/>
      <c r="I2437" s="164"/>
      <c r="J2437" s="164"/>
    </row>
    <row r="2438" spans="7:10" x14ac:dyDescent="0.25">
      <c r="G2438" s="164"/>
      <c r="H2438" s="164"/>
      <c r="I2438" s="164"/>
      <c r="J2438" s="164"/>
    </row>
    <row r="2439" spans="7:10" x14ac:dyDescent="0.25">
      <c r="G2439" s="164"/>
      <c r="H2439" s="164"/>
      <c r="I2439" s="164"/>
      <c r="J2439" s="164"/>
    </row>
    <row r="2440" spans="7:10" x14ac:dyDescent="0.25">
      <c r="G2440" s="164"/>
      <c r="H2440" s="164"/>
      <c r="I2440" s="164"/>
      <c r="J2440" s="164"/>
    </row>
    <row r="2441" spans="7:10" x14ac:dyDescent="0.25">
      <c r="G2441" s="164"/>
      <c r="H2441" s="164"/>
      <c r="I2441" s="164"/>
      <c r="J2441" s="164"/>
    </row>
    <row r="2442" spans="7:10" x14ac:dyDescent="0.25">
      <c r="G2442" s="164"/>
      <c r="H2442" s="164"/>
      <c r="I2442" s="164"/>
      <c r="J2442" s="164"/>
    </row>
    <row r="2443" spans="7:10" x14ac:dyDescent="0.25">
      <c r="G2443" s="164"/>
      <c r="H2443" s="164"/>
      <c r="I2443" s="164"/>
      <c r="J2443" s="164"/>
    </row>
    <row r="2444" spans="7:10" x14ac:dyDescent="0.25">
      <c r="G2444" s="164"/>
      <c r="H2444" s="164"/>
      <c r="I2444" s="164"/>
      <c r="J2444" s="164"/>
    </row>
    <row r="2445" spans="7:10" x14ac:dyDescent="0.25">
      <c r="G2445" s="164"/>
      <c r="H2445" s="164"/>
      <c r="I2445" s="164"/>
      <c r="J2445" s="164"/>
    </row>
    <row r="2446" spans="7:10" x14ac:dyDescent="0.25">
      <c r="G2446" s="164"/>
      <c r="H2446" s="164"/>
      <c r="I2446" s="164"/>
      <c r="J2446" s="164"/>
    </row>
    <row r="2447" spans="7:10" x14ac:dyDescent="0.25">
      <c r="G2447" s="164"/>
      <c r="H2447" s="164"/>
      <c r="I2447" s="164"/>
      <c r="J2447" s="164"/>
    </row>
    <row r="2448" spans="7:10" x14ac:dyDescent="0.25">
      <c r="G2448" s="164"/>
      <c r="H2448" s="164"/>
      <c r="I2448" s="164"/>
      <c r="J2448" s="164"/>
    </row>
    <row r="2449" spans="7:10" x14ac:dyDescent="0.25">
      <c r="G2449" s="164"/>
      <c r="H2449" s="164"/>
      <c r="I2449" s="164"/>
      <c r="J2449" s="164"/>
    </row>
    <row r="2450" spans="7:10" x14ac:dyDescent="0.25">
      <c r="G2450" s="164"/>
      <c r="H2450" s="164"/>
      <c r="I2450" s="164"/>
      <c r="J2450" s="164"/>
    </row>
    <row r="2451" spans="7:10" x14ac:dyDescent="0.25">
      <c r="G2451" s="164"/>
      <c r="H2451" s="164"/>
      <c r="I2451" s="164"/>
      <c r="J2451" s="164"/>
    </row>
    <row r="2452" spans="7:10" x14ac:dyDescent="0.25">
      <c r="G2452" s="164"/>
      <c r="H2452" s="164"/>
      <c r="I2452" s="164"/>
      <c r="J2452" s="164"/>
    </row>
    <row r="2453" spans="7:10" x14ac:dyDescent="0.25">
      <c r="G2453" s="164"/>
      <c r="H2453" s="164"/>
      <c r="I2453" s="164"/>
      <c r="J2453" s="164"/>
    </row>
    <row r="2454" spans="7:10" x14ac:dyDescent="0.25">
      <c r="G2454" s="164"/>
      <c r="H2454" s="164"/>
      <c r="I2454" s="164"/>
      <c r="J2454" s="164"/>
    </row>
    <row r="2455" spans="7:10" x14ac:dyDescent="0.25">
      <c r="G2455" s="164"/>
      <c r="H2455" s="164"/>
      <c r="I2455" s="164"/>
      <c r="J2455" s="164"/>
    </row>
    <row r="2456" spans="7:10" x14ac:dyDescent="0.25">
      <c r="G2456" s="164"/>
      <c r="H2456" s="164"/>
      <c r="I2456" s="164"/>
      <c r="J2456" s="164"/>
    </row>
    <row r="2457" spans="7:10" x14ac:dyDescent="0.25">
      <c r="G2457" s="164"/>
      <c r="H2457" s="164"/>
      <c r="I2457" s="164"/>
      <c r="J2457" s="164"/>
    </row>
    <row r="2458" spans="7:10" x14ac:dyDescent="0.25">
      <c r="G2458" s="164"/>
      <c r="H2458" s="164"/>
      <c r="I2458" s="164"/>
      <c r="J2458" s="164"/>
    </row>
    <row r="2459" spans="7:10" x14ac:dyDescent="0.25">
      <c r="G2459" s="164"/>
      <c r="H2459" s="164"/>
      <c r="I2459" s="164"/>
      <c r="J2459" s="164"/>
    </row>
    <row r="2460" spans="7:10" x14ac:dyDescent="0.25">
      <c r="G2460" s="164"/>
      <c r="H2460" s="164"/>
      <c r="I2460" s="164"/>
      <c r="J2460" s="164"/>
    </row>
    <row r="2461" spans="7:10" x14ac:dyDescent="0.25">
      <c r="G2461" s="164"/>
      <c r="H2461" s="164"/>
      <c r="I2461" s="164"/>
      <c r="J2461" s="164"/>
    </row>
    <row r="2462" spans="7:10" x14ac:dyDescent="0.25">
      <c r="G2462" s="164"/>
      <c r="H2462" s="164"/>
      <c r="I2462" s="164"/>
      <c r="J2462" s="164"/>
    </row>
    <row r="2463" spans="7:10" x14ac:dyDescent="0.25">
      <c r="G2463" s="164"/>
      <c r="H2463" s="164"/>
      <c r="I2463" s="164"/>
      <c r="J2463" s="164"/>
    </row>
    <row r="2464" spans="7:10" x14ac:dyDescent="0.25">
      <c r="G2464" s="164"/>
      <c r="H2464" s="164"/>
      <c r="I2464" s="164"/>
      <c r="J2464" s="164"/>
    </row>
    <row r="2465" spans="7:10" x14ac:dyDescent="0.25">
      <c r="G2465" s="164"/>
      <c r="H2465" s="164"/>
      <c r="I2465" s="164"/>
      <c r="J2465" s="164"/>
    </row>
    <row r="2466" spans="7:10" x14ac:dyDescent="0.25">
      <c r="G2466" s="164"/>
      <c r="H2466" s="164"/>
      <c r="I2466" s="164"/>
      <c r="J2466" s="164"/>
    </row>
    <row r="2467" spans="7:10" x14ac:dyDescent="0.25">
      <c r="G2467" s="164"/>
      <c r="H2467" s="164"/>
      <c r="I2467" s="164"/>
      <c r="J2467" s="164"/>
    </row>
    <row r="2468" spans="7:10" x14ac:dyDescent="0.25">
      <c r="G2468" s="164"/>
      <c r="H2468" s="164"/>
      <c r="I2468" s="164"/>
      <c r="J2468" s="164"/>
    </row>
    <row r="2469" spans="7:10" x14ac:dyDescent="0.25">
      <c r="G2469" s="164"/>
      <c r="H2469" s="164"/>
      <c r="I2469" s="164"/>
      <c r="J2469" s="164"/>
    </row>
    <row r="2470" spans="7:10" x14ac:dyDescent="0.25">
      <c r="G2470" s="164"/>
      <c r="H2470" s="164"/>
      <c r="I2470" s="164"/>
      <c r="J2470" s="164"/>
    </row>
    <row r="2471" spans="7:10" x14ac:dyDescent="0.25">
      <c r="G2471" s="164"/>
      <c r="H2471" s="164"/>
      <c r="I2471" s="164"/>
      <c r="J2471" s="164"/>
    </row>
    <row r="2472" spans="7:10" x14ac:dyDescent="0.25">
      <c r="G2472" s="164"/>
      <c r="H2472" s="164"/>
      <c r="I2472" s="164"/>
      <c r="J2472" s="164"/>
    </row>
    <row r="2473" spans="7:10" x14ac:dyDescent="0.25">
      <c r="G2473" s="164"/>
      <c r="H2473" s="164"/>
      <c r="I2473" s="164"/>
      <c r="J2473" s="164"/>
    </row>
    <row r="2474" spans="7:10" x14ac:dyDescent="0.25">
      <c r="G2474" s="164"/>
      <c r="H2474" s="164"/>
      <c r="I2474" s="164"/>
      <c r="J2474" s="164"/>
    </row>
    <row r="2475" spans="7:10" x14ac:dyDescent="0.25">
      <c r="G2475" s="164"/>
      <c r="H2475" s="164"/>
      <c r="I2475" s="164"/>
      <c r="J2475" s="164"/>
    </row>
    <row r="2476" spans="7:10" x14ac:dyDescent="0.25">
      <c r="G2476" s="164"/>
      <c r="H2476" s="164"/>
      <c r="I2476" s="164"/>
      <c r="J2476" s="164"/>
    </row>
    <row r="2477" spans="7:10" x14ac:dyDescent="0.25">
      <c r="G2477" s="164"/>
      <c r="H2477" s="164"/>
      <c r="I2477" s="164"/>
      <c r="J2477" s="164"/>
    </row>
    <row r="2478" spans="7:10" x14ac:dyDescent="0.25">
      <c r="G2478" s="164"/>
      <c r="H2478" s="164"/>
      <c r="I2478" s="164"/>
      <c r="J2478" s="164"/>
    </row>
    <row r="2479" spans="7:10" x14ac:dyDescent="0.25">
      <c r="G2479" s="164"/>
      <c r="H2479" s="164"/>
      <c r="I2479" s="164"/>
      <c r="J2479" s="164"/>
    </row>
    <row r="2480" spans="7:10" x14ac:dyDescent="0.25">
      <c r="G2480" s="164"/>
      <c r="H2480" s="164"/>
      <c r="I2480" s="164"/>
      <c r="J2480" s="164"/>
    </row>
    <row r="2481" spans="7:10" x14ac:dyDescent="0.25">
      <c r="G2481" s="164"/>
      <c r="H2481" s="164"/>
      <c r="I2481" s="164"/>
      <c r="J2481" s="164"/>
    </row>
    <row r="2482" spans="7:10" x14ac:dyDescent="0.25">
      <c r="G2482" s="164"/>
      <c r="H2482" s="164"/>
      <c r="I2482" s="164"/>
      <c r="J2482" s="164"/>
    </row>
    <row r="2483" spans="7:10" x14ac:dyDescent="0.25">
      <c r="G2483" s="164"/>
      <c r="H2483" s="164"/>
      <c r="I2483" s="164"/>
      <c r="J2483" s="164"/>
    </row>
    <row r="2484" spans="7:10" x14ac:dyDescent="0.25">
      <c r="G2484" s="164"/>
      <c r="H2484" s="164"/>
      <c r="I2484" s="164"/>
      <c r="J2484" s="164"/>
    </row>
    <row r="2485" spans="7:10" x14ac:dyDescent="0.25">
      <c r="G2485" s="164"/>
      <c r="H2485" s="164"/>
      <c r="I2485" s="164"/>
      <c r="J2485" s="164"/>
    </row>
    <row r="2486" spans="7:10" x14ac:dyDescent="0.25">
      <c r="G2486" s="164"/>
      <c r="H2486" s="164"/>
      <c r="I2486" s="164"/>
      <c r="J2486" s="164"/>
    </row>
    <row r="2487" spans="7:10" x14ac:dyDescent="0.25">
      <c r="G2487" s="164"/>
      <c r="H2487" s="164"/>
      <c r="I2487" s="164"/>
      <c r="J2487" s="164"/>
    </row>
    <row r="2488" spans="7:10" x14ac:dyDescent="0.25">
      <c r="G2488" s="164"/>
      <c r="H2488" s="164"/>
      <c r="I2488" s="164"/>
      <c r="J2488" s="164"/>
    </row>
    <row r="2489" spans="7:10" x14ac:dyDescent="0.25">
      <c r="G2489" s="164"/>
      <c r="H2489" s="164"/>
      <c r="I2489" s="164"/>
      <c r="J2489" s="164"/>
    </row>
    <row r="2490" spans="7:10" x14ac:dyDescent="0.25">
      <c r="G2490" s="164"/>
      <c r="H2490" s="164"/>
      <c r="I2490" s="164"/>
      <c r="J2490" s="164"/>
    </row>
    <row r="2491" spans="7:10" x14ac:dyDescent="0.25">
      <c r="G2491" s="164"/>
      <c r="H2491" s="164"/>
      <c r="I2491" s="164"/>
      <c r="J2491" s="164"/>
    </row>
    <row r="2492" spans="7:10" x14ac:dyDescent="0.25">
      <c r="G2492" s="164"/>
      <c r="H2492" s="164"/>
      <c r="I2492" s="164"/>
      <c r="J2492" s="164"/>
    </row>
    <row r="2493" spans="7:10" x14ac:dyDescent="0.25">
      <c r="G2493" s="164"/>
      <c r="H2493" s="164"/>
      <c r="I2493" s="164"/>
      <c r="J2493" s="164"/>
    </row>
    <row r="2494" spans="7:10" x14ac:dyDescent="0.25">
      <c r="G2494" s="164"/>
      <c r="H2494" s="164"/>
      <c r="I2494" s="164"/>
      <c r="J2494" s="164"/>
    </row>
    <row r="2495" spans="7:10" x14ac:dyDescent="0.25">
      <c r="G2495" s="164"/>
      <c r="H2495" s="164"/>
      <c r="I2495" s="164"/>
      <c r="J2495" s="164"/>
    </row>
    <row r="2496" spans="7:10" x14ac:dyDescent="0.25">
      <c r="G2496" s="164"/>
      <c r="H2496" s="164"/>
      <c r="I2496" s="164"/>
      <c r="J2496" s="164"/>
    </row>
    <row r="2497" spans="7:10" x14ac:dyDescent="0.25">
      <c r="G2497" s="164"/>
      <c r="H2497" s="164"/>
      <c r="I2497" s="164"/>
      <c r="J2497" s="164"/>
    </row>
    <row r="2498" spans="7:10" x14ac:dyDescent="0.25">
      <c r="G2498" s="164"/>
      <c r="H2498" s="164"/>
      <c r="I2498" s="164"/>
      <c r="J2498" s="164"/>
    </row>
    <row r="2499" spans="7:10" x14ac:dyDescent="0.25">
      <c r="G2499" s="164"/>
      <c r="H2499" s="164"/>
      <c r="I2499" s="164"/>
      <c r="J2499" s="164"/>
    </row>
    <row r="2500" spans="7:10" x14ac:dyDescent="0.25">
      <c r="G2500" s="164"/>
      <c r="H2500" s="164"/>
      <c r="I2500" s="164"/>
      <c r="J2500" s="164"/>
    </row>
    <row r="2501" spans="7:10" x14ac:dyDescent="0.25">
      <c r="G2501" s="164"/>
      <c r="H2501" s="164"/>
      <c r="I2501" s="164"/>
      <c r="J2501" s="164"/>
    </row>
    <row r="2502" spans="7:10" x14ac:dyDescent="0.25">
      <c r="G2502" s="164"/>
      <c r="H2502" s="164"/>
      <c r="I2502" s="164"/>
      <c r="J2502" s="164"/>
    </row>
    <row r="2503" spans="7:10" x14ac:dyDescent="0.25">
      <c r="G2503" s="164"/>
      <c r="H2503" s="164"/>
      <c r="I2503" s="164"/>
      <c r="J2503" s="164"/>
    </row>
    <row r="2504" spans="7:10" x14ac:dyDescent="0.25">
      <c r="G2504" s="164"/>
      <c r="H2504" s="164"/>
      <c r="I2504" s="164"/>
      <c r="J2504" s="164"/>
    </row>
    <row r="2505" spans="7:10" x14ac:dyDescent="0.25">
      <c r="G2505" s="164"/>
      <c r="H2505" s="164"/>
      <c r="I2505" s="164"/>
      <c r="J2505" s="164"/>
    </row>
    <row r="2506" spans="7:10" x14ac:dyDescent="0.25">
      <c r="G2506" s="164"/>
      <c r="H2506" s="164"/>
      <c r="I2506" s="164"/>
      <c r="J2506" s="164"/>
    </row>
    <row r="2507" spans="7:10" x14ac:dyDescent="0.25">
      <c r="G2507" s="164"/>
      <c r="H2507" s="164"/>
      <c r="I2507" s="164"/>
      <c r="J2507" s="164"/>
    </row>
    <row r="2508" spans="7:10" x14ac:dyDescent="0.25">
      <c r="G2508" s="164"/>
      <c r="H2508" s="164"/>
      <c r="I2508" s="164"/>
      <c r="J2508" s="164"/>
    </row>
    <row r="2509" spans="7:10" x14ac:dyDescent="0.25">
      <c r="G2509" s="164"/>
      <c r="H2509" s="164"/>
      <c r="I2509" s="164"/>
      <c r="J2509" s="164"/>
    </row>
    <row r="2510" spans="7:10" x14ac:dyDescent="0.25">
      <c r="G2510" s="164"/>
      <c r="H2510" s="164"/>
      <c r="I2510" s="164"/>
      <c r="J2510" s="164"/>
    </row>
    <row r="2511" spans="7:10" x14ac:dyDescent="0.25">
      <c r="G2511" s="164"/>
      <c r="H2511" s="164"/>
      <c r="I2511" s="164"/>
      <c r="J2511" s="164"/>
    </row>
    <row r="2512" spans="7:10" x14ac:dyDescent="0.25">
      <c r="G2512" s="164"/>
      <c r="H2512" s="164"/>
      <c r="I2512" s="164"/>
      <c r="J2512" s="164"/>
    </row>
    <row r="2513" spans="7:10" x14ac:dyDescent="0.25">
      <c r="G2513" s="164"/>
      <c r="H2513" s="164"/>
      <c r="I2513" s="164"/>
      <c r="J2513" s="164"/>
    </row>
    <row r="2514" spans="7:10" x14ac:dyDescent="0.25">
      <c r="G2514" s="164"/>
      <c r="H2514" s="164"/>
      <c r="I2514" s="164"/>
      <c r="J2514" s="164"/>
    </row>
    <row r="2515" spans="7:10" x14ac:dyDescent="0.25">
      <c r="G2515" s="164"/>
      <c r="H2515" s="164"/>
      <c r="I2515" s="164"/>
      <c r="J2515" s="164"/>
    </row>
    <row r="2516" spans="7:10" x14ac:dyDescent="0.25">
      <c r="G2516" s="164"/>
      <c r="H2516" s="164"/>
      <c r="I2516" s="164"/>
      <c r="J2516" s="164"/>
    </row>
    <row r="2517" spans="7:10" x14ac:dyDescent="0.25">
      <c r="G2517" s="164"/>
      <c r="H2517" s="164"/>
      <c r="I2517" s="164"/>
      <c r="J2517" s="164"/>
    </row>
    <row r="2518" spans="7:10" x14ac:dyDescent="0.25">
      <c r="G2518" s="164"/>
      <c r="H2518" s="164"/>
      <c r="I2518" s="164"/>
      <c r="J2518" s="164"/>
    </row>
    <row r="2519" spans="7:10" x14ac:dyDescent="0.25">
      <c r="G2519" s="164"/>
      <c r="H2519" s="164"/>
      <c r="I2519" s="164"/>
      <c r="J2519" s="164"/>
    </row>
    <row r="2520" spans="7:10" x14ac:dyDescent="0.25">
      <c r="G2520" s="164"/>
      <c r="H2520" s="164"/>
      <c r="I2520" s="164"/>
      <c r="J2520" s="164"/>
    </row>
    <row r="2521" spans="7:10" x14ac:dyDescent="0.25">
      <c r="G2521" s="164"/>
      <c r="H2521" s="164"/>
      <c r="I2521" s="164"/>
      <c r="J2521" s="164"/>
    </row>
    <row r="2522" spans="7:10" x14ac:dyDescent="0.25">
      <c r="G2522" s="164"/>
      <c r="H2522" s="164"/>
      <c r="I2522" s="164"/>
      <c r="J2522" s="164"/>
    </row>
    <row r="2523" spans="7:10" x14ac:dyDescent="0.25">
      <c r="G2523" s="164"/>
      <c r="H2523" s="164"/>
      <c r="I2523" s="164"/>
      <c r="J2523" s="164"/>
    </row>
    <row r="2524" spans="7:10" x14ac:dyDescent="0.25">
      <c r="G2524" s="164"/>
      <c r="H2524" s="164"/>
      <c r="I2524" s="164"/>
      <c r="J2524" s="164"/>
    </row>
    <row r="2525" spans="7:10" x14ac:dyDescent="0.25">
      <c r="G2525" s="164"/>
      <c r="H2525" s="164"/>
      <c r="I2525" s="164"/>
      <c r="J2525" s="164"/>
    </row>
    <row r="2526" spans="7:10" x14ac:dyDescent="0.25">
      <c r="G2526" s="164"/>
      <c r="H2526" s="164"/>
      <c r="I2526" s="164"/>
      <c r="J2526" s="164"/>
    </row>
    <row r="2527" spans="7:10" x14ac:dyDescent="0.25">
      <c r="G2527" s="164"/>
      <c r="H2527" s="164"/>
      <c r="I2527" s="164"/>
      <c r="J2527" s="164"/>
    </row>
    <row r="2528" spans="7:10" x14ac:dyDescent="0.25">
      <c r="G2528" s="164"/>
      <c r="H2528" s="164"/>
      <c r="I2528" s="164"/>
      <c r="J2528" s="164"/>
    </row>
    <row r="2529" spans="7:10" x14ac:dyDescent="0.25">
      <c r="G2529" s="164"/>
      <c r="H2529" s="164"/>
      <c r="I2529" s="164"/>
      <c r="J2529" s="164"/>
    </row>
    <row r="2530" spans="7:10" x14ac:dyDescent="0.25">
      <c r="G2530" s="164"/>
      <c r="H2530" s="164"/>
      <c r="I2530" s="164"/>
      <c r="J2530" s="164"/>
    </row>
    <row r="2531" spans="7:10" x14ac:dyDescent="0.25">
      <c r="G2531" s="164"/>
      <c r="H2531" s="164"/>
      <c r="I2531" s="164"/>
      <c r="J2531" s="164"/>
    </row>
    <row r="2532" spans="7:10" x14ac:dyDescent="0.25">
      <c r="G2532" s="164"/>
      <c r="H2532" s="164"/>
      <c r="I2532" s="164"/>
      <c r="J2532" s="164"/>
    </row>
    <row r="2533" spans="7:10" x14ac:dyDescent="0.25">
      <c r="G2533" s="164"/>
      <c r="H2533" s="164"/>
      <c r="I2533" s="164"/>
      <c r="J2533" s="164"/>
    </row>
    <row r="2534" spans="7:10" x14ac:dyDescent="0.25">
      <c r="G2534" s="164"/>
      <c r="H2534" s="164"/>
      <c r="I2534" s="164"/>
      <c r="J2534" s="164"/>
    </row>
    <row r="2535" spans="7:10" x14ac:dyDescent="0.25">
      <c r="G2535" s="164"/>
      <c r="H2535" s="164"/>
      <c r="I2535" s="164"/>
      <c r="J2535" s="164"/>
    </row>
    <row r="2536" spans="7:10" x14ac:dyDescent="0.25">
      <c r="G2536" s="164"/>
      <c r="H2536" s="164"/>
      <c r="I2536" s="164"/>
      <c r="J2536" s="164"/>
    </row>
    <row r="2537" spans="7:10" x14ac:dyDescent="0.25">
      <c r="G2537" s="164"/>
      <c r="H2537" s="164"/>
      <c r="I2537" s="164"/>
      <c r="J2537" s="164"/>
    </row>
    <row r="2538" spans="7:10" x14ac:dyDescent="0.25">
      <c r="G2538" s="164"/>
      <c r="H2538" s="164"/>
      <c r="I2538" s="164"/>
      <c r="J2538" s="164"/>
    </row>
    <row r="2539" spans="7:10" x14ac:dyDescent="0.25">
      <c r="G2539" s="164"/>
      <c r="H2539" s="164"/>
      <c r="I2539" s="164"/>
      <c r="J2539" s="164"/>
    </row>
    <row r="2540" spans="7:10" x14ac:dyDescent="0.25">
      <c r="G2540" s="164"/>
      <c r="H2540" s="164"/>
      <c r="I2540" s="164"/>
      <c r="J2540" s="164"/>
    </row>
    <row r="2541" spans="7:10" x14ac:dyDescent="0.25">
      <c r="G2541" s="164"/>
      <c r="H2541" s="164"/>
      <c r="I2541" s="164"/>
      <c r="J2541" s="164"/>
    </row>
    <row r="2542" spans="7:10" x14ac:dyDescent="0.25">
      <c r="G2542" s="164"/>
      <c r="H2542" s="164"/>
      <c r="I2542" s="164"/>
      <c r="J2542" s="164"/>
    </row>
    <row r="2543" spans="7:10" x14ac:dyDescent="0.25">
      <c r="G2543" s="164"/>
      <c r="H2543" s="164"/>
      <c r="I2543" s="164"/>
      <c r="J2543" s="164"/>
    </row>
    <row r="2544" spans="7:10" x14ac:dyDescent="0.25">
      <c r="G2544" s="164"/>
      <c r="H2544" s="164"/>
      <c r="I2544" s="164"/>
      <c r="J2544" s="164"/>
    </row>
    <row r="2545" spans="7:10" x14ac:dyDescent="0.25">
      <c r="G2545" s="164"/>
      <c r="H2545" s="164"/>
      <c r="I2545" s="164"/>
      <c r="J2545" s="164"/>
    </row>
    <row r="2546" spans="7:10" x14ac:dyDescent="0.25">
      <c r="G2546" s="164"/>
      <c r="H2546" s="164"/>
      <c r="I2546" s="164"/>
      <c r="J2546" s="164"/>
    </row>
    <row r="2547" spans="7:10" x14ac:dyDescent="0.25">
      <c r="G2547" s="164"/>
      <c r="H2547" s="164"/>
      <c r="I2547" s="164"/>
      <c r="J2547" s="164"/>
    </row>
    <row r="2548" spans="7:10" x14ac:dyDescent="0.25">
      <c r="G2548" s="164"/>
      <c r="H2548" s="164"/>
      <c r="I2548" s="164"/>
      <c r="J2548" s="164"/>
    </row>
    <row r="2549" spans="7:10" x14ac:dyDescent="0.25">
      <c r="G2549" s="164"/>
      <c r="H2549" s="164"/>
      <c r="I2549" s="164"/>
      <c r="J2549" s="164"/>
    </row>
    <row r="2550" spans="7:10" x14ac:dyDescent="0.25">
      <c r="G2550" s="164"/>
      <c r="H2550" s="164"/>
      <c r="I2550" s="164"/>
      <c r="J2550" s="164"/>
    </row>
    <row r="2551" spans="7:10" x14ac:dyDescent="0.25">
      <c r="G2551" s="164"/>
      <c r="H2551" s="164"/>
      <c r="I2551" s="164"/>
      <c r="J2551" s="164"/>
    </row>
    <row r="2552" spans="7:10" x14ac:dyDescent="0.25">
      <c r="G2552" s="164"/>
      <c r="H2552" s="164"/>
      <c r="I2552" s="164"/>
      <c r="J2552" s="164"/>
    </row>
    <row r="2553" spans="7:10" x14ac:dyDescent="0.25">
      <c r="G2553" s="164"/>
      <c r="H2553" s="164"/>
      <c r="I2553" s="164"/>
      <c r="J2553" s="164"/>
    </row>
    <row r="2554" spans="7:10" x14ac:dyDescent="0.25">
      <c r="G2554" s="164"/>
      <c r="H2554" s="164"/>
      <c r="I2554" s="164"/>
      <c r="J2554" s="164"/>
    </row>
    <row r="2555" spans="7:10" x14ac:dyDescent="0.25">
      <c r="G2555" s="164"/>
      <c r="H2555" s="164"/>
      <c r="I2555" s="164"/>
      <c r="J2555" s="164"/>
    </row>
    <row r="2556" spans="7:10" x14ac:dyDescent="0.25">
      <c r="G2556" s="164"/>
      <c r="H2556" s="164"/>
      <c r="I2556" s="164"/>
      <c r="J2556" s="164"/>
    </row>
    <row r="2557" spans="7:10" x14ac:dyDescent="0.25">
      <c r="G2557" s="164"/>
      <c r="H2557" s="164"/>
      <c r="I2557" s="164"/>
      <c r="J2557" s="164"/>
    </row>
    <row r="2558" spans="7:10" x14ac:dyDescent="0.25">
      <c r="G2558" s="164"/>
      <c r="H2558" s="164"/>
      <c r="I2558" s="164"/>
      <c r="J2558" s="164"/>
    </row>
    <row r="2559" spans="7:10" x14ac:dyDescent="0.25">
      <c r="G2559" s="164"/>
      <c r="H2559" s="164"/>
      <c r="I2559" s="164"/>
      <c r="J2559" s="164"/>
    </row>
    <row r="2560" spans="7:10" x14ac:dyDescent="0.25">
      <c r="G2560" s="164"/>
      <c r="H2560" s="164"/>
      <c r="I2560" s="164"/>
      <c r="J2560" s="164"/>
    </row>
    <row r="2561" spans="7:10" x14ac:dyDescent="0.25">
      <c r="G2561" s="164"/>
      <c r="H2561" s="164"/>
      <c r="I2561" s="164"/>
      <c r="J2561" s="164"/>
    </row>
    <row r="2562" spans="7:10" x14ac:dyDescent="0.25">
      <c r="G2562" s="164"/>
      <c r="H2562" s="164"/>
      <c r="I2562" s="164"/>
      <c r="J2562" s="164"/>
    </row>
    <row r="2563" spans="7:10" x14ac:dyDescent="0.25">
      <c r="G2563" s="164"/>
      <c r="H2563" s="164"/>
      <c r="I2563" s="164"/>
      <c r="J2563" s="164"/>
    </row>
    <row r="2564" spans="7:10" x14ac:dyDescent="0.25">
      <c r="G2564" s="164"/>
      <c r="H2564" s="164"/>
      <c r="I2564" s="164"/>
      <c r="J2564" s="164"/>
    </row>
    <row r="2565" spans="7:10" x14ac:dyDescent="0.25">
      <c r="G2565" s="164"/>
      <c r="H2565" s="164"/>
      <c r="I2565" s="164"/>
      <c r="J2565" s="164"/>
    </row>
    <row r="2566" spans="7:10" x14ac:dyDescent="0.25">
      <c r="G2566" s="164"/>
      <c r="H2566" s="164"/>
      <c r="I2566" s="164"/>
      <c r="J2566" s="164"/>
    </row>
    <row r="2567" spans="7:10" x14ac:dyDescent="0.25">
      <c r="G2567" s="164"/>
      <c r="H2567" s="164"/>
      <c r="I2567" s="164"/>
      <c r="J2567" s="164"/>
    </row>
    <row r="2568" spans="7:10" x14ac:dyDescent="0.25">
      <c r="G2568" s="164"/>
      <c r="H2568" s="164"/>
      <c r="I2568" s="164"/>
      <c r="J2568" s="164"/>
    </row>
    <row r="2569" spans="7:10" x14ac:dyDescent="0.25">
      <c r="G2569" s="164"/>
      <c r="H2569" s="164"/>
      <c r="I2569" s="164"/>
      <c r="J2569" s="164"/>
    </row>
    <row r="2570" spans="7:10" x14ac:dyDescent="0.25">
      <c r="G2570" s="164"/>
      <c r="H2570" s="164"/>
      <c r="I2570" s="164"/>
      <c r="J2570" s="164"/>
    </row>
    <row r="2571" spans="7:10" x14ac:dyDescent="0.25">
      <c r="G2571" s="164"/>
      <c r="H2571" s="164"/>
      <c r="I2571" s="164"/>
      <c r="J2571" s="164"/>
    </row>
    <row r="2572" spans="7:10" x14ac:dyDescent="0.25">
      <c r="G2572" s="164"/>
      <c r="H2572" s="164"/>
      <c r="I2572" s="164"/>
      <c r="J2572" s="164"/>
    </row>
    <row r="2573" spans="7:10" x14ac:dyDescent="0.25">
      <c r="G2573" s="164"/>
      <c r="H2573" s="164"/>
      <c r="I2573" s="164"/>
      <c r="J2573" s="164"/>
    </row>
    <row r="2574" spans="7:10" x14ac:dyDescent="0.25">
      <c r="G2574" s="164"/>
      <c r="H2574" s="164"/>
      <c r="I2574" s="164"/>
      <c r="J2574" s="164"/>
    </row>
    <row r="2575" spans="7:10" x14ac:dyDescent="0.25">
      <c r="G2575" s="164"/>
      <c r="H2575" s="164"/>
      <c r="I2575" s="164"/>
      <c r="J2575" s="164"/>
    </row>
    <row r="2576" spans="7:10" x14ac:dyDescent="0.25">
      <c r="G2576" s="164"/>
      <c r="H2576" s="164"/>
      <c r="I2576" s="164"/>
      <c r="J2576" s="164"/>
    </row>
    <row r="2577" spans="7:10" x14ac:dyDescent="0.25">
      <c r="G2577" s="164"/>
      <c r="H2577" s="164"/>
      <c r="I2577" s="164"/>
      <c r="J2577" s="164"/>
    </row>
    <row r="2578" spans="7:10" x14ac:dyDescent="0.25">
      <c r="G2578" s="164"/>
      <c r="H2578" s="164"/>
      <c r="I2578" s="164"/>
      <c r="J2578" s="164"/>
    </row>
    <row r="2579" spans="7:10" x14ac:dyDescent="0.25">
      <c r="G2579" s="164"/>
      <c r="H2579" s="164"/>
      <c r="I2579" s="164"/>
      <c r="J2579" s="164"/>
    </row>
    <row r="2580" spans="7:10" x14ac:dyDescent="0.25">
      <c r="G2580" s="164"/>
      <c r="H2580" s="164"/>
      <c r="I2580" s="164"/>
      <c r="J2580" s="164"/>
    </row>
    <row r="2581" spans="7:10" x14ac:dyDescent="0.25">
      <c r="G2581" s="164"/>
      <c r="H2581" s="164"/>
      <c r="I2581" s="164"/>
      <c r="J2581" s="164"/>
    </row>
    <row r="2582" spans="7:10" x14ac:dyDescent="0.25">
      <c r="G2582" s="164"/>
      <c r="H2582" s="164"/>
      <c r="I2582" s="164"/>
      <c r="J2582" s="164"/>
    </row>
    <row r="2583" spans="7:10" x14ac:dyDescent="0.25">
      <c r="G2583" s="164"/>
      <c r="H2583" s="164"/>
      <c r="I2583" s="164"/>
      <c r="J2583" s="164"/>
    </row>
    <row r="2584" spans="7:10" x14ac:dyDescent="0.25">
      <c r="G2584" s="164"/>
      <c r="H2584" s="164"/>
      <c r="I2584" s="164"/>
      <c r="J2584" s="164"/>
    </row>
    <row r="2585" spans="7:10" x14ac:dyDescent="0.25">
      <c r="G2585" s="164"/>
      <c r="H2585" s="164"/>
      <c r="I2585" s="164"/>
      <c r="J2585" s="164"/>
    </row>
    <row r="2586" spans="7:10" x14ac:dyDescent="0.25">
      <c r="G2586" s="164"/>
      <c r="H2586" s="164"/>
      <c r="I2586" s="164"/>
      <c r="J2586" s="164"/>
    </row>
    <row r="2587" spans="7:10" x14ac:dyDescent="0.25">
      <c r="G2587" s="164"/>
      <c r="H2587" s="164"/>
      <c r="I2587" s="164"/>
      <c r="J2587" s="164"/>
    </row>
    <row r="2588" spans="7:10" x14ac:dyDescent="0.25">
      <c r="G2588" s="164"/>
      <c r="H2588" s="164"/>
      <c r="I2588" s="164"/>
      <c r="J2588" s="164"/>
    </row>
    <row r="2589" spans="7:10" x14ac:dyDescent="0.25">
      <c r="G2589" s="164"/>
      <c r="H2589" s="164"/>
      <c r="I2589" s="164"/>
      <c r="J2589" s="164"/>
    </row>
    <row r="2590" spans="7:10" x14ac:dyDescent="0.25">
      <c r="G2590" s="164"/>
      <c r="H2590" s="164"/>
      <c r="I2590" s="164"/>
      <c r="J2590" s="164"/>
    </row>
    <row r="2591" spans="7:10" x14ac:dyDescent="0.25">
      <c r="G2591" s="164"/>
      <c r="H2591" s="164"/>
      <c r="I2591" s="164"/>
      <c r="J2591" s="164"/>
    </row>
    <row r="2592" spans="7:10" x14ac:dyDescent="0.25">
      <c r="G2592" s="164"/>
      <c r="H2592" s="164"/>
      <c r="I2592" s="164"/>
      <c r="J2592" s="164"/>
    </row>
    <row r="2593" spans="7:10" x14ac:dyDescent="0.25">
      <c r="G2593" s="164"/>
      <c r="H2593" s="164"/>
      <c r="I2593" s="164"/>
      <c r="J2593" s="164"/>
    </row>
    <row r="2594" spans="7:10" x14ac:dyDescent="0.25">
      <c r="G2594" s="164"/>
      <c r="H2594" s="164"/>
      <c r="I2594" s="164"/>
      <c r="J2594" s="164"/>
    </row>
    <row r="2595" spans="7:10" x14ac:dyDescent="0.25">
      <c r="G2595" s="164"/>
      <c r="H2595" s="164"/>
      <c r="I2595" s="164"/>
      <c r="J2595" s="164"/>
    </row>
    <row r="2596" spans="7:10" x14ac:dyDescent="0.25">
      <c r="G2596" s="164"/>
      <c r="H2596" s="164"/>
      <c r="I2596" s="164"/>
      <c r="J2596" s="164"/>
    </row>
    <row r="2597" spans="7:10" x14ac:dyDescent="0.25">
      <c r="G2597" s="164"/>
      <c r="H2597" s="164"/>
      <c r="I2597" s="164"/>
      <c r="J2597" s="164"/>
    </row>
    <row r="2598" spans="7:10" x14ac:dyDescent="0.25">
      <c r="G2598" s="164"/>
      <c r="H2598" s="164"/>
      <c r="I2598" s="164"/>
      <c r="J2598" s="164"/>
    </row>
    <row r="2599" spans="7:10" x14ac:dyDescent="0.25">
      <c r="G2599" s="164"/>
      <c r="H2599" s="164"/>
      <c r="I2599" s="164"/>
      <c r="J2599" s="164"/>
    </row>
    <row r="2600" spans="7:10" x14ac:dyDescent="0.25">
      <c r="G2600" s="164"/>
      <c r="H2600" s="164"/>
      <c r="I2600" s="164"/>
      <c r="J2600" s="164"/>
    </row>
    <row r="2601" spans="7:10" x14ac:dyDescent="0.25">
      <c r="G2601" s="164"/>
      <c r="H2601" s="164"/>
      <c r="I2601" s="164"/>
      <c r="J2601" s="164"/>
    </row>
    <row r="2602" spans="7:10" x14ac:dyDescent="0.25">
      <c r="G2602" s="164"/>
      <c r="H2602" s="164"/>
      <c r="I2602" s="164"/>
      <c r="J2602" s="164"/>
    </row>
    <row r="2603" spans="7:10" x14ac:dyDescent="0.25">
      <c r="G2603" s="164"/>
      <c r="H2603" s="164"/>
      <c r="I2603" s="164"/>
      <c r="J2603" s="164"/>
    </row>
    <row r="2604" spans="7:10" x14ac:dyDescent="0.25">
      <c r="G2604" s="164"/>
      <c r="H2604" s="164"/>
      <c r="I2604" s="164"/>
      <c r="J2604" s="164"/>
    </row>
    <row r="2605" spans="7:10" x14ac:dyDescent="0.25">
      <c r="G2605" s="164"/>
      <c r="H2605" s="164"/>
      <c r="I2605" s="164"/>
      <c r="J2605" s="164"/>
    </row>
    <row r="2606" spans="7:10" x14ac:dyDescent="0.25">
      <c r="G2606" s="164"/>
      <c r="H2606" s="164"/>
      <c r="I2606" s="164"/>
      <c r="J2606" s="164"/>
    </row>
    <row r="2607" spans="7:10" x14ac:dyDescent="0.25">
      <c r="G2607" s="164"/>
      <c r="H2607" s="164"/>
      <c r="I2607" s="164"/>
      <c r="J2607" s="164"/>
    </row>
    <row r="2608" spans="7:10" x14ac:dyDescent="0.25">
      <c r="G2608" s="164"/>
      <c r="H2608" s="164"/>
      <c r="I2608" s="164"/>
      <c r="J2608" s="164"/>
    </row>
    <row r="2609" spans="7:10" x14ac:dyDescent="0.25">
      <c r="G2609" s="164"/>
      <c r="H2609" s="164"/>
      <c r="I2609" s="164"/>
      <c r="J2609" s="164"/>
    </row>
    <row r="2610" spans="7:10" x14ac:dyDescent="0.25">
      <c r="G2610" s="164"/>
      <c r="H2610" s="164"/>
      <c r="I2610" s="164"/>
      <c r="J2610" s="164"/>
    </row>
    <row r="2611" spans="7:10" x14ac:dyDescent="0.25">
      <c r="G2611" s="164"/>
      <c r="H2611" s="164"/>
      <c r="I2611" s="164"/>
      <c r="J2611" s="164"/>
    </row>
    <row r="2612" spans="7:10" x14ac:dyDescent="0.25">
      <c r="G2612" s="164"/>
      <c r="H2612" s="164"/>
      <c r="I2612" s="164"/>
      <c r="J2612" s="164"/>
    </row>
    <row r="2613" spans="7:10" x14ac:dyDescent="0.25">
      <c r="G2613" s="164"/>
      <c r="H2613" s="164"/>
      <c r="I2613" s="164"/>
      <c r="J2613" s="164"/>
    </row>
    <row r="2614" spans="7:10" x14ac:dyDescent="0.25">
      <c r="G2614" s="164"/>
      <c r="H2614" s="164"/>
      <c r="I2614" s="164"/>
      <c r="J2614" s="164"/>
    </row>
    <row r="2615" spans="7:10" x14ac:dyDescent="0.25">
      <c r="G2615" s="164"/>
      <c r="H2615" s="164"/>
      <c r="I2615" s="164"/>
      <c r="J2615" s="164"/>
    </row>
    <row r="2616" spans="7:10" x14ac:dyDescent="0.25">
      <c r="G2616" s="164"/>
      <c r="H2616" s="164"/>
      <c r="I2616" s="164"/>
      <c r="J2616" s="164"/>
    </row>
    <row r="2617" spans="7:10" x14ac:dyDescent="0.25">
      <c r="G2617" s="164"/>
      <c r="H2617" s="164"/>
      <c r="I2617" s="164"/>
      <c r="J2617" s="164"/>
    </row>
    <row r="2618" spans="7:10" x14ac:dyDescent="0.25">
      <c r="G2618" s="164"/>
      <c r="H2618" s="164"/>
      <c r="I2618" s="164"/>
      <c r="J2618" s="164"/>
    </row>
    <row r="2619" spans="7:10" x14ac:dyDescent="0.25">
      <c r="G2619" s="164"/>
      <c r="H2619" s="164"/>
      <c r="I2619" s="164"/>
      <c r="J2619" s="164"/>
    </row>
    <row r="2620" spans="7:10" x14ac:dyDescent="0.25">
      <c r="G2620" s="164"/>
      <c r="H2620" s="164"/>
      <c r="I2620" s="164"/>
      <c r="J2620" s="164"/>
    </row>
    <row r="2621" spans="7:10" x14ac:dyDescent="0.25">
      <c r="G2621" s="164"/>
      <c r="H2621" s="164"/>
      <c r="I2621" s="164"/>
      <c r="J2621" s="164"/>
    </row>
    <row r="2622" spans="7:10" x14ac:dyDescent="0.25">
      <c r="G2622" s="164"/>
      <c r="H2622" s="164"/>
      <c r="I2622" s="164"/>
      <c r="J2622" s="164"/>
    </row>
    <row r="2623" spans="7:10" x14ac:dyDescent="0.25">
      <c r="G2623" s="164"/>
      <c r="H2623" s="164"/>
      <c r="I2623" s="164"/>
      <c r="J2623" s="164"/>
    </row>
    <row r="2624" spans="7:10" x14ac:dyDescent="0.25">
      <c r="G2624" s="164"/>
      <c r="H2624" s="164"/>
      <c r="I2624" s="164"/>
      <c r="J2624" s="164"/>
    </row>
    <row r="2625" spans="7:10" x14ac:dyDescent="0.25">
      <c r="G2625" s="164"/>
      <c r="H2625" s="164"/>
      <c r="I2625" s="164"/>
      <c r="J2625" s="164"/>
    </row>
    <row r="2626" spans="7:10" x14ac:dyDescent="0.25">
      <c r="G2626" s="164"/>
      <c r="H2626" s="164"/>
      <c r="I2626" s="164"/>
      <c r="J2626" s="164"/>
    </row>
    <row r="2627" spans="7:10" x14ac:dyDescent="0.25">
      <c r="G2627" s="164"/>
      <c r="H2627" s="164"/>
      <c r="I2627" s="164"/>
      <c r="J2627" s="164"/>
    </row>
    <row r="2628" spans="7:10" x14ac:dyDescent="0.25">
      <c r="G2628" s="164"/>
      <c r="H2628" s="164"/>
      <c r="I2628" s="164"/>
      <c r="J2628" s="164"/>
    </row>
    <row r="2629" spans="7:10" x14ac:dyDescent="0.25">
      <c r="G2629" s="164"/>
      <c r="H2629" s="164"/>
      <c r="I2629" s="164"/>
      <c r="J2629" s="164"/>
    </row>
    <row r="2630" spans="7:10" x14ac:dyDescent="0.25">
      <c r="G2630" s="164"/>
      <c r="H2630" s="164"/>
      <c r="I2630" s="164"/>
      <c r="J2630" s="164"/>
    </row>
    <row r="2631" spans="7:10" x14ac:dyDescent="0.25">
      <c r="G2631" s="164"/>
      <c r="H2631" s="164"/>
      <c r="I2631" s="164"/>
      <c r="J2631" s="164"/>
    </row>
    <row r="2632" spans="7:10" x14ac:dyDescent="0.25">
      <c r="G2632" s="164"/>
      <c r="H2632" s="164"/>
      <c r="I2632" s="164"/>
      <c r="J2632" s="164"/>
    </row>
    <row r="2633" spans="7:10" x14ac:dyDescent="0.25">
      <c r="G2633" s="164"/>
      <c r="H2633" s="164"/>
      <c r="I2633" s="164"/>
      <c r="J2633" s="164"/>
    </row>
    <row r="2634" spans="7:10" x14ac:dyDescent="0.25">
      <c r="G2634" s="164"/>
      <c r="H2634" s="164"/>
      <c r="I2634" s="164"/>
      <c r="J2634" s="164"/>
    </row>
    <row r="2635" spans="7:10" x14ac:dyDescent="0.25">
      <c r="G2635" s="164"/>
      <c r="H2635" s="164"/>
      <c r="I2635" s="164"/>
      <c r="J2635" s="164"/>
    </row>
    <row r="2636" spans="7:10" x14ac:dyDescent="0.25">
      <c r="G2636" s="164"/>
      <c r="H2636" s="164"/>
      <c r="I2636" s="164"/>
      <c r="J2636" s="164"/>
    </row>
    <row r="2637" spans="7:10" x14ac:dyDescent="0.25">
      <c r="G2637" s="164"/>
      <c r="H2637" s="164"/>
      <c r="I2637" s="164"/>
      <c r="J2637" s="164"/>
    </row>
    <row r="2638" spans="7:10" x14ac:dyDescent="0.25">
      <c r="G2638" s="164"/>
      <c r="H2638" s="164"/>
      <c r="I2638" s="164"/>
      <c r="J2638" s="164"/>
    </row>
    <row r="2639" spans="7:10" x14ac:dyDescent="0.25">
      <c r="G2639" s="164"/>
      <c r="H2639" s="164"/>
      <c r="I2639" s="164"/>
      <c r="J2639" s="164"/>
    </row>
    <row r="2640" spans="7:10" x14ac:dyDescent="0.25">
      <c r="G2640" s="164"/>
      <c r="H2640" s="164"/>
      <c r="I2640" s="164"/>
      <c r="J2640" s="164"/>
    </row>
    <row r="2641" spans="7:10" x14ac:dyDescent="0.25">
      <c r="G2641" s="164"/>
      <c r="H2641" s="164"/>
      <c r="I2641" s="164"/>
      <c r="J2641" s="164"/>
    </row>
    <row r="2642" spans="7:10" x14ac:dyDescent="0.25">
      <c r="G2642" s="164"/>
      <c r="H2642" s="164"/>
      <c r="I2642" s="164"/>
      <c r="J2642" s="164"/>
    </row>
    <row r="2643" spans="7:10" x14ac:dyDescent="0.25">
      <c r="G2643" s="164"/>
      <c r="H2643" s="164"/>
      <c r="I2643" s="164"/>
      <c r="J2643" s="164"/>
    </row>
    <row r="2644" spans="7:10" x14ac:dyDescent="0.25">
      <c r="G2644" s="164"/>
      <c r="H2644" s="164"/>
      <c r="I2644" s="164"/>
      <c r="J2644" s="164"/>
    </row>
    <row r="2645" spans="7:10" x14ac:dyDescent="0.25">
      <c r="G2645" s="164"/>
      <c r="H2645" s="164"/>
      <c r="I2645" s="164"/>
      <c r="J2645" s="164"/>
    </row>
    <row r="2646" spans="7:10" x14ac:dyDescent="0.25">
      <c r="G2646" s="164"/>
      <c r="H2646" s="164"/>
      <c r="I2646" s="164"/>
      <c r="J2646" s="164"/>
    </row>
    <row r="2647" spans="7:10" x14ac:dyDescent="0.25">
      <c r="G2647" s="164"/>
      <c r="H2647" s="164"/>
      <c r="I2647" s="164"/>
      <c r="J2647" s="164"/>
    </row>
    <row r="2648" spans="7:10" x14ac:dyDescent="0.25">
      <c r="G2648" s="164"/>
      <c r="H2648" s="164"/>
      <c r="I2648" s="164"/>
      <c r="J2648" s="164"/>
    </row>
    <row r="2649" spans="7:10" x14ac:dyDescent="0.25">
      <c r="G2649" s="164"/>
      <c r="H2649" s="164"/>
      <c r="I2649" s="164"/>
      <c r="J2649" s="164"/>
    </row>
    <row r="2650" spans="7:10" x14ac:dyDescent="0.25">
      <c r="G2650" s="164"/>
      <c r="H2650" s="164"/>
      <c r="I2650" s="164"/>
      <c r="J2650" s="164"/>
    </row>
    <row r="2651" spans="7:10" x14ac:dyDescent="0.25">
      <c r="G2651" s="164"/>
      <c r="H2651" s="164"/>
      <c r="I2651" s="164"/>
      <c r="J2651" s="164"/>
    </row>
    <row r="2652" spans="7:10" x14ac:dyDescent="0.25">
      <c r="G2652" s="164"/>
      <c r="H2652" s="164"/>
      <c r="I2652" s="164"/>
      <c r="J2652" s="164"/>
    </row>
    <row r="2653" spans="7:10" x14ac:dyDescent="0.25">
      <c r="G2653" s="164"/>
      <c r="H2653" s="164"/>
      <c r="I2653" s="164"/>
      <c r="J2653" s="164"/>
    </row>
    <row r="2654" spans="7:10" x14ac:dyDescent="0.25">
      <c r="G2654" s="164"/>
      <c r="H2654" s="164"/>
      <c r="I2654" s="164"/>
      <c r="J2654" s="164"/>
    </row>
    <row r="2655" spans="7:10" x14ac:dyDescent="0.25">
      <c r="G2655" s="164"/>
      <c r="H2655" s="164"/>
      <c r="I2655" s="164"/>
      <c r="J2655" s="164"/>
    </row>
    <row r="2656" spans="7:10" x14ac:dyDescent="0.25">
      <c r="G2656" s="164"/>
      <c r="H2656" s="164"/>
      <c r="I2656" s="164"/>
      <c r="J2656" s="164"/>
    </row>
    <row r="2657" spans="7:10" x14ac:dyDescent="0.25">
      <c r="G2657" s="164"/>
      <c r="H2657" s="164"/>
      <c r="I2657" s="164"/>
      <c r="J2657" s="164"/>
    </row>
    <row r="2658" spans="7:10" x14ac:dyDescent="0.25">
      <c r="G2658" s="164"/>
      <c r="H2658" s="164"/>
      <c r="I2658" s="164"/>
      <c r="J2658" s="164"/>
    </row>
    <row r="2659" spans="7:10" x14ac:dyDescent="0.25">
      <c r="G2659" s="164"/>
      <c r="H2659" s="164"/>
      <c r="I2659" s="164"/>
      <c r="J2659" s="164"/>
    </row>
    <row r="2660" spans="7:10" x14ac:dyDescent="0.25">
      <c r="G2660" s="164"/>
      <c r="H2660" s="164"/>
      <c r="I2660" s="164"/>
      <c r="J2660" s="164"/>
    </row>
    <row r="2661" spans="7:10" x14ac:dyDescent="0.25">
      <c r="G2661" s="164"/>
      <c r="H2661" s="164"/>
      <c r="I2661" s="164"/>
      <c r="J2661" s="164"/>
    </row>
    <row r="2662" spans="7:10" x14ac:dyDescent="0.25">
      <c r="G2662" s="164"/>
      <c r="H2662" s="164"/>
      <c r="I2662" s="164"/>
      <c r="J2662" s="164"/>
    </row>
    <row r="2663" spans="7:10" x14ac:dyDescent="0.25">
      <c r="G2663" s="164"/>
      <c r="H2663" s="164"/>
      <c r="I2663" s="164"/>
      <c r="J2663" s="164"/>
    </row>
    <row r="2664" spans="7:10" x14ac:dyDescent="0.25">
      <c r="G2664" s="164"/>
      <c r="H2664" s="164"/>
      <c r="I2664" s="164"/>
      <c r="J2664" s="164"/>
    </row>
    <row r="2665" spans="7:10" x14ac:dyDescent="0.25">
      <c r="G2665" s="164"/>
      <c r="H2665" s="164"/>
      <c r="I2665" s="164"/>
      <c r="J2665" s="164"/>
    </row>
    <row r="2666" spans="7:10" x14ac:dyDescent="0.25">
      <c r="G2666" s="164"/>
      <c r="H2666" s="164"/>
      <c r="I2666" s="164"/>
      <c r="J2666" s="164"/>
    </row>
    <row r="2667" spans="7:10" x14ac:dyDescent="0.25">
      <c r="G2667" s="164"/>
      <c r="H2667" s="164"/>
      <c r="I2667" s="164"/>
      <c r="J2667" s="164"/>
    </row>
    <row r="2668" spans="7:10" x14ac:dyDescent="0.25">
      <c r="G2668" s="164"/>
      <c r="H2668" s="164"/>
      <c r="I2668" s="164"/>
      <c r="J2668" s="164"/>
    </row>
    <row r="2669" spans="7:10" x14ac:dyDescent="0.25">
      <c r="G2669" s="164"/>
      <c r="H2669" s="164"/>
      <c r="I2669" s="164"/>
      <c r="J2669" s="164"/>
    </row>
    <row r="2670" spans="7:10" x14ac:dyDescent="0.25">
      <c r="G2670" s="164"/>
      <c r="H2670" s="164"/>
      <c r="I2670" s="164"/>
      <c r="J2670" s="164"/>
    </row>
    <row r="2671" spans="7:10" x14ac:dyDescent="0.25">
      <c r="G2671" s="164"/>
      <c r="H2671" s="164"/>
      <c r="I2671" s="164"/>
      <c r="J2671" s="164"/>
    </row>
    <row r="2672" spans="7:10" x14ac:dyDescent="0.25">
      <c r="G2672" s="164"/>
      <c r="H2672" s="164"/>
      <c r="I2672" s="164"/>
      <c r="J2672" s="164"/>
    </row>
    <row r="2673" spans="7:10" x14ac:dyDescent="0.25">
      <c r="G2673" s="164"/>
      <c r="H2673" s="164"/>
      <c r="I2673" s="164"/>
      <c r="J2673" s="164"/>
    </row>
    <row r="2674" spans="7:10" x14ac:dyDescent="0.25">
      <c r="G2674" s="164"/>
      <c r="H2674" s="164"/>
      <c r="I2674" s="164"/>
      <c r="J2674" s="164"/>
    </row>
    <row r="2675" spans="7:10" x14ac:dyDescent="0.25">
      <c r="G2675" s="164"/>
      <c r="H2675" s="164"/>
      <c r="I2675" s="164"/>
      <c r="J2675" s="164"/>
    </row>
    <row r="2676" spans="7:10" x14ac:dyDescent="0.25">
      <c r="G2676" s="164"/>
      <c r="H2676" s="164"/>
      <c r="I2676" s="164"/>
      <c r="J2676" s="164"/>
    </row>
    <row r="2677" spans="7:10" x14ac:dyDescent="0.25">
      <c r="G2677" s="164"/>
      <c r="H2677" s="164"/>
      <c r="I2677" s="164"/>
      <c r="J2677" s="164"/>
    </row>
    <row r="2678" spans="7:10" x14ac:dyDescent="0.25">
      <c r="G2678" s="164"/>
      <c r="H2678" s="164"/>
      <c r="I2678" s="164"/>
      <c r="J2678" s="164"/>
    </row>
    <row r="2679" spans="7:10" x14ac:dyDescent="0.25">
      <c r="G2679" s="164"/>
      <c r="H2679" s="164"/>
      <c r="I2679" s="164"/>
      <c r="J2679" s="164"/>
    </row>
    <row r="2680" spans="7:10" x14ac:dyDescent="0.25">
      <c r="G2680" s="164"/>
      <c r="H2680" s="164"/>
      <c r="I2680" s="164"/>
      <c r="J2680" s="164"/>
    </row>
    <row r="2681" spans="7:10" x14ac:dyDescent="0.25">
      <c r="G2681" s="164"/>
      <c r="H2681" s="164"/>
      <c r="I2681" s="164"/>
      <c r="J2681" s="164"/>
    </row>
    <row r="2682" spans="7:10" x14ac:dyDescent="0.25">
      <c r="G2682" s="164"/>
      <c r="H2682" s="164"/>
      <c r="I2682" s="164"/>
      <c r="J2682" s="164"/>
    </row>
    <row r="2683" spans="7:10" x14ac:dyDescent="0.25">
      <c r="G2683" s="164"/>
      <c r="H2683" s="164"/>
      <c r="I2683" s="164"/>
      <c r="J2683" s="164"/>
    </row>
    <row r="2684" spans="7:10" x14ac:dyDescent="0.25">
      <c r="G2684" s="164"/>
      <c r="H2684" s="164"/>
      <c r="I2684" s="164"/>
      <c r="J2684" s="164"/>
    </row>
    <row r="2685" spans="7:10" x14ac:dyDescent="0.25">
      <c r="G2685" s="164"/>
      <c r="H2685" s="164"/>
      <c r="I2685" s="164"/>
      <c r="J2685" s="164"/>
    </row>
    <row r="2686" spans="7:10" x14ac:dyDescent="0.25">
      <c r="G2686" s="164"/>
      <c r="H2686" s="164"/>
      <c r="I2686" s="164"/>
      <c r="J2686" s="164"/>
    </row>
    <row r="2687" spans="7:10" x14ac:dyDescent="0.25">
      <c r="G2687" s="164"/>
      <c r="H2687" s="164"/>
      <c r="I2687" s="164"/>
      <c r="J2687" s="164"/>
    </row>
    <row r="2688" spans="7:10" x14ac:dyDescent="0.25">
      <c r="G2688" s="164"/>
      <c r="H2688" s="164"/>
      <c r="I2688" s="164"/>
      <c r="J2688" s="164"/>
    </row>
    <row r="2689" spans="7:10" x14ac:dyDescent="0.25">
      <c r="G2689" s="164"/>
      <c r="H2689" s="164"/>
      <c r="I2689" s="164"/>
      <c r="J2689" s="164"/>
    </row>
    <row r="2690" spans="7:10" x14ac:dyDescent="0.25">
      <c r="G2690" s="164"/>
      <c r="H2690" s="164"/>
      <c r="I2690" s="164"/>
      <c r="J2690" s="164"/>
    </row>
    <row r="2691" spans="7:10" x14ac:dyDescent="0.25">
      <c r="G2691" s="164"/>
      <c r="H2691" s="164"/>
      <c r="I2691" s="164"/>
      <c r="J2691" s="164"/>
    </row>
    <row r="2692" spans="7:10" x14ac:dyDescent="0.25">
      <c r="G2692" s="164"/>
      <c r="H2692" s="164"/>
      <c r="I2692" s="164"/>
      <c r="J2692" s="164"/>
    </row>
    <row r="2693" spans="7:10" x14ac:dyDescent="0.25">
      <c r="G2693" s="164"/>
      <c r="H2693" s="164"/>
      <c r="I2693" s="164"/>
      <c r="J2693" s="164"/>
    </row>
    <row r="2694" spans="7:10" x14ac:dyDescent="0.25">
      <c r="G2694" s="164"/>
      <c r="H2694" s="164"/>
      <c r="I2694" s="164"/>
      <c r="J2694" s="164"/>
    </row>
    <row r="2695" spans="7:10" x14ac:dyDescent="0.25">
      <c r="G2695" s="164"/>
      <c r="H2695" s="164"/>
      <c r="I2695" s="164"/>
      <c r="J2695" s="164"/>
    </row>
    <row r="2696" spans="7:10" x14ac:dyDescent="0.25">
      <c r="G2696" s="164"/>
      <c r="H2696" s="164"/>
      <c r="I2696" s="164"/>
      <c r="J2696" s="164"/>
    </row>
    <row r="2697" spans="7:10" x14ac:dyDescent="0.25">
      <c r="G2697" s="164"/>
      <c r="H2697" s="164"/>
      <c r="I2697" s="164"/>
      <c r="J2697" s="164"/>
    </row>
    <row r="2698" spans="7:10" x14ac:dyDescent="0.25">
      <c r="G2698" s="164"/>
      <c r="H2698" s="164"/>
      <c r="I2698" s="164"/>
      <c r="J2698" s="164"/>
    </row>
    <row r="2699" spans="7:10" x14ac:dyDescent="0.25">
      <c r="G2699" s="164"/>
      <c r="H2699" s="164"/>
      <c r="I2699" s="164"/>
      <c r="J2699" s="164"/>
    </row>
    <row r="2700" spans="7:10" x14ac:dyDescent="0.25">
      <c r="G2700" s="164"/>
      <c r="H2700" s="164"/>
      <c r="I2700" s="164"/>
      <c r="J2700" s="164"/>
    </row>
    <row r="2701" spans="7:10" x14ac:dyDescent="0.25">
      <c r="G2701" s="164"/>
      <c r="H2701" s="164"/>
      <c r="I2701" s="164"/>
      <c r="J2701" s="164"/>
    </row>
    <row r="2702" spans="7:10" x14ac:dyDescent="0.25">
      <c r="G2702" s="164"/>
      <c r="H2702" s="164"/>
      <c r="I2702" s="164"/>
      <c r="J2702" s="164"/>
    </row>
    <row r="2703" spans="7:10" x14ac:dyDescent="0.25">
      <c r="G2703" s="164"/>
      <c r="H2703" s="164"/>
      <c r="I2703" s="164"/>
      <c r="J2703" s="164"/>
    </row>
    <row r="2704" spans="7:10" x14ac:dyDescent="0.25">
      <c r="G2704" s="164"/>
      <c r="H2704" s="164"/>
      <c r="I2704" s="164"/>
      <c r="J2704" s="164"/>
    </row>
    <row r="2705" spans="7:10" x14ac:dyDescent="0.25">
      <c r="G2705" s="164"/>
      <c r="H2705" s="164"/>
      <c r="I2705" s="164"/>
      <c r="J2705" s="164"/>
    </row>
    <row r="2706" spans="7:10" x14ac:dyDescent="0.25">
      <c r="G2706" s="164"/>
      <c r="H2706" s="164"/>
      <c r="I2706" s="164"/>
      <c r="J2706" s="164"/>
    </row>
    <row r="2707" spans="7:10" x14ac:dyDescent="0.25">
      <c r="G2707" s="164"/>
      <c r="H2707" s="164"/>
      <c r="I2707" s="164"/>
      <c r="J2707" s="164"/>
    </row>
    <row r="2708" spans="7:10" x14ac:dyDescent="0.25">
      <c r="G2708" s="164"/>
      <c r="H2708" s="164"/>
      <c r="I2708" s="164"/>
      <c r="J2708" s="164"/>
    </row>
    <row r="2709" spans="7:10" x14ac:dyDescent="0.25">
      <c r="G2709" s="164"/>
      <c r="H2709" s="164"/>
      <c r="I2709" s="164"/>
      <c r="J2709" s="164"/>
    </row>
    <row r="2710" spans="7:10" x14ac:dyDescent="0.25">
      <c r="G2710" s="164"/>
      <c r="H2710" s="164"/>
      <c r="I2710" s="164"/>
      <c r="J2710" s="164"/>
    </row>
    <row r="2711" spans="7:10" x14ac:dyDescent="0.25">
      <c r="G2711" s="164"/>
      <c r="H2711" s="164"/>
      <c r="I2711" s="164"/>
      <c r="J2711" s="164"/>
    </row>
    <row r="2712" spans="7:10" x14ac:dyDescent="0.25">
      <c r="G2712" s="164"/>
      <c r="H2712" s="164"/>
      <c r="I2712" s="164"/>
      <c r="J2712" s="164"/>
    </row>
    <row r="2713" spans="7:10" x14ac:dyDescent="0.25">
      <c r="G2713" s="164"/>
      <c r="H2713" s="164"/>
      <c r="I2713" s="164"/>
      <c r="J2713" s="164"/>
    </row>
    <row r="2714" spans="7:10" x14ac:dyDescent="0.25">
      <c r="G2714" s="164"/>
      <c r="H2714" s="164"/>
      <c r="I2714" s="164"/>
      <c r="J2714" s="164"/>
    </row>
    <row r="2715" spans="7:10" x14ac:dyDescent="0.25">
      <c r="G2715" s="164"/>
      <c r="H2715" s="164"/>
      <c r="I2715" s="164"/>
      <c r="J2715" s="164"/>
    </row>
    <row r="2716" spans="7:10" x14ac:dyDescent="0.25">
      <c r="G2716" s="164"/>
      <c r="H2716" s="164"/>
      <c r="I2716" s="164"/>
      <c r="J2716" s="164"/>
    </row>
    <row r="2717" spans="7:10" x14ac:dyDescent="0.25">
      <c r="G2717" s="164"/>
      <c r="H2717" s="164"/>
      <c r="I2717" s="164"/>
      <c r="J2717" s="164"/>
    </row>
    <row r="2718" spans="7:10" x14ac:dyDescent="0.25">
      <c r="G2718" s="164"/>
      <c r="H2718" s="164"/>
      <c r="I2718" s="164"/>
      <c r="J2718" s="164"/>
    </row>
    <row r="2719" spans="7:10" x14ac:dyDescent="0.25">
      <c r="G2719" s="164"/>
      <c r="H2719" s="164"/>
      <c r="I2719" s="164"/>
      <c r="J2719" s="164"/>
    </row>
    <row r="2720" spans="7:10" x14ac:dyDescent="0.25">
      <c r="G2720" s="164"/>
      <c r="H2720" s="164"/>
      <c r="I2720" s="164"/>
      <c r="J2720" s="164"/>
    </row>
    <row r="2721" spans="7:10" x14ac:dyDescent="0.25">
      <c r="G2721" s="164"/>
      <c r="H2721" s="164"/>
      <c r="I2721" s="164"/>
      <c r="J2721" s="164"/>
    </row>
    <row r="2722" spans="7:10" x14ac:dyDescent="0.25">
      <c r="G2722" s="164"/>
      <c r="H2722" s="164"/>
      <c r="I2722" s="164"/>
      <c r="J2722" s="164"/>
    </row>
    <row r="2723" spans="7:10" x14ac:dyDescent="0.25">
      <c r="G2723" s="164"/>
      <c r="H2723" s="164"/>
      <c r="I2723" s="164"/>
      <c r="J2723" s="164"/>
    </row>
    <row r="2724" spans="7:10" x14ac:dyDescent="0.25">
      <c r="G2724" s="164"/>
      <c r="H2724" s="164"/>
      <c r="I2724" s="164"/>
      <c r="J2724" s="164"/>
    </row>
    <row r="2725" spans="7:10" x14ac:dyDescent="0.25">
      <c r="G2725" s="164"/>
      <c r="H2725" s="164"/>
      <c r="I2725" s="164"/>
      <c r="J2725" s="164"/>
    </row>
    <row r="2726" spans="7:10" x14ac:dyDescent="0.25">
      <c r="G2726" s="164"/>
      <c r="H2726" s="164"/>
      <c r="I2726" s="164"/>
      <c r="J2726" s="164"/>
    </row>
    <row r="2727" spans="7:10" x14ac:dyDescent="0.25">
      <c r="G2727" s="164"/>
      <c r="H2727" s="164"/>
      <c r="I2727" s="164"/>
      <c r="J2727" s="164"/>
    </row>
    <row r="2728" spans="7:10" x14ac:dyDescent="0.25">
      <c r="G2728" s="164"/>
      <c r="H2728" s="164"/>
      <c r="I2728" s="164"/>
      <c r="J2728" s="164"/>
    </row>
    <row r="2729" spans="7:10" x14ac:dyDescent="0.25">
      <c r="G2729" s="164"/>
      <c r="H2729" s="164"/>
      <c r="I2729" s="164"/>
      <c r="J2729" s="164"/>
    </row>
    <row r="2730" spans="7:10" x14ac:dyDescent="0.25">
      <c r="G2730" s="164"/>
      <c r="H2730" s="164"/>
      <c r="I2730" s="164"/>
      <c r="J2730" s="164"/>
    </row>
    <row r="2731" spans="7:10" x14ac:dyDescent="0.25">
      <c r="G2731" s="164"/>
      <c r="H2731" s="164"/>
      <c r="I2731" s="164"/>
      <c r="J2731" s="164"/>
    </row>
    <row r="2732" spans="7:10" x14ac:dyDescent="0.25">
      <c r="G2732" s="164"/>
      <c r="H2732" s="164"/>
      <c r="I2732" s="164"/>
      <c r="J2732" s="164"/>
    </row>
    <row r="2733" spans="7:10" x14ac:dyDescent="0.25">
      <c r="G2733" s="164"/>
      <c r="H2733" s="164"/>
      <c r="I2733" s="164"/>
      <c r="J2733" s="164"/>
    </row>
    <row r="2734" spans="7:10" x14ac:dyDescent="0.25">
      <c r="G2734" s="164"/>
      <c r="H2734" s="164"/>
      <c r="I2734" s="164"/>
      <c r="J2734" s="164"/>
    </row>
    <row r="2735" spans="7:10" x14ac:dyDescent="0.25">
      <c r="G2735" s="164"/>
      <c r="H2735" s="164"/>
      <c r="I2735" s="164"/>
      <c r="J2735" s="164"/>
    </row>
    <row r="2736" spans="7:10" x14ac:dyDescent="0.25">
      <c r="G2736" s="164"/>
      <c r="H2736" s="164"/>
      <c r="I2736" s="164"/>
      <c r="J2736" s="164"/>
    </row>
    <row r="2737" spans="7:10" x14ac:dyDescent="0.25">
      <c r="G2737" s="164"/>
      <c r="H2737" s="164"/>
      <c r="I2737" s="164"/>
      <c r="J2737" s="164"/>
    </row>
    <row r="2738" spans="7:10" x14ac:dyDescent="0.25">
      <c r="G2738" s="164"/>
      <c r="H2738" s="164"/>
      <c r="I2738" s="164"/>
      <c r="J2738" s="164"/>
    </row>
    <row r="2739" spans="7:10" x14ac:dyDescent="0.25">
      <c r="G2739" s="164"/>
      <c r="H2739" s="164"/>
      <c r="I2739" s="164"/>
      <c r="J2739" s="164"/>
    </row>
    <row r="2740" spans="7:10" x14ac:dyDescent="0.25">
      <c r="G2740" s="164"/>
      <c r="H2740" s="164"/>
      <c r="I2740" s="164"/>
      <c r="J2740" s="164"/>
    </row>
    <row r="2741" spans="7:10" x14ac:dyDescent="0.25">
      <c r="G2741" s="164"/>
      <c r="H2741" s="164"/>
      <c r="I2741" s="164"/>
      <c r="J2741" s="164"/>
    </row>
    <row r="2742" spans="7:10" x14ac:dyDescent="0.25">
      <c r="G2742" s="164"/>
      <c r="H2742" s="164"/>
      <c r="I2742" s="164"/>
      <c r="J2742" s="164"/>
    </row>
    <row r="2743" spans="7:10" x14ac:dyDescent="0.25">
      <c r="G2743" s="164"/>
      <c r="H2743" s="164"/>
      <c r="I2743" s="164"/>
      <c r="J2743" s="164"/>
    </row>
    <row r="2744" spans="7:10" x14ac:dyDescent="0.25">
      <c r="G2744" s="164"/>
      <c r="H2744" s="164"/>
      <c r="I2744" s="164"/>
      <c r="J2744" s="164"/>
    </row>
    <row r="2745" spans="7:10" x14ac:dyDescent="0.25">
      <c r="G2745" s="164"/>
      <c r="H2745" s="164"/>
      <c r="I2745" s="164"/>
      <c r="J2745" s="164"/>
    </row>
    <row r="2746" spans="7:10" x14ac:dyDescent="0.25">
      <c r="G2746" s="164"/>
      <c r="H2746" s="164"/>
      <c r="I2746" s="164"/>
      <c r="J2746" s="164"/>
    </row>
    <row r="2747" spans="7:10" x14ac:dyDescent="0.25">
      <c r="G2747" s="164"/>
      <c r="H2747" s="164"/>
      <c r="I2747" s="164"/>
      <c r="J2747" s="164"/>
    </row>
    <row r="2748" spans="7:10" x14ac:dyDescent="0.25">
      <c r="G2748" s="164"/>
      <c r="H2748" s="164"/>
      <c r="I2748" s="164"/>
      <c r="J2748" s="164"/>
    </row>
    <row r="2749" spans="7:10" x14ac:dyDescent="0.25">
      <c r="G2749" s="164"/>
      <c r="H2749" s="164"/>
      <c r="I2749" s="164"/>
      <c r="J2749" s="164"/>
    </row>
    <row r="2750" spans="7:10" x14ac:dyDescent="0.25">
      <c r="G2750" s="164"/>
      <c r="H2750" s="164"/>
      <c r="I2750" s="164"/>
      <c r="J2750" s="164"/>
    </row>
    <row r="2751" spans="7:10" x14ac:dyDescent="0.25">
      <c r="G2751" s="164"/>
      <c r="H2751" s="164"/>
      <c r="I2751" s="164"/>
      <c r="J2751" s="164"/>
    </row>
    <row r="2752" spans="7:10" x14ac:dyDescent="0.25">
      <c r="G2752" s="164"/>
      <c r="H2752" s="164"/>
      <c r="I2752" s="164"/>
      <c r="J2752" s="164"/>
    </row>
    <row r="2753" spans="7:10" x14ac:dyDescent="0.25">
      <c r="G2753" s="164"/>
      <c r="H2753" s="164"/>
      <c r="I2753" s="164"/>
      <c r="J2753" s="164"/>
    </row>
    <row r="2754" spans="7:10" x14ac:dyDescent="0.25">
      <c r="G2754" s="164"/>
      <c r="H2754" s="164"/>
      <c r="I2754" s="164"/>
      <c r="J2754" s="164"/>
    </row>
    <row r="2755" spans="7:10" x14ac:dyDescent="0.25">
      <c r="G2755" s="164"/>
      <c r="H2755" s="164"/>
      <c r="I2755" s="164"/>
      <c r="J2755" s="164"/>
    </row>
    <row r="2756" spans="7:10" x14ac:dyDescent="0.25">
      <c r="G2756" s="164"/>
      <c r="H2756" s="164"/>
      <c r="I2756" s="164"/>
      <c r="J2756" s="164"/>
    </row>
    <row r="2757" spans="7:10" x14ac:dyDescent="0.25">
      <c r="G2757" s="164"/>
      <c r="H2757" s="164"/>
      <c r="I2757" s="164"/>
      <c r="J2757" s="164"/>
    </row>
    <row r="2758" spans="7:10" x14ac:dyDescent="0.25">
      <c r="G2758" s="164"/>
      <c r="H2758" s="164"/>
      <c r="I2758" s="164"/>
      <c r="J2758" s="164"/>
    </row>
    <row r="2759" spans="7:10" x14ac:dyDescent="0.25">
      <c r="G2759" s="164"/>
      <c r="H2759" s="164"/>
      <c r="I2759" s="164"/>
      <c r="J2759" s="164"/>
    </row>
    <row r="2760" spans="7:10" x14ac:dyDescent="0.25">
      <c r="G2760" s="164"/>
      <c r="H2760" s="164"/>
      <c r="I2760" s="164"/>
      <c r="J2760" s="164"/>
    </row>
    <row r="2761" spans="7:10" x14ac:dyDescent="0.25">
      <c r="G2761" s="164"/>
      <c r="H2761" s="164"/>
      <c r="I2761" s="164"/>
      <c r="J2761" s="164"/>
    </row>
    <row r="2762" spans="7:10" x14ac:dyDescent="0.25">
      <c r="G2762" s="164"/>
      <c r="H2762" s="164"/>
      <c r="I2762" s="164"/>
      <c r="J2762" s="164"/>
    </row>
    <row r="2763" spans="7:10" x14ac:dyDescent="0.25">
      <c r="G2763" s="164"/>
      <c r="H2763" s="164"/>
      <c r="I2763" s="164"/>
      <c r="J2763" s="164"/>
    </row>
    <row r="2764" spans="7:10" x14ac:dyDescent="0.25">
      <c r="G2764" s="164"/>
      <c r="H2764" s="164"/>
      <c r="I2764" s="164"/>
      <c r="J2764" s="164"/>
    </row>
    <row r="2765" spans="7:10" x14ac:dyDescent="0.25">
      <c r="G2765" s="164"/>
      <c r="H2765" s="164"/>
      <c r="I2765" s="164"/>
      <c r="J2765" s="164"/>
    </row>
    <row r="2766" spans="7:10" x14ac:dyDescent="0.25">
      <c r="G2766" s="164"/>
      <c r="H2766" s="164"/>
      <c r="I2766" s="164"/>
      <c r="J2766" s="164"/>
    </row>
    <row r="2767" spans="7:10" x14ac:dyDescent="0.25">
      <c r="G2767" s="164"/>
      <c r="H2767" s="164"/>
      <c r="I2767" s="164"/>
      <c r="J2767" s="164"/>
    </row>
    <row r="2768" spans="7:10" x14ac:dyDescent="0.25">
      <c r="G2768" s="164"/>
      <c r="H2768" s="164"/>
      <c r="I2768" s="164"/>
      <c r="J2768" s="164"/>
    </row>
    <row r="2769" spans="7:10" x14ac:dyDescent="0.25">
      <c r="G2769" s="164"/>
      <c r="H2769" s="164"/>
      <c r="I2769" s="164"/>
      <c r="J2769" s="164"/>
    </row>
    <row r="2770" spans="7:10" x14ac:dyDescent="0.25">
      <c r="G2770" s="164"/>
      <c r="H2770" s="164"/>
      <c r="I2770" s="164"/>
      <c r="J2770" s="164"/>
    </row>
    <row r="2771" spans="7:10" x14ac:dyDescent="0.25">
      <c r="G2771" s="164"/>
      <c r="H2771" s="164"/>
      <c r="I2771" s="164"/>
      <c r="J2771" s="164"/>
    </row>
    <row r="2772" spans="7:10" x14ac:dyDescent="0.25">
      <c r="G2772" s="164"/>
      <c r="H2772" s="164"/>
      <c r="I2772" s="164"/>
      <c r="J2772" s="164"/>
    </row>
    <row r="2773" spans="7:10" x14ac:dyDescent="0.25">
      <c r="G2773" s="164"/>
      <c r="H2773" s="164"/>
      <c r="I2773" s="164"/>
      <c r="J2773" s="164"/>
    </row>
    <row r="2774" spans="7:10" x14ac:dyDescent="0.25">
      <c r="G2774" s="164"/>
      <c r="H2774" s="164"/>
      <c r="I2774" s="164"/>
      <c r="J2774" s="164"/>
    </row>
    <row r="2775" spans="7:10" x14ac:dyDescent="0.25">
      <c r="G2775" s="164"/>
      <c r="H2775" s="164"/>
      <c r="I2775" s="164"/>
      <c r="J2775" s="164"/>
    </row>
    <row r="2776" spans="7:10" x14ac:dyDescent="0.25">
      <c r="G2776" s="164"/>
      <c r="H2776" s="164"/>
      <c r="I2776" s="164"/>
      <c r="J2776" s="164"/>
    </row>
    <row r="2777" spans="7:10" x14ac:dyDescent="0.25">
      <c r="G2777" s="164"/>
      <c r="H2777" s="164"/>
      <c r="I2777" s="164"/>
      <c r="J2777" s="164"/>
    </row>
    <row r="2778" spans="7:10" x14ac:dyDescent="0.25">
      <c r="G2778" s="164"/>
      <c r="H2778" s="164"/>
      <c r="I2778" s="164"/>
      <c r="J2778" s="164"/>
    </row>
    <row r="2779" spans="7:10" x14ac:dyDescent="0.25">
      <c r="G2779" s="164"/>
      <c r="H2779" s="164"/>
      <c r="I2779" s="164"/>
      <c r="J2779" s="164"/>
    </row>
    <row r="2780" spans="7:10" x14ac:dyDescent="0.25">
      <c r="G2780" s="164"/>
      <c r="H2780" s="164"/>
      <c r="I2780" s="164"/>
      <c r="J2780" s="164"/>
    </row>
    <row r="2781" spans="7:10" x14ac:dyDescent="0.25">
      <c r="G2781" s="164"/>
      <c r="H2781" s="164"/>
      <c r="I2781" s="164"/>
      <c r="J2781" s="164"/>
    </row>
    <row r="2782" spans="7:10" x14ac:dyDescent="0.25">
      <c r="G2782" s="164"/>
      <c r="H2782" s="164"/>
      <c r="I2782" s="164"/>
      <c r="J2782" s="164"/>
    </row>
    <row r="2783" spans="7:10" x14ac:dyDescent="0.25">
      <c r="G2783" s="164"/>
      <c r="H2783" s="164"/>
      <c r="I2783" s="164"/>
      <c r="J2783" s="164"/>
    </row>
    <row r="2784" spans="7:10" x14ac:dyDescent="0.25">
      <c r="G2784" s="164"/>
      <c r="H2784" s="164"/>
      <c r="I2784" s="164"/>
      <c r="J2784" s="164"/>
    </row>
    <row r="2785" spans="7:10" x14ac:dyDescent="0.25">
      <c r="G2785" s="164"/>
      <c r="H2785" s="164"/>
      <c r="I2785" s="164"/>
      <c r="J2785" s="164"/>
    </row>
    <row r="2786" spans="7:10" x14ac:dyDescent="0.25">
      <c r="G2786" s="164"/>
      <c r="H2786" s="164"/>
      <c r="I2786" s="164"/>
      <c r="J2786" s="164"/>
    </row>
    <row r="2787" spans="7:10" x14ac:dyDescent="0.25">
      <c r="G2787" s="164"/>
      <c r="H2787" s="164"/>
      <c r="I2787" s="164"/>
      <c r="J2787" s="164"/>
    </row>
    <row r="2788" spans="7:10" x14ac:dyDescent="0.25">
      <c r="G2788" s="164"/>
      <c r="H2788" s="164"/>
      <c r="I2788" s="164"/>
      <c r="J2788" s="164"/>
    </row>
    <row r="2789" spans="7:10" x14ac:dyDescent="0.25">
      <c r="G2789" s="164"/>
      <c r="H2789" s="164"/>
      <c r="I2789" s="164"/>
      <c r="J2789" s="164"/>
    </row>
    <row r="2790" spans="7:10" x14ac:dyDescent="0.25">
      <c r="G2790" s="164"/>
      <c r="H2790" s="164"/>
      <c r="I2790" s="164"/>
      <c r="J2790" s="164"/>
    </row>
    <row r="2791" spans="7:10" x14ac:dyDescent="0.25">
      <c r="G2791" s="164"/>
      <c r="H2791" s="164"/>
      <c r="I2791" s="164"/>
      <c r="J2791" s="164"/>
    </row>
    <row r="2792" spans="7:10" x14ac:dyDescent="0.25">
      <c r="G2792" s="164"/>
      <c r="H2792" s="164"/>
      <c r="I2792" s="164"/>
      <c r="J2792" s="164"/>
    </row>
    <row r="2793" spans="7:10" x14ac:dyDescent="0.25">
      <c r="G2793" s="164"/>
      <c r="H2793" s="164"/>
      <c r="I2793" s="164"/>
      <c r="J2793" s="164"/>
    </row>
    <row r="2794" spans="7:10" x14ac:dyDescent="0.25">
      <c r="G2794" s="164"/>
      <c r="H2794" s="164"/>
      <c r="I2794" s="164"/>
      <c r="J2794" s="164"/>
    </row>
    <row r="2795" spans="7:10" x14ac:dyDescent="0.25">
      <c r="G2795" s="164"/>
      <c r="H2795" s="164"/>
      <c r="I2795" s="164"/>
      <c r="J2795" s="164"/>
    </row>
    <row r="2796" spans="7:10" x14ac:dyDescent="0.25">
      <c r="G2796" s="164"/>
      <c r="H2796" s="164"/>
      <c r="I2796" s="164"/>
      <c r="J2796" s="164"/>
    </row>
    <row r="2797" spans="7:10" x14ac:dyDescent="0.25">
      <c r="G2797" s="164"/>
      <c r="H2797" s="164"/>
      <c r="I2797" s="164"/>
      <c r="J2797" s="164"/>
    </row>
    <row r="2798" spans="7:10" x14ac:dyDescent="0.25">
      <c r="G2798" s="164"/>
      <c r="H2798" s="164"/>
      <c r="I2798" s="164"/>
      <c r="J2798" s="164"/>
    </row>
    <row r="2799" spans="7:10" x14ac:dyDescent="0.25">
      <c r="G2799" s="164"/>
      <c r="H2799" s="164"/>
      <c r="I2799" s="164"/>
      <c r="J2799" s="164"/>
    </row>
    <row r="2800" spans="7:10" x14ac:dyDescent="0.25">
      <c r="G2800" s="164"/>
      <c r="H2800" s="164"/>
      <c r="I2800" s="164"/>
      <c r="J2800" s="164"/>
    </row>
    <row r="2801" spans="7:10" x14ac:dyDescent="0.25">
      <c r="G2801" s="164"/>
      <c r="H2801" s="164"/>
      <c r="I2801" s="164"/>
      <c r="J2801" s="164"/>
    </row>
    <row r="2802" spans="7:10" x14ac:dyDescent="0.25">
      <c r="G2802" s="164"/>
      <c r="H2802" s="164"/>
      <c r="I2802" s="164"/>
      <c r="J2802" s="164"/>
    </row>
    <row r="2803" spans="7:10" x14ac:dyDescent="0.25">
      <c r="G2803" s="164"/>
      <c r="H2803" s="164"/>
      <c r="I2803" s="164"/>
      <c r="J2803" s="164"/>
    </row>
    <row r="2804" spans="7:10" x14ac:dyDescent="0.25">
      <c r="G2804" s="164"/>
      <c r="H2804" s="164"/>
      <c r="I2804" s="164"/>
      <c r="J2804" s="164"/>
    </row>
    <row r="2805" spans="7:10" x14ac:dyDescent="0.25">
      <c r="G2805" s="164"/>
      <c r="H2805" s="164"/>
      <c r="I2805" s="164"/>
      <c r="J2805" s="164"/>
    </row>
    <row r="2806" spans="7:10" x14ac:dyDescent="0.25">
      <c r="G2806" s="164"/>
      <c r="H2806" s="164"/>
      <c r="I2806" s="164"/>
      <c r="J2806" s="164"/>
    </row>
    <row r="2807" spans="7:10" x14ac:dyDescent="0.25">
      <c r="G2807" s="164"/>
      <c r="H2807" s="164"/>
      <c r="I2807" s="164"/>
      <c r="J2807" s="164"/>
    </row>
    <row r="2808" spans="7:10" x14ac:dyDescent="0.25">
      <c r="G2808" s="164"/>
      <c r="H2808" s="164"/>
      <c r="I2808" s="164"/>
      <c r="J2808" s="164"/>
    </row>
    <row r="2809" spans="7:10" x14ac:dyDescent="0.25">
      <c r="G2809" s="164"/>
      <c r="H2809" s="164"/>
      <c r="I2809" s="164"/>
      <c r="J2809" s="164"/>
    </row>
    <row r="2810" spans="7:10" x14ac:dyDescent="0.25">
      <c r="G2810" s="164"/>
      <c r="H2810" s="164"/>
      <c r="I2810" s="164"/>
      <c r="J2810" s="164"/>
    </row>
    <row r="2811" spans="7:10" x14ac:dyDescent="0.25">
      <c r="G2811" s="164"/>
      <c r="H2811" s="164"/>
      <c r="I2811" s="164"/>
      <c r="J2811" s="164"/>
    </row>
    <row r="2812" spans="7:10" x14ac:dyDescent="0.25">
      <c r="G2812" s="164"/>
      <c r="H2812" s="164"/>
      <c r="I2812" s="164"/>
      <c r="J2812" s="164"/>
    </row>
    <row r="2813" spans="7:10" x14ac:dyDescent="0.25">
      <c r="G2813" s="164"/>
      <c r="H2813" s="164"/>
      <c r="I2813" s="164"/>
      <c r="J2813" s="164"/>
    </row>
    <row r="2814" spans="7:10" x14ac:dyDescent="0.25">
      <c r="G2814" s="164"/>
      <c r="H2814" s="164"/>
      <c r="I2814" s="164"/>
      <c r="J2814" s="164"/>
    </row>
    <row r="2815" spans="7:10" x14ac:dyDescent="0.25">
      <c r="G2815" s="164"/>
      <c r="H2815" s="164"/>
      <c r="I2815" s="164"/>
      <c r="J2815" s="164"/>
    </row>
    <row r="2816" spans="7:10" x14ac:dyDescent="0.25">
      <c r="G2816" s="164"/>
      <c r="H2816" s="164"/>
      <c r="I2816" s="164"/>
      <c r="J2816" s="164"/>
    </row>
    <row r="2817" spans="7:10" x14ac:dyDescent="0.25">
      <c r="G2817" s="164"/>
      <c r="H2817" s="164"/>
      <c r="I2817" s="164"/>
      <c r="J2817" s="164"/>
    </row>
    <row r="2818" spans="7:10" x14ac:dyDescent="0.25">
      <c r="G2818" s="164"/>
      <c r="H2818" s="164"/>
      <c r="I2818" s="164"/>
      <c r="J2818" s="164"/>
    </row>
    <row r="2819" spans="7:10" x14ac:dyDescent="0.25">
      <c r="G2819" s="164"/>
      <c r="H2819" s="164"/>
      <c r="I2819" s="164"/>
      <c r="J2819" s="164"/>
    </row>
    <row r="2820" spans="7:10" x14ac:dyDescent="0.25">
      <c r="G2820" s="164"/>
      <c r="H2820" s="164"/>
      <c r="I2820" s="164"/>
      <c r="J2820" s="164"/>
    </row>
    <row r="2821" spans="7:10" x14ac:dyDescent="0.25">
      <c r="G2821" s="164"/>
      <c r="H2821" s="164"/>
      <c r="I2821" s="164"/>
      <c r="J2821" s="164"/>
    </row>
    <row r="2822" spans="7:10" x14ac:dyDescent="0.25">
      <c r="G2822" s="164"/>
      <c r="H2822" s="164"/>
      <c r="I2822" s="164"/>
      <c r="J2822" s="164"/>
    </row>
    <row r="2823" spans="7:10" x14ac:dyDescent="0.25">
      <c r="G2823" s="164"/>
      <c r="H2823" s="164"/>
      <c r="I2823" s="164"/>
      <c r="J2823" s="164"/>
    </row>
    <row r="2824" spans="7:10" x14ac:dyDescent="0.25">
      <c r="G2824" s="164"/>
      <c r="H2824" s="164"/>
      <c r="I2824" s="164"/>
      <c r="J2824" s="164"/>
    </row>
    <row r="2825" spans="7:10" x14ac:dyDescent="0.25">
      <c r="G2825" s="164"/>
      <c r="H2825" s="164"/>
      <c r="I2825" s="164"/>
      <c r="J2825" s="164"/>
    </row>
    <row r="2826" spans="7:10" x14ac:dyDescent="0.25">
      <c r="G2826" s="164"/>
      <c r="H2826" s="164"/>
      <c r="I2826" s="164"/>
      <c r="J2826" s="164"/>
    </row>
    <row r="2827" spans="7:10" x14ac:dyDescent="0.25">
      <c r="G2827" s="164"/>
      <c r="H2827" s="164"/>
      <c r="I2827" s="164"/>
      <c r="J2827" s="164"/>
    </row>
    <row r="2828" spans="7:10" x14ac:dyDescent="0.25">
      <c r="G2828" s="164"/>
      <c r="H2828" s="164"/>
      <c r="I2828" s="164"/>
      <c r="J2828" s="164"/>
    </row>
    <row r="2829" spans="7:10" x14ac:dyDescent="0.25">
      <c r="G2829" s="164"/>
      <c r="H2829" s="164"/>
      <c r="I2829" s="164"/>
      <c r="J2829" s="164"/>
    </row>
    <row r="2830" spans="7:10" x14ac:dyDescent="0.25">
      <c r="G2830" s="164"/>
      <c r="H2830" s="164"/>
      <c r="I2830" s="164"/>
      <c r="J2830" s="164"/>
    </row>
    <row r="2831" spans="7:10" x14ac:dyDescent="0.25">
      <c r="G2831" s="164"/>
      <c r="H2831" s="164"/>
      <c r="I2831" s="164"/>
      <c r="J2831" s="164"/>
    </row>
    <row r="2832" spans="7:10" x14ac:dyDescent="0.25">
      <c r="G2832" s="164"/>
      <c r="H2832" s="164"/>
      <c r="I2832" s="164"/>
      <c r="J2832" s="164"/>
    </row>
    <row r="2833" spans="7:10" x14ac:dyDescent="0.25">
      <c r="G2833" s="164"/>
      <c r="H2833" s="164"/>
      <c r="I2833" s="164"/>
      <c r="J2833" s="164"/>
    </row>
    <row r="2834" spans="7:10" x14ac:dyDescent="0.25">
      <c r="G2834" s="164"/>
      <c r="H2834" s="164"/>
      <c r="I2834" s="164"/>
      <c r="J2834" s="164"/>
    </row>
    <row r="2835" spans="7:10" x14ac:dyDescent="0.25">
      <c r="G2835" s="164"/>
      <c r="H2835" s="164"/>
      <c r="I2835" s="164"/>
      <c r="J2835" s="164"/>
    </row>
    <row r="2836" spans="7:10" x14ac:dyDescent="0.25">
      <c r="G2836" s="164"/>
      <c r="H2836" s="164"/>
      <c r="I2836" s="164"/>
      <c r="J2836" s="164"/>
    </row>
    <row r="2837" spans="7:10" x14ac:dyDescent="0.25">
      <c r="G2837" s="164"/>
      <c r="H2837" s="164"/>
      <c r="I2837" s="164"/>
      <c r="J2837" s="164"/>
    </row>
    <row r="2838" spans="7:10" x14ac:dyDescent="0.25">
      <c r="G2838" s="164"/>
      <c r="H2838" s="164"/>
      <c r="I2838" s="164"/>
      <c r="J2838" s="164"/>
    </row>
    <row r="2839" spans="7:10" x14ac:dyDescent="0.25">
      <c r="G2839" s="164"/>
      <c r="H2839" s="164"/>
      <c r="I2839" s="164"/>
      <c r="J2839" s="164"/>
    </row>
    <row r="2840" spans="7:10" x14ac:dyDescent="0.25">
      <c r="G2840" s="164"/>
      <c r="H2840" s="164"/>
      <c r="I2840" s="164"/>
      <c r="J2840" s="164"/>
    </row>
    <row r="2841" spans="7:10" x14ac:dyDescent="0.25">
      <c r="G2841" s="164"/>
      <c r="H2841" s="164"/>
      <c r="I2841" s="164"/>
      <c r="J2841" s="164"/>
    </row>
    <row r="2842" spans="7:10" x14ac:dyDescent="0.25">
      <c r="G2842" s="164"/>
      <c r="H2842" s="164"/>
      <c r="I2842" s="164"/>
      <c r="J2842" s="164"/>
    </row>
    <row r="2843" spans="7:10" x14ac:dyDescent="0.25">
      <c r="G2843" s="164"/>
      <c r="H2843" s="164"/>
      <c r="I2843" s="164"/>
      <c r="J2843" s="164"/>
    </row>
    <row r="2844" spans="7:10" x14ac:dyDescent="0.25">
      <c r="G2844" s="164"/>
      <c r="H2844" s="164"/>
      <c r="I2844" s="164"/>
      <c r="J2844" s="164"/>
    </row>
    <row r="2845" spans="7:10" x14ac:dyDescent="0.25">
      <c r="G2845" s="164"/>
      <c r="H2845" s="164"/>
      <c r="I2845" s="164"/>
      <c r="J2845" s="164"/>
    </row>
    <row r="2846" spans="7:10" x14ac:dyDescent="0.25">
      <c r="G2846" s="164"/>
      <c r="H2846" s="164"/>
      <c r="I2846" s="164"/>
      <c r="J2846" s="164"/>
    </row>
    <row r="2847" spans="7:10" x14ac:dyDescent="0.25">
      <c r="G2847" s="164"/>
      <c r="H2847" s="164"/>
      <c r="I2847" s="164"/>
      <c r="J2847" s="164"/>
    </row>
    <row r="2848" spans="7:10" x14ac:dyDescent="0.25">
      <c r="G2848" s="164"/>
      <c r="H2848" s="164"/>
      <c r="I2848" s="164"/>
      <c r="J2848" s="164"/>
    </row>
    <row r="2849" spans="7:10" x14ac:dyDescent="0.25">
      <c r="G2849" s="164"/>
      <c r="H2849" s="164"/>
      <c r="I2849" s="164"/>
      <c r="J2849" s="164"/>
    </row>
    <row r="2850" spans="7:10" x14ac:dyDescent="0.25">
      <c r="G2850" s="164"/>
      <c r="H2850" s="164"/>
      <c r="I2850" s="164"/>
      <c r="J2850" s="164"/>
    </row>
    <row r="2851" spans="7:10" x14ac:dyDescent="0.25">
      <c r="G2851" s="164"/>
      <c r="H2851" s="164"/>
      <c r="I2851" s="164"/>
      <c r="J2851" s="164"/>
    </row>
    <row r="2852" spans="7:10" x14ac:dyDescent="0.25">
      <c r="G2852" s="164"/>
      <c r="H2852" s="164"/>
      <c r="I2852" s="164"/>
      <c r="J2852" s="164"/>
    </row>
    <row r="2853" spans="7:10" x14ac:dyDescent="0.25">
      <c r="G2853" s="164"/>
      <c r="H2853" s="164"/>
      <c r="I2853" s="164"/>
      <c r="J2853" s="164"/>
    </row>
    <row r="2854" spans="7:10" x14ac:dyDescent="0.25">
      <c r="G2854" s="164"/>
      <c r="H2854" s="164"/>
      <c r="I2854" s="164"/>
      <c r="J2854" s="164"/>
    </row>
    <row r="2855" spans="7:10" x14ac:dyDescent="0.25">
      <c r="G2855" s="164"/>
      <c r="H2855" s="164"/>
      <c r="I2855" s="164"/>
      <c r="J2855" s="164"/>
    </row>
    <row r="2856" spans="7:10" x14ac:dyDescent="0.25">
      <c r="G2856" s="164"/>
      <c r="H2856" s="164"/>
      <c r="I2856" s="164"/>
      <c r="J2856" s="164"/>
    </row>
    <row r="2857" spans="7:10" x14ac:dyDescent="0.25">
      <c r="G2857" s="164"/>
      <c r="H2857" s="164"/>
      <c r="I2857" s="164"/>
      <c r="J2857" s="164"/>
    </row>
    <row r="2858" spans="7:10" x14ac:dyDescent="0.25">
      <c r="G2858" s="164"/>
      <c r="H2858" s="164"/>
      <c r="I2858" s="164"/>
      <c r="J2858" s="164"/>
    </row>
    <row r="2859" spans="7:10" x14ac:dyDescent="0.25">
      <c r="G2859" s="164"/>
      <c r="H2859" s="164"/>
      <c r="I2859" s="164"/>
      <c r="J2859" s="164"/>
    </row>
    <row r="2860" spans="7:10" x14ac:dyDescent="0.25">
      <c r="G2860" s="164"/>
      <c r="H2860" s="164"/>
      <c r="I2860" s="164"/>
      <c r="J2860" s="164"/>
    </row>
    <row r="2861" spans="7:10" x14ac:dyDescent="0.25">
      <c r="G2861" s="164"/>
      <c r="H2861" s="164"/>
      <c r="I2861" s="164"/>
      <c r="J2861" s="164"/>
    </row>
    <row r="2862" spans="7:10" x14ac:dyDescent="0.25">
      <c r="G2862" s="164"/>
      <c r="H2862" s="164"/>
      <c r="I2862" s="164"/>
      <c r="J2862" s="164"/>
    </row>
    <row r="2863" spans="7:10" x14ac:dyDescent="0.25">
      <c r="G2863" s="164"/>
      <c r="H2863" s="164"/>
      <c r="I2863" s="164"/>
      <c r="J2863" s="164"/>
    </row>
    <row r="2864" spans="7:10" x14ac:dyDescent="0.25">
      <c r="G2864" s="164"/>
      <c r="H2864" s="164"/>
      <c r="I2864" s="164"/>
      <c r="J2864" s="164"/>
    </row>
    <row r="2865" spans="7:10" x14ac:dyDescent="0.25">
      <c r="G2865" s="164"/>
      <c r="H2865" s="164"/>
      <c r="I2865" s="164"/>
      <c r="J2865" s="164"/>
    </row>
    <row r="2866" spans="7:10" x14ac:dyDescent="0.25">
      <c r="G2866" s="164"/>
      <c r="H2866" s="164"/>
      <c r="I2866" s="164"/>
      <c r="J2866" s="164"/>
    </row>
    <row r="2867" spans="7:10" x14ac:dyDescent="0.25">
      <c r="G2867" s="164"/>
      <c r="H2867" s="164"/>
      <c r="I2867" s="164"/>
      <c r="J2867" s="164"/>
    </row>
    <row r="2868" spans="7:10" x14ac:dyDescent="0.25">
      <c r="G2868" s="164"/>
      <c r="H2868" s="164"/>
      <c r="I2868" s="164"/>
      <c r="J2868" s="164"/>
    </row>
    <row r="2869" spans="7:10" x14ac:dyDescent="0.25">
      <c r="G2869" s="164"/>
      <c r="H2869" s="164"/>
      <c r="I2869" s="164"/>
      <c r="J2869" s="164"/>
    </row>
    <row r="2870" spans="7:10" x14ac:dyDescent="0.25">
      <c r="G2870" s="164"/>
      <c r="H2870" s="164"/>
      <c r="I2870" s="164"/>
      <c r="J2870" s="164"/>
    </row>
    <row r="2871" spans="7:10" x14ac:dyDescent="0.25">
      <c r="G2871" s="164"/>
      <c r="H2871" s="164"/>
      <c r="I2871" s="164"/>
      <c r="J2871" s="164"/>
    </row>
    <row r="2872" spans="7:10" x14ac:dyDescent="0.25">
      <c r="G2872" s="164"/>
      <c r="H2872" s="164"/>
      <c r="I2872" s="164"/>
      <c r="J2872" s="164"/>
    </row>
    <row r="2873" spans="7:10" x14ac:dyDescent="0.25">
      <c r="G2873" s="164"/>
      <c r="H2873" s="164"/>
      <c r="I2873" s="164"/>
      <c r="J2873" s="164"/>
    </row>
    <row r="2874" spans="7:10" x14ac:dyDescent="0.25">
      <c r="G2874" s="164"/>
      <c r="H2874" s="164"/>
      <c r="I2874" s="164"/>
      <c r="J2874" s="164"/>
    </row>
    <row r="2875" spans="7:10" x14ac:dyDescent="0.25">
      <c r="G2875" s="164"/>
      <c r="H2875" s="164"/>
      <c r="I2875" s="164"/>
      <c r="J2875" s="164"/>
    </row>
    <row r="2876" spans="7:10" x14ac:dyDescent="0.25">
      <c r="G2876" s="164"/>
      <c r="H2876" s="164"/>
      <c r="I2876" s="164"/>
      <c r="J2876" s="164"/>
    </row>
    <row r="2877" spans="7:10" x14ac:dyDescent="0.25">
      <c r="G2877" s="164"/>
      <c r="H2877" s="164"/>
      <c r="I2877" s="164"/>
      <c r="J2877" s="164"/>
    </row>
    <row r="2878" spans="7:10" x14ac:dyDescent="0.25">
      <c r="G2878" s="164"/>
      <c r="H2878" s="164"/>
      <c r="I2878" s="164"/>
      <c r="J2878" s="164"/>
    </row>
    <row r="2879" spans="7:10" x14ac:dyDescent="0.25">
      <c r="G2879" s="164"/>
      <c r="H2879" s="164"/>
      <c r="I2879" s="164"/>
      <c r="J2879" s="164"/>
    </row>
    <row r="2880" spans="7:10" x14ac:dyDescent="0.25">
      <c r="G2880" s="164"/>
      <c r="H2880" s="164"/>
      <c r="I2880" s="164"/>
      <c r="J2880" s="164"/>
    </row>
    <row r="2881" spans="7:10" x14ac:dyDescent="0.25">
      <c r="G2881" s="164"/>
      <c r="H2881" s="164"/>
      <c r="I2881" s="164"/>
      <c r="J2881" s="164"/>
    </row>
    <row r="2882" spans="7:10" x14ac:dyDescent="0.25">
      <c r="G2882" s="164"/>
      <c r="H2882" s="164"/>
      <c r="I2882" s="164"/>
      <c r="J2882" s="164"/>
    </row>
    <row r="2883" spans="7:10" x14ac:dyDescent="0.25">
      <c r="G2883" s="164"/>
      <c r="H2883" s="164"/>
      <c r="I2883" s="164"/>
      <c r="J2883" s="164"/>
    </row>
    <row r="2884" spans="7:10" x14ac:dyDescent="0.25">
      <c r="G2884" s="164"/>
      <c r="H2884" s="164"/>
      <c r="I2884" s="164"/>
      <c r="J2884" s="164"/>
    </row>
    <row r="2885" spans="7:10" x14ac:dyDescent="0.25">
      <c r="G2885" s="164"/>
      <c r="H2885" s="164"/>
      <c r="I2885" s="164"/>
      <c r="J2885" s="164"/>
    </row>
    <row r="2886" spans="7:10" x14ac:dyDescent="0.25">
      <c r="G2886" s="164"/>
      <c r="H2886" s="164"/>
      <c r="I2886" s="164"/>
      <c r="J2886" s="164"/>
    </row>
    <row r="2887" spans="7:10" x14ac:dyDescent="0.25">
      <c r="G2887" s="164"/>
      <c r="H2887" s="164"/>
      <c r="I2887" s="164"/>
      <c r="J2887" s="164"/>
    </row>
    <row r="2888" spans="7:10" x14ac:dyDescent="0.25">
      <c r="G2888" s="164"/>
      <c r="H2888" s="164"/>
      <c r="I2888" s="164"/>
      <c r="J2888" s="164"/>
    </row>
    <row r="2889" spans="7:10" x14ac:dyDescent="0.25">
      <c r="G2889" s="164"/>
      <c r="H2889" s="164"/>
      <c r="I2889" s="164"/>
      <c r="J2889" s="164"/>
    </row>
    <row r="2890" spans="7:10" x14ac:dyDescent="0.25">
      <c r="G2890" s="164"/>
      <c r="H2890" s="164"/>
      <c r="I2890" s="164"/>
      <c r="J2890" s="164"/>
    </row>
    <row r="2891" spans="7:10" x14ac:dyDescent="0.25">
      <c r="G2891" s="164"/>
      <c r="H2891" s="164"/>
      <c r="I2891" s="164"/>
      <c r="J2891" s="164"/>
    </row>
    <row r="2892" spans="7:10" x14ac:dyDescent="0.25">
      <c r="G2892" s="164"/>
      <c r="H2892" s="164"/>
      <c r="I2892" s="164"/>
      <c r="J2892" s="164"/>
    </row>
    <row r="2893" spans="7:10" x14ac:dyDescent="0.25">
      <c r="G2893" s="164"/>
      <c r="H2893" s="164"/>
      <c r="I2893" s="164"/>
      <c r="J2893" s="164"/>
    </row>
    <row r="2894" spans="7:10" x14ac:dyDescent="0.25">
      <c r="G2894" s="164"/>
      <c r="H2894" s="164"/>
      <c r="I2894" s="164"/>
      <c r="J2894" s="164"/>
    </row>
    <row r="2895" spans="7:10" x14ac:dyDescent="0.25">
      <c r="G2895" s="164"/>
      <c r="H2895" s="164"/>
      <c r="I2895" s="164"/>
      <c r="J2895" s="164"/>
    </row>
    <row r="2896" spans="7:10" x14ac:dyDescent="0.25">
      <c r="G2896" s="164"/>
      <c r="H2896" s="164"/>
      <c r="I2896" s="164"/>
      <c r="J2896" s="164"/>
    </row>
    <row r="2897" spans="7:10" x14ac:dyDescent="0.25">
      <c r="G2897" s="164"/>
      <c r="H2897" s="164"/>
      <c r="I2897" s="164"/>
      <c r="J2897" s="164"/>
    </row>
    <row r="2898" spans="7:10" x14ac:dyDescent="0.25">
      <c r="G2898" s="164"/>
      <c r="H2898" s="164"/>
      <c r="I2898" s="164"/>
      <c r="J2898" s="164"/>
    </row>
    <row r="2899" spans="7:10" x14ac:dyDescent="0.25">
      <c r="G2899" s="164"/>
      <c r="H2899" s="164"/>
      <c r="I2899" s="164"/>
      <c r="J2899" s="164"/>
    </row>
    <row r="2900" spans="7:10" x14ac:dyDescent="0.25">
      <c r="G2900" s="164"/>
      <c r="H2900" s="164"/>
      <c r="I2900" s="164"/>
      <c r="J2900" s="164"/>
    </row>
    <row r="2901" spans="7:10" x14ac:dyDescent="0.25">
      <c r="G2901" s="164"/>
      <c r="H2901" s="164"/>
      <c r="I2901" s="164"/>
      <c r="J2901" s="164"/>
    </row>
    <row r="2902" spans="7:10" x14ac:dyDescent="0.25">
      <c r="G2902" s="164"/>
      <c r="H2902" s="164"/>
      <c r="I2902" s="164"/>
      <c r="J2902" s="164"/>
    </row>
    <row r="2903" spans="7:10" x14ac:dyDescent="0.25">
      <c r="G2903" s="164"/>
      <c r="H2903" s="164"/>
      <c r="I2903" s="164"/>
      <c r="J2903" s="164"/>
    </row>
    <row r="2904" spans="7:10" x14ac:dyDescent="0.25">
      <c r="G2904" s="164"/>
      <c r="H2904" s="164"/>
      <c r="I2904" s="164"/>
      <c r="J2904" s="164"/>
    </row>
    <row r="2905" spans="7:10" x14ac:dyDescent="0.25">
      <c r="G2905" s="164"/>
      <c r="H2905" s="164"/>
      <c r="I2905" s="164"/>
      <c r="J2905" s="164"/>
    </row>
    <row r="2906" spans="7:10" x14ac:dyDescent="0.25">
      <c r="G2906" s="164"/>
      <c r="H2906" s="164"/>
      <c r="I2906" s="164"/>
      <c r="J2906" s="164"/>
    </row>
    <row r="2907" spans="7:10" x14ac:dyDescent="0.25">
      <c r="G2907" s="164"/>
      <c r="H2907" s="164"/>
      <c r="I2907" s="164"/>
      <c r="J2907" s="164"/>
    </row>
    <row r="2908" spans="7:10" x14ac:dyDescent="0.25">
      <c r="G2908" s="164"/>
      <c r="H2908" s="164"/>
      <c r="I2908" s="164"/>
      <c r="J2908" s="164"/>
    </row>
    <row r="2909" spans="7:10" x14ac:dyDescent="0.25">
      <c r="G2909" s="164"/>
      <c r="H2909" s="164"/>
      <c r="I2909" s="164"/>
      <c r="J2909" s="164"/>
    </row>
    <row r="2910" spans="7:10" x14ac:dyDescent="0.25">
      <c r="G2910" s="164"/>
      <c r="H2910" s="164"/>
      <c r="I2910" s="164"/>
      <c r="J2910" s="164"/>
    </row>
    <row r="2911" spans="7:10" x14ac:dyDescent="0.25">
      <c r="G2911" s="164"/>
      <c r="H2911" s="164"/>
      <c r="I2911" s="164"/>
      <c r="J2911" s="164"/>
    </row>
    <row r="2912" spans="7:10" x14ac:dyDescent="0.25">
      <c r="G2912" s="164"/>
      <c r="H2912" s="164"/>
      <c r="I2912" s="164"/>
      <c r="J2912" s="164"/>
    </row>
    <row r="2913" spans="7:10" x14ac:dyDescent="0.25">
      <c r="G2913" s="164"/>
      <c r="H2913" s="164"/>
      <c r="I2913" s="164"/>
      <c r="J2913" s="164"/>
    </row>
    <row r="2914" spans="7:10" x14ac:dyDescent="0.25">
      <c r="G2914" s="164"/>
      <c r="H2914" s="164"/>
      <c r="I2914" s="164"/>
      <c r="J2914" s="164"/>
    </row>
    <row r="2915" spans="7:10" x14ac:dyDescent="0.25">
      <c r="G2915" s="164"/>
      <c r="H2915" s="164"/>
      <c r="I2915" s="164"/>
      <c r="J2915" s="164"/>
    </row>
    <row r="2916" spans="7:10" x14ac:dyDescent="0.25">
      <c r="G2916" s="164"/>
      <c r="H2916" s="164"/>
      <c r="I2916" s="164"/>
      <c r="J2916" s="164"/>
    </row>
    <row r="2917" spans="7:10" x14ac:dyDescent="0.25">
      <c r="G2917" s="164"/>
      <c r="H2917" s="164"/>
      <c r="I2917" s="164"/>
      <c r="J2917" s="164"/>
    </row>
    <row r="2918" spans="7:10" x14ac:dyDescent="0.25">
      <c r="G2918" s="164"/>
      <c r="H2918" s="164"/>
      <c r="I2918" s="164"/>
      <c r="J2918" s="164"/>
    </row>
    <row r="2919" spans="7:10" x14ac:dyDescent="0.25">
      <c r="G2919" s="164"/>
      <c r="H2919" s="164"/>
      <c r="I2919" s="164"/>
      <c r="J2919" s="164"/>
    </row>
    <row r="2920" spans="7:10" x14ac:dyDescent="0.25">
      <c r="G2920" s="164"/>
      <c r="H2920" s="164"/>
      <c r="I2920" s="164"/>
      <c r="J2920" s="164"/>
    </row>
    <row r="2921" spans="7:10" x14ac:dyDescent="0.25">
      <c r="G2921" s="164"/>
      <c r="H2921" s="164"/>
      <c r="I2921" s="164"/>
      <c r="J2921" s="164"/>
    </row>
    <row r="2922" spans="7:10" x14ac:dyDescent="0.25">
      <c r="G2922" s="164"/>
      <c r="H2922" s="164"/>
      <c r="I2922" s="164"/>
      <c r="J2922" s="164"/>
    </row>
    <row r="2923" spans="7:10" x14ac:dyDescent="0.25">
      <c r="G2923" s="164"/>
      <c r="H2923" s="164"/>
      <c r="I2923" s="164"/>
      <c r="J2923" s="164"/>
    </row>
    <row r="2924" spans="7:10" x14ac:dyDescent="0.25">
      <c r="G2924" s="164"/>
      <c r="H2924" s="164"/>
      <c r="I2924" s="164"/>
      <c r="J2924" s="164"/>
    </row>
    <row r="2925" spans="7:10" x14ac:dyDescent="0.25">
      <c r="G2925" s="164"/>
      <c r="H2925" s="164"/>
      <c r="I2925" s="164"/>
      <c r="J2925" s="164"/>
    </row>
    <row r="2926" spans="7:10" x14ac:dyDescent="0.25">
      <c r="G2926" s="164"/>
      <c r="H2926" s="164"/>
      <c r="I2926" s="164"/>
      <c r="J2926" s="164"/>
    </row>
    <row r="2927" spans="7:10" x14ac:dyDescent="0.25">
      <c r="G2927" s="164"/>
      <c r="H2927" s="164"/>
      <c r="I2927" s="164"/>
      <c r="J2927" s="164"/>
    </row>
    <row r="2928" spans="7:10" x14ac:dyDescent="0.25">
      <c r="G2928" s="164"/>
      <c r="H2928" s="164"/>
      <c r="I2928" s="164"/>
      <c r="J2928" s="164"/>
    </row>
    <row r="2929" spans="7:10" x14ac:dyDescent="0.25">
      <c r="G2929" s="164"/>
      <c r="H2929" s="164"/>
      <c r="I2929" s="164"/>
      <c r="J2929" s="164"/>
    </row>
    <row r="2930" spans="7:10" x14ac:dyDescent="0.25">
      <c r="G2930" s="164"/>
      <c r="H2930" s="164"/>
      <c r="I2930" s="164"/>
      <c r="J2930" s="164"/>
    </row>
    <row r="2931" spans="7:10" x14ac:dyDescent="0.25">
      <c r="G2931" s="164"/>
      <c r="H2931" s="164"/>
      <c r="I2931" s="164"/>
      <c r="J2931" s="164"/>
    </row>
    <row r="2932" spans="7:10" x14ac:dyDescent="0.25">
      <c r="G2932" s="164"/>
      <c r="H2932" s="164"/>
      <c r="I2932" s="164"/>
      <c r="J2932" s="164"/>
    </row>
    <row r="2933" spans="7:10" x14ac:dyDescent="0.25">
      <c r="G2933" s="164"/>
      <c r="H2933" s="164"/>
      <c r="I2933" s="164"/>
      <c r="J2933" s="164"/>
    </row>
    <row r="2934" spans="7:10" x14ac:dyDescent="0.25">
      <c r="G2934" s="164"/>
      <c r="H2934" s="164"/>
      <c r="I2934" s="164"/>
      <c r="J2934" s="164"/>
    </row>
    <row r="2935" spans="7:10" x14ac:dyDescent="0.25">
      <c r="G2935" s="164"/>
      <c r="H2935" s="164"/>
      <c r="I2935" s="164"/>
      <c r="J2935" s="164"/>
    </row>
    <row r="2936" spans="7:10" x14ac:dyDescent="0.25">
      <c r="G2936" s="164"/>
      <c r="H2936" s="164"/>
      <c r="I2936" s="164"/>
      <c r="J2936" s="164"/>
    </row>
    <row r="2937" spans="7:10" x14ac:dyDescent="0.25">
      <c r="G2937" s="164"/>
      <c r="H2937" s="164"/>
      <c r="I2937" s="164"/>
      <c r="J2937" s="164"/>
    </row>
    <row r="2938" spans="7:10" x14ac:dyDescent="0.25">
      <c r="G2938" s="164"/>
      <c r="H2938" s="164"/>
      <c r="I2938" s="164"/>
      <c r="J2938" s="164"/>
    </row>
    <row r="2939" spans="7:10" x14ac:dyDescent="0.25">
      <c r="G2939" s="164"/>
      <c r="H2939" s="164"/>
      <c r="I2939" s="164"/>
      <c r="J2939" s="164"/>
    </row>
    <row r="2940" spans="7:10" x14ac:dyDescent="0.25">
      <c r="G2940" s="164"/>
      <c r="H2940" s="164"/>
      <c r="I2940" s="164"/>
      <c r="J2940" s="164"/>
    </row>
    <row r="2941" spans="7:10" x14ac:dyDescent="0.25">
      <c r="G2941" s="164"/>
      <c r="H2941" s="164"/>
      <c r="I2941" s="164"/>
      <c r="J2941" s="164"/>
    </row>
    <row r="2942" spans="7:10" x14ac:dyDescent="0.25">
      <c r="G2942" s="164"/>
      <c r="H2942" s="164"/>
      <c r="I2942" s="164"/>
      <c r="J2942" s="164"/>
    </row>
    <row r="2943" spans="7:10" x14ac:dyDescent="0.25">
      <c r="G2943" s="164"/>
      <c r="H2943" s="164"/>
      <c r="I2943" s="164"/>
      <c r="J2943" s="164"/>
    </row>
    <row r="2944" spans="7:10" x14ac:dyDescent="0.25">
      <c r="G2944" s="164"/>
      <c r="H2944" s="164"/>
      <c r="I2944" s="164"/>
      <c r="J2944" s="164"/>
    </row>
    <row r="2945" spans="7:10" x14ac:dyDescent="0.25">
      <c r="G2945" s="164"/>
      <c r="H2945" s="164"/>
      <c r="I2945" s="164"/>
      <c r="J2945" s="164"/>
    </row>
    <row r="2946" spans="7:10" x14ac:dyDescent="0.25">
      <c r="G2946" s="164"/>
      <c r="H2946" s="164"/>
      <c r="I2946" s="164"/>
      <c r="J2946" s="164"/>
    </row>
    <row r="2947" spans="7:10" x14ac:dyDescent="0.25">
      <c r="G2947" s="164"/>
      <c r="H2947" s="164"/>
      <c r="I2947" s="164"/>
      <c r="J2947" s="164"/>
    </row>
    <row r="2948" spans="7:10" x14ac:dyDescent="0.25">
      <c r="G2948" s="164"/>
      <c r="H2948" s="164"/>
      <c r="I2948" s="164"/>
      <c r="J2948" s="164"/>
    </row>
    <row r="2949" spans="7:10" x14ac:dyDescent="0.25">
      <c r="G2949" s="164"/>
      <c r="H2949" s="164"/>
      <c r="I2949" s="164"/>
      <c r="J2949" s="164"/>
    </row>
    <row r="2950" spans="7:10" x14ac:dyDescent="0.25">
      <c r="G2950" s="164"/>
      <c r="H2950" s="164"/>
      <c r="I2950" s="164"/>
      <c r="J2950" s="164"/>
    </row>
    <row r="2951" spans="7:10" x14ac:dyDescent="0.25">
      <c r="G2951" s="164"/>
      <c r="H2951" s="164"/>
      <c r="I2951" s="164"/>
      <c r="J2951" s="164"/>
    </row>
    <row r="2952" spans="7:10" x14ac:dyDescent="0.25">
      <c r="G2952" s="164"/>
      <c r="H2952" s="164"/>
      <c r="I2952" s="164"/>
      <c r="J2952" s="164"/>
    </row>
    <row r="2953" spans="7:10" x14ac:dyDescent="0.25">
      <c r="G2953" s="164"/>
      <c r="H2953" s="164"/>
      <c r="I2953" s="164"/>
      <c r="J2953" s="164"/>
    </row>
    <row r="2954" spans="7:10" x14ac:dyDescent="0.25">
      <c r="G2954" s="164"/>
      <c r="H2954" s="164"/>
      <c r="I2954" s="164"/>
      <c r="J2954" s="164"/>
    </row>
    <row r="2955" spans="7:10" x14ac:dyDescent="0.25">
      <c r="G2955" s="164"/>
      <c r="H2955" s="164"/>
      <c r="I2955" s="164"/>
      <c r="J2955" s="164"/>
    </row>
    <row r="2956" spans="7:10" x14ac:dyDescent="0.25">
      <c r="G2956" s="164"/>
      <c r="H2956" s="164"/>
      <c r="I2956" s="164"/>
      <c r="J2956" s="164"/>
    </row>
    <row r="2957" spans="7:10" x14ac:dyDescent="0.25">
      <c r="G2957" s="164"/>
      <c r="H2957" s="164"/>
      <c r="I2957" s="164"/>
      <c r="J2957" s="164"/>
    </row>
    <row r="2958" spans="7:10" x14ac:dyDescent="0.25">
      <c r="G2958" s="164"/>
      <c r="H2958" s="164"/>
      <c r="I2958" s="164"/>
      <c r="J2958" s="164"/>
    </row>
    <row r="2959" spans="7:10" x14ac:dyDescent="0.25">
      <c r="G2959" s="164"/>
      <c r="H2959" s="164"/>
      <c r="I2959" s="164"/>
      <c r="J2959" s="164"/>
    </row>
    <row r="2960" spans="7:10" x14ac:dyDescent="0.25">
      <c r="G2960" s="164"/>
      <c r="H2960" s="164"/>
      <c r="I2960" s="164"/>
      <c r="J2960" s="164"/>
    </row>
    <row r="2961" spans="7:10" x14ac:dyDescent="0.25">
      <c r="G2961" s="164"/>
      <c r="H2961" s="164"/>
      <c r="I2961" s="164"/>
      <c r="J2961" s="164"/>
    </row>
    <row r="2962" spans="7:10" x14ac:dyDescent="0.25">
      <c r="G2962" s="164"/>
      <c r="H2962" s="164"/>
      <c r="I2962" s="164"/>
      <c r="J2962" s="164"/>
    </row>
    <row r="2963" spans="7:10" x14ac:dyDescent="0.25">
      <c r="G2963" s="164"/>
      <c r="H2963" s="164"/>
      <c r="I2963" s="164"/>
      <c r="J2963" s="164"/>
    </row>
    <row r="2964" spans="7:10" x14ac:dyDescent="0.25">
      <c r="G2964" s="164"/>
      <c r="H2964" s="164"/>
      <c r="I2964" s="164"/>
      <c r="J2964" s="164"/>
    </row>
    <row r="2965" spans="7:10" x14ac:dyDescent="0.25">
      <c r="G2965" s="164"/>
      <c r="H2965" s="164"/>
      <c r="I2965" s="164"/>
      <c r="J2965" s="164"/>
    </row>
    <row r="2966" spans="7:10" x14ac:dyDescent="0.25">
      <c r="G2966" s="164"/>
      <c r="H2966" s="164"/>
      <c r="I2966" s="164"/>
      <c r="J2966" s="164"/>
    </row>
    <row r="2967" spans="7:10" x14ac:dyDescent="0.25">
      <c r="G2967" s="164"/>
      <c r="H2967" s="164"/>
      <c r="I2967" s="164"/>
      <c r="J2967" s="164"/>
    </row>
    <row r="2968" spans="7:10" x14ac:dyDescent="0.25">
      <c r="G2968" s="164"/>
      <c r="H2968" s="164"/>
      <c r="I2968" s="164"/>
      <c r="J2968" s="164"/>
    </row>
    <row r="2969" spans="7:10" x14ac:dyDescent="0.25">
      <c r="G2969" s="164"/>
      <c r="H2969" s="164"/>
      <c r="I2969" s="164"/>
      <c r="J2969" s="164"/>
    </row>
    <row r="2970" spans="7:10" x14ac:dyDescent="0.25">
      <c r="G2970" s="164"/>
      <c r="H2970" s="164"/>
      <c r="I2970" s="164"/>
      <c r="J2970" s="164"/>
    </row>
    <row r="2971" spans="7:10" x14ac:dyDescent="0.25">
      <c r="G2971" s="164"/>
      <c r="H2971" s="164"/>
      <c r="I2971" s="164"/>
      <c r="J2971" s="164"/>
    </row>
    <row r="2972" spans="7:10" x14ac:dyDescent="0.25">
      <c r="G2972" s="164"/>
      <c r="H2972" s="164"/>
      <c r="I2972" s="164"/>
      <c r="J2972" s="164"/>
    </row>
    <row r="2973" spans="7:10" x14ac:dyDescent="0.25">
      <c r="G2973" s="164"/>
      <c r="H2973" s="164"/>
      <c r="I2973" s="164"/>
      <c r="J2973" s="164"/>
    </row>
    <row r="2974" spans="7:10" x14ac:dyDescent="0.25">
      <c r="G2974" s="164"/>
      <c r="H2974" s="164"/>
      <c r="I2974" s="164"/>
      <c r="J2974" s="164"/>
    </row>
    <row r="2975" spans="7:10" x14ac:dyDescent="0.25">
      <c r="G2975" s="164"/>
      <c r="H2975" s="164"/>
      <c r="I2975" s="164"/>
      <c r="J2975" s="164"/>
    </row>
    <row r="2976" spans="7:10" x14ac:dyDescent="0.25">
      <c r="G2976" s="164"/>
      <c r="H2976" s="164"/>
      <c r="I2976" s="164"/>
      <c r="J2976" s="164"/>
    </row>
    <row r="2977" spans="7:10" x14ac:dyDescent="0.25">
      <c r="G2977" s="164"/>
      <c r="H2977" s="164"/>
      <c r="I2977" s="164"/>
      <c r="J2977" s="164"/>
    </row>
    <row r="2978" spans="7:10" x14ac:dyDescent="0.25">
      <c r="G2978" s="164"/>
      <c r="H2978" s="164"/>
      <c r="I2978" s="164"/>
      <c r="J2978" s="164"/>
    </row>
    <row r="2979" spans="7:10" x14ac:dyDescent="0.25">
      <c r="G2979" s="164"/>
      <c r="H2979" s="164"/>
      <c r="I2979" s="164"/>
      <c r="J2979" s="164"/>
    </row>
    <row r="2980" spans="7:10" x14ac:dyDescent="0.25">
      <c r="G2980" s="164"/>
      <c r="H2980" s="164"/>
      <c r="I2980" s="164"/>
      <c r="J2980" s="164"/>
    </row>
    <row r="2981" spans="7:10" x14ac:dyDescent="0.25">
      <c r="G2981" s="164"/>
      <c r="H2981" s="164"/>
      <c r="I2981" s="164"/>
      <c r="J2981" s="164"/>
    </row>
    <row r="2982" spans="7:10" x14ac:dyDescent="0.25">
      <c r="G2982" s="164"/>
      <c r="H2982" s="164"/>
      <c r="I2982" s="164"/>
      <c r="J2982" s="164"/>
    </row>
    <row r="2983" spans="7:10" x14ac:dyDescent="0.25">
      <c r="G2983" s="164"/>
      <c r="H2983" s="164"/>
      <c r="I2983" s="164"/>
      <c r="J2983" s="164"/>
    </row>
    <row r="2984" spans="7:10" x14ac:dyDescent="0.25">
      <c r="G2984" s="164"/>
      <c r="H2984" s="164"/>
      <c r="I2984" s="164"/>
      <c r="J2984" s="164"/>
    </row>
    <row r="2985" spans="7:10" x14ac:dyDescent="0.25">
      <c r="G2985" s="164"/>
      <c r="H2985" s="164"/>
      <c r="I2985" s="164"/>
      <c r="J2985" s="164"/>
    </row>
    <row r="2986" spans="7:10" x14ac:dyDescent="0.25">
      <c r="G2986" s="164"/>
      <c r="H2986" s="164"/>
      <c r="I2986" s="164"/>
      <c r="J2986" s="164"/>
    </row>
    <row r="2987" spans="7:10" x14ac:dyDescent="0.25">
      <c r="G2987" s="164"/>
      <c r="H2987" s="164"/>
      <c r="I2987" s="164"/>
      <c r="J2987" s="164"/>
    </row>
    <row r="2988" spans="7:10" x14ac:dyDescent="0.25">
      <c r="G2988" s="164"/>
      <c r="H2988" s="164"/>
      <c r="I2988" s="164"/>
      <c r="J2988" s="164"/>
    </row>
    <row r="2989" spans="7:10" x14ac:dyDescent="0.25">
      <c r="G2989" s="164"/>
      <c r="H2989" s="164"/>
      <c r="I2989" s="164"/>
      <c r="J2989" s="164"/>
    </row>
    <row r="2990" spans="7:10" x14ac:dyDescent="0.25">
      <c r="G2990" s="164"/>
      <c r="H2990" s="164"/>
      <c r="I2990" s="164"/>
      <c r="J2990" s="164"/>
    </row>
    <row r="2991" spans="7:10" x14ac:dyDescent="0.25">
      <c r="G2991" s="164"/>
      <c r="H2991" s="164"/>
      <c r="I2991" s="164"/>
      <c r="J2991" s="164"/>
    </row>
    <row r="2992" spans="7:10" x14ac:dyDescent="0.25">
      <c r="G2992" s="164"/>
      <c r="H2992" s="164"/>
      <c r="I2992" s="164"/>
      <c r="J2992" s="164"/>
    </row>
    <row r="2993" spans="7:10" x14ac:dyDescent="0.25">
      <c r="G2993" s="164"/>
      <c r="H2993" s="164"/>
      <c r="I2993" s="164"/>
      <c r="J2993" s="164"/>
    </row>
    <row r="2994" spans="7:10" x14ac:dyDescent="0.25">
      <c r="G2994" s="164"/>
      <c r="H2994" s="164"/>
      <c r="I2994" s="164"/>
      <c r="J2994" s="164"/>
    </row>
    <row r="2995" spans="7:10" x14ac:dyDescent="0.25">
      <c r="G2995" s="164"/>
      <c r="H2995" s="164"/>
      <c r="I2995" s="164"/>
      <c r="J2995" s="164"/>
    </row>
    <row r="2996" spans="7:10" x14ac:dyDescent="0.25">
      <c r="G2996" s="164"/>
      <c r="H2996" s="164"/>
      <c r="I2996" s="164"/>
      <c r="J2996" s="164"/>
    </row>
    <row r="2997" spans="7:10" x14ac:dyDescent="0.25">
      <c r="G2997" s="164"/>
      <c r="H2997" s="164"/>
      <c r="I2997" s="164"/>
      <c r="J2997" s="164"/>
    </row>
    <row r="2998" spans="7:10" x14ac:dyDescent="0.25">
      <c r="G2998" s="164"/>
      <c r="H2998" s="164"/>
      <c r="I2998" s="164"/>
      <c r="J2998" s="164"/>
    </row>
    <row r="2999" spans="7:10" x14ac:dyDescent="0.25">
      <c r="G2999" s="164"/>
      <c r="H2999" s="164"/>
      <c r="I2999" s="164"/>
      <c r="J2999" s="164"/>
    </row>
    <row r="3000" spans="7:10" x14ac:dyDescent="0.25">
      <c r="G3000" s="164"/>
      <c r="H3000" s="164"/>
      <c r="I3000" s="164"/>
      <c r="J3000" s="164"/>
    </row>
    <row r="3001" spans="7:10" x14ac:dyDescent="0.25">
      <c r="G3001" s="164"/>
      <c r="H3001" s="164"/>
      <c r="I3001" s="164"/>
      <c r="J3001" s="164"/>
    </row>
    <row r="3002" spans="7:10" x14ac:dyDescent="0.25">
      <c r="G3002" s="164"/>
      <c r="H3002" s="164"/>
      <c r="I3002" s="164"/>
      <c r="J3002" s="164"/>
    </row>
    <row r="3003" spans="7:10" x14ac:dyDescent="0.25">
      <c r="G3003" s="164"/>
      <c r="H3003" s="164"/>
      <c r="I3003" s="164"/>
      <c r="J3003" s="164"/>
    </row>
    <row r="3004" spans="7:10" x14ac:dyDescent="0.25">
      <c r="G3004" s="164"/>
      <c r="H3004" s="164"/>
      <c r="I3004" s="164"/>
      <c r="J3004" s="164"/>
    </row>
    <row r="3005" spans="7:10" x14ac:dyDescent="0.25">
      <c r="G3005" s="164"/>
      <c r="H3005" s="164"/>
      <c r="I3005" s="164"/>
      <c r="J3005" s="164"/>
    </row>
    <row r="3006" spans="7:10" x14ac:dyDescent="0.25">
      <c r="G3006" s="164"/>
      <c r="H3006" s="164"/>
      <c r="I3006" s="164"/>
      <c r="J3006" s="164"/>
    </row>
    <row r="3007" spans="7:10" x14ac:dyDescent="0.25">
      <c r="G3007" s="164"/>
      <c r="H3007" s="164"/>
      <c r="I3007" s="164"/>
      <c r="J3007" s="164"/>
    </row>
    <row r="3008" spans="7:10" x14ac:dyDescent="0.25">
      <c r="G3008" s="164"/>
      <c r="H3008" s="164"/>
      <c r="I3008" s="164"/>
      <c r="J3008" s="164"/>
    </row>
    <row r="3009" spans="7:10" x14ac:dyDescent="0.25">
      <c r="G3009" s="164"/>
      <c r="H3009" s="164"/>
      <c r="I3009" s="164"/>
      <c r="J3009" s="164"/>
    </row>
    <row r="3010" spans="7:10" x14ac:dyDescent="0.25">
      <c r="G3010" s="164"/>
      <c r="H3010" s="164"/>
      <c r="I3010" s="164"/>
      <c r="J3010" s="164"/>
    </row>
    <row r="3011" spans="7:10" x14ac:dyDescent="0.25">
      <c r="G3011" s="164"/>
      <c r="H3011" s="164"/>
      <c r="I3011" s="164"/>
      <c r="J3011" s="164"/>
    </row>
    <row r="3012" spans="7:10" x14ac:dyDescent="0.25">
      <c r="G3012" s="164"/>
      <c r="H3012" s="164"/>
      <c r="I3012" s="164"/>
      <c r="J3012" s="164"/>
    </row>
    <row r="3013" spans="7:10" x14ac:dyDescent="0.25">
      <c r="G3013" s="164"/>
      <c r="H3013" s="164"/>
      <c r="I3013" s="164"/>
      <c r="J3013" s="164"/>
    </row>
    <row r="3014" spans="7:10" x14ac:dyDescent="0.25">
      <c r="G3014" s="164"/>
      <c r="H3014" s="164"/>
      <c r="I3014" s="164"/>
      <c r="J3014" s="164"/>
    </row>
    <row r="3015" spans="7:10" x14ac:dyDescent="0.25">
      <c r="G3015" s="164"/>
      <c r="H3015" s="164"/>
      <c r="I3015" s="164"/>
      <c r="J3015" s="164"/>
    </row>
    <row r="3016" spans="7:10" x14ac:dyDescent="0.25">
      <c r="G3016" s="164"/>
      <c r="H3016" s="164"/>
      <c r="I3016" s="164"/>
      <c r="J3016" s="164"/>
    </row>
    <row r="3017" spans="7:10" x14ac:dyDescent="0.25">
      <c r="G3017" s="164"/>
      <c r="H3017" s="164"/>
      <c r="I3017" s="164"/>
      <c r="J3017" s="164"/>
    </row>
    <row r="3018" spans="7:10" x14ac:dyDescent="0.25">
      <c r="G3018" s="164"/>
      <c r="H3018" s="164"/>
      <c r="I3018" s="164"/>
      <c r="J3018" s="164"/>
    </row>
    <row r="3019" spans="7:10" x14ac:dyDescent="0.25">
      <c r="G3019" s="164"/>
      <c r="H3019" s="164"/>
      <c r="I3019" s="164"/>
      <c r="J3019" s="164"/>
    </row>
    <row r="3020" spans="7:10" x14ac:dyDescent="0.25">
      <c r="G3020" s="164"/>
      <c r="H3020" s="164"/>
      <c r="I3020" s="164"/>
      <c r="J3020" s="164"/>
    </row>
    <row r="3021" spans="7:10" x14ac:dyDescent="0.25">
      <c r="G3021" s="164"/>
      <c r="H3021" s="164"/>
      <c r="I3021" s="164"/>
      <c r="J3021" s="164"/>
    </row>
    <row r="3022" spans="7:10" x14ac:dyDescent="0.25">
      <c r="G3022" s="164"/>
      <c r="H3022" s="164"/>
      <c r="I3022" s="164"/>
      <c r="J3022" s="164"/>
    </row>
    <row r="3023" spans="7:10" x14ac:dyDescent="0.25">
      <c r="G3023" s="164"/>
      <c r="H3023" s="164"/>
      <c r="I3023" s="164"/>
      <c r="J3023" s="164"/>
    </row>
    <row r="3024" spans="7:10" x14ac:dyDescent="0.25">
      <c r="G3024" s="164"/>
      <c r="H3024" s="164"/>
      <c r="I3024" s="164"/>
      <c r="J3024" s="164"/>
    </row>
    <row r="3025" spans="7:10" x14ac:dyDescent="0.25">
      <c r="G3025" s="164"/>
      <c r="H3025" s="164"/>
      <c r="I3025" s="164"/>
      <c r="J3025" s="164"/>
    </row>
    <row r="3026" spans="7:10" x14ac:dyDescent="0.25">
      <c r="G3026" s="164"/>
      <c r="H3026" s="164"/>
      <c r="I3026" s="164"/>
      <c r="J3026" s="164"/>
    </row>
    <row r="3027" spans="7:10" x14ac:dyDescent="0.25">
      <c r="G3027" s="164"/>
      <c r="H3027" s="164"/>
      <c r="I3027" s="164"/>
      <c r="J3027" s="164"/>
    </row>
    <row r="3028" spans="7:10" x14ac:dyDescent="0.25">
      <c r="G3028" s="164"/>
      <c r="H3028" s="164"/>
      <c r="I3028" s="164"/>
      <c r="J3028" s="164"/>
    </row>
    <row r="3029" spans="7:10" x14ac:dyDescent="0.25">
      <c r="G3029" s="164"/>
      <c r="H3029" s="164"/>
      <c r="I3029" s="164"/>
      <c r="J3029" s="164"/>
    </row>
    <row r="3030" spans="7:10" x14ac:dyDescent="0.25">
      <c r="G3030" s="164"/>
      <c r="H3030" s="164"/>
      <c r="I3030" s="164"/>
      <c r="J3030" s="164"/>
    </row>
    <row r="3031" spans="7:10" x14ac:dyDescent="0.25">
      <c r="G3031" s="164"/>
      <c r="H3031" s="164"/>
      <c r="I3031" s="164"/>
      <c r="J3031" s="164"/>
    </row>
    <row r="3032" spans="7:10" x14ac:dyDescent="0.25">
      <c r="G3032" s="164"/>
      <c r="H3032" s="164"/>
      <c r="I3032" s="164"/>
      <c r="J3032" s="164"/>
    </row>
    <row r="3033" spans="7:10" x14ac:dyDescent="0.25">
      <c r="G3033" s="164"/>
      <c r="H3033" s="164"/>
      <c r="I3033" s="164"/>
      <c r="J3033" s="164"/>
    </row>
    <row r="3034" spans="7:10" x14ac:dyDescent="0.25">
      <c r="G3034" s="164"/>
      <c r="H3034" s="164"/>
      <c r="I3034" s="164"/>
      <c r="J3034" s="164"/>
    </row>
    <row r="3035" spans="7:10" x14ac:dyDescent="0.25">
      <c r="G3035" s="164"/>
      <c r="H3035" s="164"/>
      <c r="I3035" s="164"/>
      <c r="J3035" s="164"/>
    </row>
    <row r="3036" spans="7:10" x14ac:dyDescent="0.25">
      <c r="G3036" s="164"/>
      <c r="H3036" s="164"/>
      <c r="I3036" s="164"/>
      <c r="J3036" s="164"/>
    </row>
    <row r="3037" spans="7:10" x14ac:dyDescent="0.25">
      <c r="G3037" s="164"/>
      <c r="H3037" s="164"/>
      <c r="I3037" s="164"/>
      <c r="J3037" s="164"/>
    </row>
    <row r="3038" spans="7:10" x14ac:dyDescent="0.25">
      <c r="G3038" s="164"/>
      <c r="H3038" s="164"/>
      <c r="I3038" s="164"/>
      <c r="J3038" s="164"/>
    </row>
    <row r="3039" spans="7:10" x14ac:dyDescent="0.25">
      <c r="G3039" s="164"/>
      <c r="H3039" s="164"/>
      <c r="I3039" s="164"/>
      <c r="J3039" s="164"/>
    </row>
    <row r="3040" spans="7:10" x14ac:dyDescent="0.25">
      <c r="G3040" s="164"/>
      <c r="H3040" s="164"/>
      <c r="I3040" s="164"/>
      <c r="J3040" s="164"/>
    </row>
    <row r="3041" spans="7:10" x14ac:dyDescent="0.25">
      <c r="G3041" s="164"/>
      <c r="H3041" s="164"/>
      <c r="I3041" s="164"/>
      <c r="J3041" s="164"/>
    </row>
    <row r="3042" spans="7:10" x14ac:dyDescent="0.25">
      <c r="G3042" s="164"/>
      <c r="H3042" s="164"/>
      <c r="I3042" s="164"/>
      <c r="J3042" s="164"/>
    </row>
    <row r="3043" spans="7:10" x14ac:dyDescent="0.25">
      <c r="G3043" s="164"/>
      <c r="H3043" s="164"/>
      <c r="I3043" s="164"/>
      <c r="J3043" s="164"/>
    </row>
    <row r="3044" spans="7:10" x14ac:dyDescent="0.25">
      <c r="G3044" s="164"/>
      <c r="H3044" s="164"/>
      <c r="I3044" s="164"/>
      <c r="J3044" s="164"/>
    </row>
    <row r="3045" spans="7:10" x14ac:dyDescent="0.25">
      <c r="G3045" s="164"/>
      <c r="H3045" s="164"/>
      <c r="I3045" s="164"/>
      <c r="J3045" s="164"/>
    </row>
    <row r="3046" spans="7:10" x14ac:dyDescent="0.25">
      <c r="G3046" s="164"/>
      <c r="H3046" s="164"/>
      <c r="I3046" s="164"/>
      <c r="J3046" s="164"/>
    </row>
    <row r="3047" spans="7:10" x14ac:dyDescent="0.25">
      <c r="G3047" s="164"/>
      <c r="H3047" s="164"/>
      <c r="I3047" s="164"/>
      <c r="J3047" s="164"/>
    </row>
    <row r="3048" spans="7:10" x14ac:dyDescent="0.25">
      <c r="G3048" s="164"/>
      <c r="H3048" s="164"/>
      <c r="I3048" s="164"/>
      <c r="J3048" s="164"/>
    </row>
    <row r="3049" spans="7:10" x14ac:dyDescent="0.25">
      <c r="G3049" s="164"/>
      <c r="H3049" s="164"/>
      <c r="I3049" s="164"/>
      <c r="J3049" s="164"/>
    </row>
    <row r="3050" spans="7:10" x14ac:dyDescent="0.25">
      <c r="G3050" s="164"/>
      <c r="H3050" s="164"/>
      <c r="I3050" s="164"/>
      <c r="J3050" s="164"/>
    </row>
    <row r="3051" spans="7:10" x14ac:dyDescent="0.25">
      <c r="G3051" s="164"/>
      <c r="H3051" s="164"/>
      <c r="I3051" s="164"/>
      <c r="J3051" s="164"/>
    </row>
    <row r="3052" spans="7:10" x14ac:dyDescent="0.25">
      <c r="G3052" s="164"/>
      <c r="H3052" s="164"/>
      <c r="I3052" s="164"/>
      <c r="J3052" s="164"/>
    </row>
    <row r="3053" spans="7:10" x14ac:dyDescent="0.25">
      <c r="G3053" s="164"/>
      <c r="H3053" s="164"/>
      <c r="I3053" s="164"/>
      <c r="J3053" s="164"/>
    </row>
    <row r="3054" spans="7:10" x14ac:dyDescent="0.25">
      <c r="G3054" s="164"/>
      <c r="H3054" s="164"/>
      <c r="I3054" s="164"/>
      <c r="J3054" s="164"/>
    </row>
    <row r="3055" spans="7:10" x14ac:dyDescent="0.25">
      <c r="G3055" s="164"/>
      <c r="H3055" s="164"/>
      <c r="I3055" s="164"/>
      <c r="J3055" s="164"/>
    </row>
    <row r="3056" spans="7:10" x14ac:dyDescent="0.25">
      <c r="G3056" s="164"/>
      <c r="H3056" s="164"/>
      <c r="I3056" s="164"/>
      <c r="J3056" s="164"/>
    </row>
    <row r="3057" spans="7:10" x14ac:dyDescent="0.25">
      <c r="G3057" s="164"/>
      <c r="H3057" s="164"/>
      <c r="I3057" s="164"/>
      <c r="J3057" s="164"/>
    </row>
    <row r="3058" spans="7:10" x14ac:dyDescent="0.25">
      <c r="G3058" s="164"/>
      <c r="H3058" s="164"/>
      <c r="I3058" s="164"/>
      <c r="J3058" s="164"/>
    </row>
    <row r="3059" spans="7:10" x14ac:dyDescent="0.25">
      <c r="G3059" s="164"/>
      <c r="H3059" s="164"/>
      <c r="I3059" s="164"/>
      <c r="J3059" s="164"/>
    </row>
    <row r="3060" spans="7:10" x14ac:dyDescent="0.25">
      <c r="G3060" s="164"/>
      <c r="H3060" s="164"/>
      <c r="I3060" s="164"/>
      <c r="J3060" s="164"/>
    </row>
    <row r="3061" spans="7:10" x14ac:dyDescent="0.25">
      <c r="G3061" s="164"/>
      <c r="H3061" s="164"/>
      <c r="I3061" s="164"/>
      <c r="J3061" s="164"/>
    </row>
    <row r="3062" spans="7:10" x14ac:dyDescent="0.25">
      <c r="G3062" s="164"/>
      <c r="H3062" s="164"/>
      <c r="I3062" s="164"/>
      <c r="J3062" s="164"/>
    </row>
    <row r="3063" spans="7:10" x14ac:dyDescent="0.25">
      <c r="G3063" s="164"/>
      <c r="H3063" s="164"/>
      <c r="I3063" s="164"/>
      <c r="J3063" s="164"/>
    </row>
    <row r="3064" spans="7:10" x14ac:dyDescent="0.25">
      <c r="G3064" s="164"/>
      <c r="H3064" s="164"/>
      <c r="I3064" s="164"/>
      <c r="J3064" s="164"/>
    </row>
    <row r="3065" spans="7:10" x14ac:dyDescent="0.25">
      <c r="G3065" s="164"/>
      <c r="H3065" s="164"/>
      <c r="I3065" s="164"/>
      <c r="J3065" s="164"/>
    </row>
    <row r="3066" spans="7:10" x14ac:dyDescent="0.25">
      <c r="G3066" s="164"/>
      <c r="H3066" s="164"/>
      <c r="I3066" s="164"/>
      <c r="J3066" s="164"/>
    </row>
    <row r="3067" spans="7:10" x14ac:dyDescent="0.25">
      <c r="G3067" s="164"/>
      <c r="H3067" s="164"/>
      <c r="I3067" s="164"/>
      <c r="J3067" s="164"/>
    </row>
    <row r="3068" spans="7:10" x14ac:dyDescent="0.25">
      <c r="G3068" s="164"/>
      <c r="H3068" s="164"/>
      <c r="I3068" s="164"/>
      <c r="J3068" s="164"/>
    </row>
    <row r="3069" spans="7:10" x14ac:dyDescent="0.25">
      <c r="G3069" s="164"/>
      <c r="H3069" s="164"/>
      <c r="I3069" s="164"/>
      <c r="J3069" s="164"/>
    </row>
    <row r="3070" spans="7:10" x14ac:dyDescent="0.25">
      <c r="G3070" s="164"/>
      <c r="H3070" s="164"/>
      <c r="I3070" s="164"/>
      <c r="J3070" s="164"/>
    </row>
    <row r="3071" spans="7:10" x14ac:dyDescent="0.25">
      <c r="G3071" s="164"/>
      <c r="H3071" s="164"/>
      <c r="I3071" s="164"/>
      <c r="J3071" s="164"/>
    </row>
    <row r="3072" spans="7:10" x14ac:dyDescent="0.25">
      <c r="G3072" s="164"/>
      <c r="H3072" s="164"/>
      <c r="I3072" s="164"/>
      <c r="J3072" s="164"/>
    </row>
    <row r="3073" spans="7:10" x14ac:dyDescent="0.25">
      <c r="G3073" s="164"/>
      <c r="H3073" s="164"/>
      <c r="I3073" s="164"/>
      <c r="J3073" s="164"/>
    </row>
    <row r="3074" spans="7:10" x14ac:dyDescent="0.25">
      <c r="G3074" s="164"/>
      <c r="H3074" s="164"/>
      <c r="I3074" s="164"/>
      <c r="J3074" s="164"/>
    </row>
    <row r="3075" spans="7:10" x14ac:dyDescent="0.25">
      <c r="G3075" s="164"/>
      <c r="H3075" s="164"/>
      <c r="I3075" s="164"/>
      <c r="J3075" s="164"/>
    </row>
    <row r="3076" spans="7:10" x14ac:dyDescent="0.25">
      <c r="G3076" s="164"/>
      <c r="H3076" s="164"/>
      <c r="I3076" s="164"/>
      <c r="J3076" s="164"/>
    </row>
    <row r="3077" spans="7:10" x14ac:dyDescent="0.25">
      <c r="G3077" s="164"/>
      <c r="H3077" s="164"/>
      <c r="I3077" s="164"/>
      <c r="J3077" s="164"/>
    </row>
    <row r="3078" spans="7:10" x14ac:dyDescent="0.25">
      <c r="G3078" s="164"/>
      <c r="H3078" s="164"/>
      <c r="I3078" s="164"/>
      <c r="J3078" s="164"/>
    </row>
    <row r="3079" spans="7:10" x14ac:dyDescent="0.25">
      <c r="G3079" s="164"/>
      <c r="H3079" s="164"/>
      <c r="I3079" s="164"/>
      <c r="J3079" s="164"/>
    </row>
    <row r="3080" spans="7:10" x14ac:dyDescent="0.25">
      <c r="G3080" s="164"/>
      <c r="H3080" s="164"/>
      <c r="I3080" s="164"/>
      <c r="J3080" s="164"/>
    </row>
    <row r="3081" spans="7:10" x14ac:dyDescent="0.25">
      <c r="G3081" s="164"/>
      <c r="H3081" s="164"/>
      <c r="I3081" s="164"/>
      <c r="J3081" s="164"/>
    </row>
    <row r="3082" spans="7:10" x14ac:dyDescent="0.25">
      <c r="G3082" s="164"/>
      <c r="H3082" s="164"/>
      <c r="I3082" s="164"/>
      <c r="J3082" s="164"/>
    </row>
    <row r="3083" spans="7:10" x14ac:dyDescent="0.25">
      <c r="G3083" s="164"/>
      <c r="H3083" s="164"/>
      <c r="I3083" s="164"/>
      <c r="J3083" s="164"/>
    </row>
    <row r="3084" spans="7:10" x14ac:dyDescent="0.25">
      <c r="G3084" s="164"/>
      <c r="H3084" s="164"/>
      <c r="I3084" s="164"/>
      <c r="J3084" s="164"/>
    </row>
    <row r="3085" spans="7:10" x14ac:dyDescent="0.25">
      <c r="G3085" s="164"/>
      <c r="H3085" s="164"/>
      <c r="I3085" s="164"/>
      <c r="J3085" s="164"/>
    </row>
    <row r="3086" spans="7:10" x14ac:dyDescent="0.25">
      <c r="G3086" s="164"/>
      <c r="H3086" s="164"/>
      <c r="I3086" s="164"/>
      <c r="J3086" s="164"/>
    </row>
    <row r="3087" spans="7:10" x14ac:dyDescent="0.25">
      <c r="G3087" s="164"/>
      <c r="H3087" s="164"/>
      <c r="I3087" s="164"/>
      <c r="J3087" s="164"/>
    </row>
    <row r="3088" spans="7:10" x14ac:dyDescent="0.25">
      <c r="G3088" s="164"/>
      <c r="H3088" s="164"/>
      <c r="I3088" s="164"/>
      <c r="J3088" s="164"/>
    </row>
    <row r="3089" spans="7:10" x14ac:dyDescent="0.25">
      <c r="G3089" s="164"/>
      <c r="H3089" s="164"/>
      <c r="I3089" s="164"/>
      <c r="J3089" s="164"/>
    </row>
    <row r="3090" spans="7:10" x14ac:dyDescent="0.25">
      <c r="G3090" s="164"/>
      <c r="H3090" s="164"/>
      <c r="I3090" s="164"/>
      <c r="J3090" s="164"/>
    </row>
    <row r="3091" spans="7:10" x14ac:dyDescent="0.25">
      <c r="G3091" s="164"/>
      <c r="H3091" s="164"/>
      <c r="I3091" s="164"/>
      <c r="J3091" s="164"/>
    </row>
    <row r="3092" spans="7:10" x14ac:dyDescent="0.25">
      <c r="G3092" s="164"/>
      <c r="H3092" s="164"/>
      <c r="I3092" s="164"/>
      <c r="J3092" s="164"/>
    </row>
    <row r="3093" spans="7:10" x14ac:dyDescent="0.25">
      <c r="G3093" s="164"/>
      <c r="H3093" s="164"/>
      <c r="I3093" s="164"/>
      <c r="J3093" s="164"/>
    </row>
    <row r="3094" spans="7:10" x14ac:dyDescent="0.25">
      <c r="G3094" s="164"/>
      <c r="H3094" s="164"/>
      <c r="I3094" s="164"/>
      <c r="J3094" s="164"/>
    </row>
    <row r="3095" spans="7:10" x14ac:dyDescent="0.25">
      <c r="G3095" s="164"/>
      <c r="H3095" s="164"/>
      <c r="I3095" s="164"/>
      <c r="J3095" s="164"/>
    </row>
    <row r="3096" spans="7:10" x14ac:dyDescent="0.25">
      <c r="G3096" s="164"/>
      <c r="H3096" s="164"/>
      <c r="I3096" s="164"/>
      <c r="J3096" s="164"/>
    </row>
    <row r="3097" spans="7:10" x14ac:dyDescent="0.25">
      <c r="G3097" s="164"/>
      <c r="H3097" s="164"/>
      <c r="I3097" s="164"/>
      <c r="J3097" s="164"/>
    </row>
    <row r="3098" spans="7:10" x14ac:dyDescent="0.25">
      <c r="G3098" s="164"/>
      <c r="H3098" s="164"/>
      <c r="I3098" s="164"/>
      <c r="J3098" s="164"/>
    </row>
    <row r="3099" spans="7:10" x14ac:dyDescent="0.25">
      <c r="G3099" s="164"/>
      <c r="H3099" s="164"/>
      <c r="I3099" s="164"/>
      <c r="J3099" s="164"/>
    </row>
    <row r="3100" spans="7:10" x14ac:dyDescent="0.25">
      <c r="G3100" s="164"/>
      <c r="H3100" s="164"/>
      <c r="I3100" s="164"/>
      <c r="J3100" s="164"/>
    </row>
    <row r="3101" spans="7:10" x14ac:dyDescent="0.25">
      <c r="G3101" s="164"/>
      <c r="H3101" s="164"/>
      <c r="I3101" s="164"/>
      <c r="J3101" s="164"/>
    </row>
    <row r="3102" spans="7:10" x14ac:dyDescent="0.25">
      <c r="G3102" s="164"/>
      <c r="H3102" s="164"/>
      <c r="I3102" s="164"/>
      <c r="J3102" s="164"/>
    </row>
    <row r="3103" spans="7:10" x14ac:dyDescent="0.25">
      <c r="G3103" s="164"/>
      <c r="H3103" s="164"/>
      <c r="I3103" s="164"/>
      <c r="J3103" s="164"/>
    </row>
    <row r="3104" spans="7:10" x14ac:dyDescent="0.25">
      <c r="G3104" s="164"/>
      <c r="H3104" s="164"/>
      <c r="I3104" s="164"/>
      <c r="J3104" s="164"/>
    </row>
    <row r="3105" spans="7:10" x14ac:dyDescent="0.25">
      <c r="G3105" s="164"/>
      <c r="H3105" s="164"/>
      <c r="I3105" s="164"/>
      <c r="J3105" s="164"/>
    </row>
    <row r="3106" spans="7:10" x14ac:dyDescent="0.25">
      <c r="G3106" s="164"/>
      <c r="H3106" s="164"/>
      <c r="I3106" s="164"/>
      <c r="J3106" s="164"/>
    </row>
    <row r="3107" spans="7:10" x14ac:dyDescent="0.25">
      <c r="G3107" s="164"/>
      <c r="H3107" s="164"/>
      <c r="I3107" s="164"/>
      <c r="J3107" s="164"/>
    </row>
    <row r="3108" spans="7:10" x14ac:dyDescent="0.25">
      <c r="G3108" s="164"/>
      <c r="H3108" s="164"/>
      <c r="I3108" s="164"/>
      <c r="J3108" s="164"/>
    </row>
    <row r="3109" spans="7:10" x14ac:dyDescent="0.25">
      <c r="G3109" s="164"/>
      <c r="H3109" s="164"/>
      <c r="I3109" s="164"/>
      <c r="J3109" s="164"/>
    </row>
    <row r="3110" spans="7:10" x14ac:dyDescent="0.25">
      <c r="G3110" s="164"/>
      <c r="H3110" s="164"/>
      <c r="I3110" s="164"/>
      <c r="J3110" s="164"/>
    </row>
    <row r="3111" spans="7:10" x14ac:dyDescent="0.25">
      <c r="G3111" s="164"/>
      <c r="H3111" s="164"/>
      <c r="I3111" s="164"/>
      <c r="J3111" s="164"/>
    </row>
    <row r="3112" spans="7:10" x14ac:dyDescent="0.25">
      <c r="G3112" s="164"/>
      <c r="H3112" s="164"/>
      <c r="I3112" s="164"/>
      <c r="J3112" s="164"/>
    </row>
    <row r="3113" spans="7:10" x14ac:dyDescent="0.25">
      <c r="G3113" s="164"/>
      <c r="H3113" s="164"/>
      <c r="I3113" s="164"/>
      <c r="J3113" s="164"/>
    </row>
    <row r="3114" spans="7:10" x14ac:dyDescent="0.25">
      <c r="G3114" s="164"/>
      <c r="H3114" s="164"/>
      <c r="I3114" s="164"/>
      <c r="J3114" s="164"/>
    </row>
    <row r="3115" spans="7:10" x14ac:dyDescent="0.25">
      <c r="G3115" s="164"/>
      <c r="H3115" s="164"/>
      <c r="I3115" s="164"/>
      <c r="J3115" s="164"/>
    </row>
    <row r="3116" spans="7:10" x14ac:dyDescent="0.25">
      <c r="G3116" s="164"/>
      <c r="H3116" s="164"/>
      <c r="I3116" s="164"/>
      <c r="J3116" s="164"/>
    </row>
    <row r="3117" spans="7:10" x14ac:dyDescent="0.25">
      <c r="G3117" s="164"/>
      <c r="H3117" s="164"/>
      <c r="I3117" s="164"/>
      <c r="J3117" s="164"/>
    </row>
    <row r="3118" spans="7:10" x14ac:dyDescent="0.25">
      <c r="G3118" s="164"/>
      <c r="H3118" s="164"/>
      <c r="I3118" s="164"/>
      <c r="J3118" s="164"/>
    </row>
    <row r="3119" spans="7:10" x14ac:dyDescent="0.25">
      <c r="G3119" s="164"/>
      <c r="H3119" s="164"/>
      <c r="I3119" s="164"/>
      <c r="J3119" s="164"/>
    </row>
    <row r="3120" spans="7:10" x14ac:dyDescent="0.25">
      <c r="G3120" s="164"/>
      <c r="H3120" s="164"/>
      <c r="I3120" s="164"/>
      <c r="J3120" s="164"/>
    </row>
    <row r="3121" spans="7:10" x14ac:dyDescent="0.25">
      <c r="G3121" s="164"/>
      <c r="H3121" s="164"/>
      <c r="I3121" s="164"/>
      <c r="J3121" s="164"/>
    </row>
    <row r="3122" spans="7:10" x14ac:dyDescent="0.25">
      <c r="G3122" s="164"/>
      <c r="H3122" s="164"/>
      <c r="I3122" s="164"/>
      <c r="J3122" s="164"/>
    </row>
    <row r="3123" spans="7:10" x14ac:dyDescent="0.25">
      <c r="G3123" s="164"/>
      <c r="H3123" s="164"/>
      <c r="I3123" s="164"/>
      <c r="J3123" s="164"/>
    </row>
    <row r="3124" spans="7:10" x14ac:dyDescent="0.25">
      <c r="G3124" s="164"/>
      <c r="H3124" s="164"/>
      <c r="I3124" s="164"/>
      <c r="J3124" s="164"/>
    </row>
    <row r="3125" spans="7:10" x14ac:dyDescent="0.25">
      <c r="G3125" s="164"/>
      <c r="H3125" s="164"/>
      <c r="I3125" s="164"/>
      <c r="J3125" s="164"/>
    </row>
    <row r="3126" spans="7:10" x14ac:dyDescent="0.25">
      <c r="G3126" s="164"/>
      <c r="H3126" s="164"/>
      <c r="I3126" s="164"/>
      <c r="J3126" s="164"/>
    </row>
    <row r="3127" spans="7:10" x14ac:dyDescent="0.25">
      <c r="G3127" s="164"/>
      <c r="H3127" s="164"/>
      <c r="I3127" s="164"/>
      <c r="J3127" s="164"/>
    </row>
    <row r="3128" spans="7:10" x14ac:dyDescent="0.25">
      <c r="G3128" s="164"/>
      <c r="H3128" s="164"/>
      <c r="I3128" s="164"/>
      <c r="J3128" s="164"/>
    </row>
    <row r="3129" spans="7:10" x14ac:dyDescent="0.25">
      <c r="G3129" s="164"/>
      <c r="H3129" s="164"/>
      <c r="I3129" s="164"/>
      <c r="J3129" s="164"/>
    </row>
    <row r="3130" spans="7:10" x14ac:dyDescent="0.25">
      <c r="G3130" s="164"/>
      <c r="H3130" s="164"/>
      <c r="I3130" s="164"/>
      <c r="J3130" s="164"/>
    </row>
    <row r="3131" spans="7:10" x14ac:dyDescent="0.25">
      <c r="G3131" s="164"/>
      <c r="H3131" s="164"/>
      <c r="I3131" s="164"/>
      <c r="J3131" s="164"/>
    </row>
    <row r="3132" spans="7:10" x14ac:dyDescent="0.25">
      <c r="G3132" s="164"/>
      <c r="H3132" s="164"/>
      <c r="I3132" s="164"/>
      <c r="J3132" s="164"/>
    </row>
    <row r="3133" spans="7:10" x14ac:dyDescent="0.25">
      <c r="G3133" s="164"/>
      <c r="H3133" s="164"/>
      <c r="I3133" s="164"/>
      <c r="J3133" s="164"/>
    </row>
    <row r="3134" spans="7:10" x14ac:dyDescent="0.25">
      <c r="G3134" s="164"/>
      <c r="H3134" s="164"/>
      <c r="I3134" s="164"/>
      <c r="J3134" s="164"/>
    </row>
    <row r="3135" spans="7:10" x14ac:dyDescent="0.25">
      <c r="G3135" s="164"/>
      <c r="H3135" s="164"/>
      <c r="I3135" s="164"/>
      <c r="J3135" s="164"/>
    </row>
    <row r="3136" spans="7:10" x14ac:dyDescent="0.25">
      <c r="G3136" s="164"/>
      <c r="H3136" s="164"/>
      <c r="I3136" s="164"/>
      <c r="J3136" s="164"/>
    </row>
    <row r="3137" spans="7:10" x14ac:dyDescent="0.25">
      <c r="G3137" s="164"/>
      <c r="H3137" s="164"/>
      <c r="I3137" s="164"/>
      <c r="J3137" s="164"/>
    </row>
    <row r="3138" spans="7:10" x14ac:dyDescent="0.25">
      <c r="G3138" s="164"/>
      <c r="H3138" s="164"/>
      <c r="I3138" s="164"/>
      <c r="J3138" s="164"/>
    </row>
    <row r="3139" spans="7:10" x14ac:dyDescent="0.25">
      <c r="G3139" s="164"/>
      <c r="H3139" s="164"/>
      <c r="I3139" s="164"/>
      <c r="J3139" s="164"/>
    </row>
    <row r="3140" spans="7:10" x14ac:dyDescent="0.25">
      <c r="G3140" s="164"/>
      <c r="H3140" s="164"/>
      <c r="I3140" s="164"/>
      <c r="J3140" s="164"/>
    </row>
    <row r="3141" spans="7:10" x14ac:dyDescent="0.25">
      <c r="G3141" s="164"/>
      <c r="H3141" s="164"/>
      <c r="I3141" s="164"/>
      <c r="J3141" s="164"/>
    </row>
    <row r="3142" spans="7:10" x14ac:dyDescent="0.25">
      <c r="G3142" s="164"/>
      <c r="H3142" s="164"/>
      <c r="I3142" s="164"/>
      <c r="J3142" s="164"/>
    </row>
    <row r="3143" spans="7:10" x14ac:dyDescent="0.25">
      <c r="G3143" s="164"/>
      <c r="H3143" s="164"/>
      <c r="I3143" s="164"/>
      <c r="J3143" s="164"/>
    </row>
    <row r="3144" spans="7:10" x14ac:dyDescent="0.25">
      <c r="G3144" s="164"/>
      <c r="H3144" s="164"/>
      <c r="I3144" s="164"/>
      <c r="J3144" s="164"/>
    </row>
    <row r="3145" spans="7:10" x14ac:dyDescent="0.25">
      <c r="G3145" s="164"/>
      <c r="H3145" s="164"/>
      <c r="I3145" s="164"/>
      <c r="J3145" s="164"/>
    </row>
    <row r="3146" spans="7:10" x14ac:dyDescent="0.25">
      <c r="G3146" s="164"/>
      <c r="H3146" s="164"/>
      <c r="I3146" s="164"/>
      <c r="J3146" s="164"/>
    </row>
    <row r="3147" spans="7:10" x14ac:dyDescent="0.25">
      <c r="G3147" s="164"/>
      <c r="H3147" s="164"/>
      <c r="I3147" s="164"/>
      <c r="J3147" s="164"/>
    </row>
    <row r="3148" spans="7:10" x14ac:dyDescent="0.25">
      <c r="G3148" s="164"/>
      <c r="H3148" s="164"/>
      <c r="I3148" s="164"/>
      <c r="J3148" s="164"/>
    </row>
    <row r="3149" spans="7:10" x14ac:dyDescent="0.25">
      <c r="G3149" s="164"/>
      <c r="H3149" s="164"/>
      <c r="I3149" s="164"/>
      <c r="J3149" s="164"/>
    </row>
    <row r="3150" spans="7:10" x14ac:dyDescent="0.25">
      <c r="G3150" s="164"/>
      <c r="H3150" s="164"/>
      <c r="I3150" s="164"/>
      <c r="J3150" s="164"/>
    </row>
    <row r="3151" spans="7:10" x14ac:dyDescent="0.25">
      <c r="G3151" s="164"/>
      <c r="H3151" s="164"/>
      <c r="I3151" s="164"/>
      <c r="J3151" s="164"/>
    </row>
    <row r="3152" spans="7:10" x14ac:dyDescent="0.25">
      <c r="G3152" s="164"/>
      <c r="H3152" s="164"/>
      <c r="I3152" s="164"/>
      <c r="J3152" s="164"/>
    </row>
    <row r="3153" spans="7:10" x14ac:dyDescent="0.25">
      <c r="G3153" s="164"/>
      <c r="H3153" s="164"/>
      <c r="I3153" s="164"/>
      <c r="J3153" s="164"/>
    </row>
    <row r="3154" spans="7:10" x14ac:dyDescent="0.25">
      <c r="G3154" s="164"/>
      <c r="H3154" s="164"/>
      <c r="I3154" s="164"/>
      <c r="J3154" s="164"/>
    </row>
    <row r="3155" spans="7:10" x14ac:dyDescent="0.25">
      <c r="G3155" s="164"/>
      <c r="H3155" s="164"/>
      <c r="I3155" s="164"/>
      <c r="J3155" s="164"/>
    </row>
    <row r="3156" spans="7:10" x14ac:dyDescent="0.25">
      <c r="G3156" s="164"/>
      <c r="H3156" s="164"/>
      <c r="I3156" s="164"/>
      <c r="J3156" s="164"/>
    </row>
    <row r="3157" spans="7:10" x14ac:dyDescent="0.25">
      <c r="G3157" s="164"/>
      <c r="H3157" s="164"/>
      <c r="I3157" s="164"/>
      <c r="J3157" s="164"/>
    </row>
    <row r="3158" spans="7:10" x14ac:dyDescent="0.25">
      <c r="G3158" s="164"/>
      <c r="H3158" s="164"/>
      <c r="I3158" s="164"/>
      <c r="J3158" s="164"/>
    </row>
    <row r="3159" spans="7:10" x14ac:dyDescent="0.25">
      <c r="G3159" s="164"/>
      <c r="H3159" s="164"/>
      <c r="I3159" s="164"/>
      <c r="J3159" s="164"/>
    </row>
    <row r="3160" spans="7:10" x14ac:dyDescent="0.25">
      <c r="G3160" s="164"/>
      <c r="H3160" s="164"/>
      <c r="I3160" s="164"/>
      <c r="J3160" s="164"/>
    </row>
    <row r="3161" spans="7:10" x14ac:dyDescent="0.25">
      <c r="G3161" s="164"/>
      <c r="H3161" s="164"/>
      <c r="I3161" s="164"/>
      <c r="J3161" s="164"/>
    </row>
    <row r="3162" spans="7:10" x14ac:dyDescent="0.25">
      <c r="G3162" s="164"/>
      <c r="H3162" s="164"/>
      <c r="I3162" s="164"/>
      <c r="J3162" s="164"/>
    </row>
    <row r="3163" spans="7:10" x14ac:dyDescent="0.25">
      <c r="G3163" s="164"/>
      <c r="H3163" s="164"/>
      <c r="I3163" s="164"/>
      <c r="J3163" s="164"/>
    </row>
    <row r="3164" spans="7:10" x14ac:dyDescent="0.25">
      <c r="G3164" s="164"/>
      <c r="H3164" s="164"/>
      <c r="I3164" s="164"/>
      <c r="J3164" s="164"/>
    </row>
    <row r="3165" spans="7:10" x14ac:dyDescent="0.25">
      <c r="G3165" s="164"/>
      <c r="J3165" s="164"/>
    </row>
    <row r="3166" spans="7:10" x14ac:dyDescent="0.25">
      <c r="G3166" s="164"/>
      <c r="J3166" s="164"/>
    </row>
    <row r="3167" spans="7:10" x14ac:dyDescent="0.25">
      <c r="G3167" s="164"/>
      <c r="J3167" s="164"/>
    </row>
    <row r="3168" spans="7:10" x14ac:dyDescent="0.25">
      <c r="G3168" s="164"/>
      <c r="J3168" s="164"/>
    </row>
    <row r="3169" spans="7:10" x14ac:dyDescent="0.25">
      <c r="G3169" s="164"/>
      <c r="J3169" s="164"/>
    </row>
    <row r="3170" spans="7:10" x14ac:dyDescent="0.25">
      <c r="G3170" s="164"/>
      <c r="J3170" s="164"/>
    </row>
    <row r="3171" spans="7:10" x14ac:dyDescent="0.25">
      <c r="G3171" s="164"/>
      <c r="J3171" s="164"/>
    </row>
    <row r="3172" spans="7:10" x14ac:dyDescent="0.25">
      <c r="G3172" s="164"/>
      <c r="J3172" s="164"/>
    </row>
  </sheetData>
  <mergeCells count="4">
    <mergeCell ref="E1:F1"/>
    <mergeCell ref="AD1:AJ1"/>
    <mergeCell ref="A1:B1"/>
    <mergeCell ref="C1:D1"/>
  </mergeCells>
  <phoneticPr fontId="23" type="noConversion"/>
  <pageMargins left="0.511811024" right="0.511811024" top="0.78740157499999996" bottom="0.78740157499999996" header="0.31496062000000002" footer="0.31496062000000002"/>
  <pageSetup paperSize="9" orientation="portrait" r:id="rId1"/>
  <ignoredErrors>
    <ignoredError sqref="AE2:AE37" evalError="1"/>
  </ignoredErrors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"/>
  <dimension ref="W1:AC1903"/>
  <sheetViews>
    <sheetView topLeftCell="W1" workbookViewId="0">
      <selection activeCell="W1" sqref="W1"/>
    </sheetView>
  </sheetViews>
  <sheetFormatPr defaultColWidth="0" defaultRowHeight="12.5" x14ac:dyDescent="0.25"/>
  <cols>
    <col min="1" max="22" width="9.26953125" style="11" hidden="1" customWidth="1"/>
    <col min="23" max="23" width="2.7265625" style="11" customWidth="1"/>
    <col min="24" max="24" width="27.54296875" style="81" bestFit="1" customWidth="1"/>
    <col min="25" max="26" width="2.7265625" style="11" customWidth="1"/>
    <col min="27" max="28" width="20.7265625" style="382" customWidth="1"/>
    <col min="29" max="29" width="2.7265625" style="11" customWidth="1"/>
    <col min="30" max="16384" width="9.26953125" style="11" hidden="1"/>
  </cols>
  <sheetData>
    <row r="1" spans="24:28" ht="13.5" thickBot="1" x14ac:dyDescent="0.3">
      <c r="X1" s="358" t="s">
        <v>806</v>
      </c>
      <c r="AA1" s="380"/>
      <c r="AB1" s="380"/>
    </row>
    <row r="2" spans="24:28" ht="13" thickBot="1" x14ac:dyDescent="0.3">
      <c r="X2" s="82"/>
      <c r="AA2" s="381"/>
      <c r="AB2" s="381" t="str" cm="1">
        <f t="array" ref="AB2">IF(ISNUMBER(AA2), IFERROR(VALUE(RIGHT(AA2,LEN(AA2)-MIN(FIND({0;1;2;3;4;5;6;7;8;9},AA2&amp;"0123456789"))+1)),""), "")</f>
        <v/>
      </c>
    </row>
    <row r="3" spans="24:28" ht="13" x14ac:dyDescent="0.25">
      <c r="X3" s="83" t="s">
        <v>807</v>
      </c>
      <c r="AA3" s="381"/>
      <c r="AB3" s="381" t="str" cm="1">
        <f t="array" ref="AB3">IF(ISNUMBER(AA3), IFERROR(VALUE(RIGHT(AA3,LEN(AA3)-MIN(FIND({0;1;2;3;4;5;6;7;8;9},AA3&amp;"0123456789"))+1)),""), "")</f>
        <v/>
      </c>
    </row>
    <row r="4" spans="24:28" ht="13" thickBot="1" x14ac:dyDescent="0.3">
      <c r="X4" s="82"/>
      <c r="AA4" s="381"/>
      <c r="AB4" s="381" t="str" cm="1">
        <f t="array" ref="AB4">IF(ISNUMBER(AA4), IFERROR(VALUE(RIGHT(AA4,LEN(AA4)-MIN(FIND({0;1;2;3;4;5;6;7;8;9},AA4&amp;"0123456789"))+1)),""), "")</f>
        <v/>
      </c>
    </row>
    <row r="5" spans="24:28" ht="12.75" customHeight="1" x14ac:dyDescent="0.25">
      <c r="X5" s="84" t="s">
        <v>808</v>
      </c>
      <c r="AA5" s="381"/>
      <c r="AB5" s="381" t="str" cm="1">
        <f t="array" ref="AB5">IF(ISNUMBER(AA5), IFERROR(VALUE(RIGHT(AA5,LEN(AA5)-MIN(FIND({0;1;2;3;4;5;6;7;8;9},AA5&amp;"0123456789"))+1)),""), "")</f>
        <v/>
      </c>
    </row>
    <row r="6" spans="24:28" ht="13.5" customHeight="1" thickBot="1" x14ac:dyDescent="0.3">
      <c r="X6" s="85">
        <f>SUM(AB:AB)</f>
        <v>0</v>
      </c>
      <c r="AA6" s="381"/>
      <c r="AB6" s="381" t="str" cm="1">
        <f t="array" ref="AB6">IF(ISNUMBER(AA6), IFERROR(VALUE(RIGHT(AA6,LEN(AA6)-MIN(FIND({0;1;2;3;4;5;6;7;8;9},AA6&amp;"0123456789"))+1)),""), "")</f>
        <v/>
      </c>
    </row>
    <row r="7" spans="24:28" ht="13" thickBot="1" x14ac:dyDescent="0.3">
      <c r="AA7" s="381"/>
      <c r="AB7" s="381" t="str" cm="1">
        <f t="array" ref="AB7">IF(ISNUMBER(AA7), IFERROR(VALUE(RIGHT(AA7,LEN(AA7)-MIN(FIND({0;1;2;3;4;5;6;7;8;9},AA7&amp;"0123456789"))+1)),""), "")</f>
        <v/>
      </c>
    </row>
    <row r="8" spans="24:28" x14ac:dyDescent="0.25">
      <c r="X8" s="683" t="s">
        <v>809</v>
      </c>
      <c r="AA8" s="381"/>
      <c r="AB8" s="381" t="str" cm="1">
        <f t="array" ref="AB8">IF(ISNUMBER(AA8), IFERROR(VALUE(RIGHT(AA8,LEN(AA8)-MIN(FIND({0;1;2;3;4;5;6;7;8;9},AA8&amp;"0123456789"))+1)),""), "")</f>
        <v/>
      </c>
    </row>
    <row r="9" spans="24:28" ht="13" thickBot="1" x14ac:dyDescent="0.3">
      <c r="X9" s="684"/>
      <c r="AA9" s="381"/>
      <c r="AB9" s="381" t="str" cm="1">
        <f t="array" ref="AB9">IF(ISNUMBER(AA9), IFERROR(VALUE(RIGHT(AA9,LEN(AA9)-MIN(FIND({0;1;2;3;4;5;6;7;8;9},AA9&amp;"0123456789"))+1)),""), "")</f>
        <v/>
      </c>
    </row>
    <row r="10" spans="24:28" x14ac:dyDescent="0.25">
      <c r="AA10" s="381"/>
      <c r="AB10" s="381" t="str" cm="1">
        <f t="array" ref="AB10">IF(ISNUMBER(AA10), IFERROR(VALUE(RIGHT(AA10,LEN(AA10)-MIN(FIND({0;1;2;3;4;5;6;7;8;9},AA10&amp;"0123456789"))+1)),""), "")</f>
        <v/>
      </c>
    </row>
    <row r="11" spans="24:28" x14ac:dyDescent="0.25">
      <c r="AA11" s="381"/>
      <c r="AB11" s="381" t="str" cm="1">
        <f t="array" ref="AB11">IF(ISNUMBER(AA11), IFERROR(VALUE(RIGHT(AA11,LEN(AA11)-MIN(FIND({0;1;2;3;4;5;6;7;8;9},AA11&amp;"0123456789"))+1)),""), "")</f>
        <v/>
      </c>
    </row>
    <row r="12" spans="24:28" x14ac:dyDescent="0.25">
      <c r="AA12" s="381"/>
      <c r="AB12" s="381" t="str" cm="1">
        <f t="array" ref="AB12">IF(ISNUMBER(AA12), IFERROR(VALUE(RIGHT(AA12,LEN(AA12)-MIN(FIND({0;1;2;3;4;5;6;7;8;9},AA12&amp;"0123456789"))+1)),""), "")</f>
        <v/>
      </c>
    </row>
    <row r="13" spans="24:28" x14ac:dyDescent="0.25">
      <c r="AB13" s="381" t="str" cm="1">
        <f t="array" ref="AB13">IF(ISNUMBER(AA13), IFERROR(VALUE(RIGHT(AA13,LEN(AA13)-MIN(FIND({0;1;2;3;4;5;6;7;8;9},AA13&amp;"0123456789"))+1)),""), "")</f>
        <v/>
      </c>
    </row>
    <row r="14" spans="24:28" x14ac:dyDescent="0.25">
      <c r="AB14" s="381" t="str" cm="1">
        <f t="array" ref="AB14">IF(ISNUMBER(AA14), IFERROR(VALUE(RIGHT(AA14,LEN(AA14)-MIN(FIND({0;1;2;3;4;5;6;7;8;9},AA14&amp;"0123456789"))+1)),""), "")</f>
        <v/>
      </c>
    </row>
    <row r="15" spans="24:28" x14ac:dyDescent="0.25">
      <c r="AA15" s="381"/>
      <c r="AB15" s="381" t="str" cm="1">
        <f t="array" ref="AB15">IF(ISNUMBER(AA15), IFERROR(VALUE(RIGHT(AA15,LEN(AA15)-MIN(FIND({0;1;2;3;4;5;6;7;8;9},AA15&amp;"0123456789"))+1)),""), "")</f>
        <v/>
      </c>
    </row>
    <row r="16" spans="24:28" x14ac:dyDescent="0.25">
      <c r="AB16" s="381" t="str" cm="1">
        <f t="array" ref="AB16">IF(ISNUMBER(AA16), IFERROR(VALUE(RIGHT(AA16,LEN(AA16)-MIN(FIND({0;1;2;3;4;5;6;7;8;9},AA16&amp;"0123456789"))+1)),""), "")</f>
        <v/>
      </c>
    </row>
    <row r="17" spans="28:28" x14ac:dyDescent="0.25">
      <c r="AB17" s="381" t="str" cm="1">
        <f t="array" ref="AB17">IF(ISNUMBER(AA17), IFERROR(VALUE(RIGHT(AA17,LEN(AA17)-MIN(FIND({0;1;2;3;4;5;6;7;8;9},AA17&amp;"0123456789"))+1)),""), "")</f>
        <v/>
      </c>
    </row>
    <row r="18" spans="28:28" x14ac:dyDescent="0.25">
      <c r="AB18" s="381" t="str" cm="1">
        <f t="array" ref="AB18">IF(ISNUMBER(AA18), IFERROR(VALUE(RIGHT(AA18,LEN(AA18)-MIN(FIND({0;1;2;3;4;5;6;7;8;9},AA18&amp;"0123456789"))+1)),""), "")</f>
        <v/>
      </c>
    </row>
    <row r="19" spans="28:28" x14ac:dyDescent="0.25">
      <c r="AB19" s="381" t="str" cm="1">
        <f t="array" ref="AB19">IF(ISNUMBER(AA19), IFERROR(VALUE(RIGHT(AA19,LEN(AA19)-MIN(FIND({0;1;2;3;4;5;6;7;8;9},AA19&amp;"0123456789"))+1)),""), "")</f>
        <v/>
      </c>
    </row>
    <row r="20" spans="28:28" x14ac:dyDescent="0.25">
      <c r="AB20" s="381" t="str" cm="1">
        <f t="array" ref="AB20">IF(ISNUMBER(AA20), IFERROR(VALUE(RIGHT(AA20,LEN(AA20)-MIN(FIND({0;1;2;3;4;5;6;7;8;9},AA20&amp;"0123456789"))+1)),""), "")</f>
        <v/>
      </c>
    </row>
    <row r="21" spans="28:28" x14ac:dyDescent="0.25">
      <c r="AB21" s="381" t="str" cm="1">
        <f t="array" ref="AB21">IF(ISNUMBER(AA21), IFERROR(VALUE(RIGHT(AA21,LEN(AA21)-MIN(FIND({0;1;2;3;4;5;6;7;8;9},AA21&amp;"0123456789"))+1)),""), "")</f>
        <v/>
      </c>
    </row>
    <row r="22" spans="28:28" x14ac:dyDescent="0.25">
      <c r="AB22" s="381" t="str" cm="1">
        <f t="array" ref="AB22">IF(ISNUMBER(AA22), IFERROR(VALUE(RIGHT(AA22,LEN(AA22)-MIN(FIND({0;1;2;3;4;5;6;7;8;9},AA22&amp;"0123456789"))+1)),""), "")</f>
        <v/>
      </c>
    </row>
    <row r="23" spans="28:28" x14ac:dyDescent="0.25">
      <c r="AB23" s="381" t="str" cm="1">
        <f t="array" ref="AB23">IF(ISNUMBER(AA23), IFERROR(VALUE(RIGHT(AA23,LEN(AA23)-MIN(FIND({0;1;2;3;4;5;6;7;8;9},AA23&amp;"0123456789"))+1)),""), "")</f>
        <v/>
      </c>
    </row>
    <row r="24" spans="28:28" x14ac:dyDescent="0.25">
      <c r="AB24" s="381" t="str" cm="1">
        <f t="array" ref="AB24">IF(ISNUMBER(AA24), IFERROR(VALUE(RIGHT(AA24,LEN(AA24)-MIN(FIND({0;1;2;3;4;5;6;7;8;9},AA24&amp;"0123456789"))+1)),""), "")</f>
        <v/>
      </c>
    </row>
    <row r="25" spans="28:28" x14ac:dyDescent="0.25">
      <c r="AB25" s="381" t="str" cm="1">
        <f t="array" ref="AB25">IF(ISNUMBER(AA25), IFERROR(VALUE(RIGHT(AA25,LEN(AA25)-MIN(FIND({0;1;2;3;4;5;6;7;8;9},AA25&amp;"0123456789"))+1)),""), "")</f>
        <v/>
      </c>
    </row>
    <row r="26" spans="28:28" x14ac:dyDescent="0.25">
      <c r="AB26" s="381" t="str" cm="1">
        <f t="array" ref="AB26">IF(ISNUMBER(AA26), IFERROR(VALUE(RIGHT(AA26,LEN(AA26)-MIN(FIND({0;1;2;3;4;5;6;7;8;9},AA26&amp;"0123456789"))+1)),""), "")</f>
        <v/>
      </c>
    </row>
    <row r="27" spans="28:28" x14ac:dyDescent="0.25">
      <c r="AB27" s="381" t="str" cm="1">
        <f t="array" ref="AB27">IF(ISNUMBER(AA27), IFERROR(VALUE(RIGHT(AA27,LEN(AA27)-MIN(FIND({0;1;2;3;4;5;6;7;8;9},AA27&amp;"0123456789"))+1)),""), "")</f>
        <v/>
      </c>
    </row>
    <row r="28" spans="28:28" x14ac:dyDescent="0.25">
      <c r="AB28" s="381" t="str" cm="1">
        <f t="array" ref="AB28">IF(ISNUMBER(AA28), IFERROR(VALUE(RIGHT(AA28,LEN(AA28)-MIN(FIND({0;1;2;3;4;5;6;7;8;9},AA28&amp;"0123456789"))+1)),""), "")</f>
        <v/>
      </c>
    </row>
    <row r="29" spans="28:28" x14ac:dyDescent="0.25">
      <c r="AB29" s="381" t="str" cm="1">
        <f t="array" ref="AB29">IF(ISNUMBER(AA29), IFERROR(VALUE(RIGHT(AA29,LEN(AA29)-MIN(FIND({0;1;2;3;4;5;6;7;8;9},AA29&amp;"0123456789"))+1)),""), "")</f>
        <v/>
      </c>
    </row>
    <row r="30" spans="28:28" x14ac:dyDescent="0.25">
      <c r="AB30" s="381" t="str" cm="1">
        <f t="array" ref="AB30">IF(ISNUMBER(AA30), IFERROR(VALUE(RIGHT(AA30,LEN(AA30)-MIN(FIND({0;1;2;3;4;5;6;7;8;9},AA30&amp;"0123456789"))+1)),""), "")</f>
        <v/>
      </c>
    </row>
    <row r="31" spans="28:28" x14ac:dyDescent="0.25">
      <c r="AB31" s="381" t="str" cm="1">
        <f t="array" ref="AB31">IF(ISNUMBER(AA31), IFERROR(VALUE(RIGHT(AA31,LEN(AA31)-MIN(FIND({0;1;2;3;4;5;6;7;8;9},AA31&amp;"0123456789"))+1)),""), "")</f>
        <v/>
      </c>
    </row>
    <row r="32" spans="28:28" x14ac:dyDescent="0.25">
      <c r="AB32" s="381" t="str" cm="1">
        <f t="array" ref="AB32">IF(ISNUMBER(AA32), IFERROR(VALUE(RIGHT(AA32,LEN(AA32)-MIN(FIND({0;1;2;3;4;5;6;7;8;9},AA32&amp;"0123456789"))+1)),""), "")</f>
        <v/>
      </c>
    </row>
    <row r="33" spans="28:28" x14ac:dyDescent="0.25">
      <c r="AB33" s="381" t="str" cm="1">
        <f t="array" ref="AB33">IF(ISNUMBER(AA33), IFERROR(VALUE(RIGHT(AA33,LEN(AA33)-MIN(FIND({0;1;2;3;4;5;6;7;8;9},AA33&amp;"0123456789"))+1)),""), "")</f>
        <v/>
      </c>
    </row>
    <row r="34" spans="28:28" x14ac:dyDescent="0.25">
      <c r="AB34" s="381" t="str" cm="1">
        <f t="array" ref="AB34">IF(ISNUMBER(AA34), IFERROR(VALUE(RIGHT(AA34,LEN(AA34)-MIN(FIND({0;1;2;3;4;5;6;7;8;9},AA34&amp;"0123456789"))+1)),""), "")</f>
        <v/>
      </c>
    </row>
    <row r="35" spans="28:28" x14ac:dyDescent="0.25">
      <c r="AB35" s="381" t="str" cm="1">
        <f t="array" ref="AB35">IF(ISNUMBER(AA35), IFERROR(VALUE(RIGHT(AA35,LEN(AA35)-MIN(FIND({0;1;2;3;4;5;6;7;8;9},AA35&amp;"0123456789"))+1)),""), "")</f>
        <v/>
      </c>
    </row>
    <row r="36" spans="28:28" x14ac:dyDescent="0.25">
      <c r="AB36" s="381" t="str" cm="1">
        <f t="array" ref="AB36">IF(ISNUMBER(AA36), IFERROR(VALUE(RIGHT(AA36,LEN(AA36)-MIN(FIND({0;1;2;3;4;5;6;7;8;9},AA36&amp;"0123456789"))+1)),""), "")</f>
        <v/>
      </c>
    </row>
    <row r="37" spans="28:28" x14ac:dyDescent="0.25">
      <c r="AB37" s="381" t="str" cm="1">
        <f t="array" ref="AB37">IF(ISNUMBER(AA37), IFERROR(VALUE(RIGHT(AA37,LEN(AA37)-MIN(FIND({0;1;2;3;4;5;6;7;8;9},AA37&amp;"0123456789"))+1)),""), "")</f>
        <v/>
      </c>
    </row>
    <row r="38" spans="28:28" x14ac:dyDescent="0.25">
      <c r="AB38" s="381" t="str" cm="1">
        <f t="array" ref="AB38">IF(ISNUMBER(AA38), IFERROR(VALUE(RIGHT(AA38,LEN(AA38)-MIN(FIND({0;1;2;3;4;5;6;7;8;9},AA38&amp;"0123456789"))+1)),""), "")</f>
        <v/>
      </c>
    </row>
    <row r="39" spans="28:28" x14ac:dyDescent="0.25">
      <c r="AB39" s="381" t="str" cm="1">
        <f t="array" ref="AB39">IF(ISNUMBER(AA39), IFERROR(VALUE(RIGHT(AA39,LEN(AA39)-MIN(FIND({0;1;2;3;4;5;6;7;8;9},AA39&amp;"0123456789"))+1)),""), "")</f>
        <v/>
      </c>
    </row>
    <row r="40" spans="28:28" x14ac:dyDescent="0.25">
      <c r="AB40" s="381" t="str" cm="1">
        <f t="array" ref="AB40">IF(ISNUMBER(AA40), IFERROR(VALUE(RIGHT(AA40,LEN(AA40)-MIN(FIND({0;1;2;3;4;5;6;7;8;9},AA40&amp;"0123456789"))+1)),""), "")</f>
        <v/>
      </c>
    </row>
    <row r="41" spans="28:28" x14ac:dyDescent="0.25">
      <c r="AB41" s="381" t="str" cm="1">
        <f t="array" ref="AB41">IF(ISNUMBER(AA41), IFERROR(VALUE(RIGHT(AA41,LEN(AA41)-MIN(FIND({0;1;2;3;4;5;6;7;8;9},AA41&amp;"0123456789"))+1)),""), "")</f>
        <v/>
      </c>
    </row>
    <row r="42" spans="28:28" x14ac:dyDescent="0.25">
      <c r="AB42" s="381" t="str" cm="1">
        <f t="array" ref="AB42">IF(ISNUMBER(AA42), IFERROR(VALUE(RIGHT(AA42,LEN(AA42)-MIN(FIND({0;1;2;3;4;5;6;7;8;9},AA42&amp;"0123456789"))+1)),""), "")</f>
        <v/>
      </c>
    </row>
    <row r="43" spans="28:28" x14ac:dyDescent="0.25">
      <c r="AB43" s="381" t="str" cm="1">
        <f t="array" ref="AB43">IF(ISNUMBER(AA43), IFERROR(VALUE(RIGHT(AA43,LEN(AA43)-MIN(FIND({0;1;2;3;4;5;6;7;8;9},AA43&amp;"0123456789"))+1)),""), "")</f>
        <v/>
      </c>
    </row>
    <row r="44" spans="28:28" x14ac:dyDescent="0.25">
      <c r="AB44" s="381" t="str" cm="1">
        <f t="array" ref="AB44">IF(ISNUMBER(AA44), IFERROR(VALUE(RIGHT(AA44,LEN(AA44)-MIN(FIND({0;1;2;3;4;5;6;7;8;9},AA44&amp;"0123456789"))+1)),""), "")</f>
        <v/>
      </c>
    </row>
    <row r="45" spans="28:28" x14ac:dyDescent="0.25">
      <c r="AB45" s="381" t="str" cm="1">
        <f t="array" ref="AB45">IF(ISNUMBER(AA45), IFERROR(VALUE(RIGHT(AA45,LEN(AA45)-MIN(FIND({0;1;2;3;4;5;6;7;8;9},AA45&amp;"0123456789"))+1)),""), "")</f>
        <v/>
      </c>
    </row>
    <row r="46" spans="28:28" x14ac:dyDescent="0.25">
      <c r="AB46" s="381" t="str" cm="1">
        <f t="array" ref="AB46">IF(ISNUMBER(AA46), IFERROR(VALUE(RIGHT(AA46,LEN(AA46)-MIN(FIND({0;1;2;3;4;5;6;7;8;9},AA46&amp;"0123456789"))+1)),""), "")</f>
        <v/>
      </c>
    </row>
    <row r="47" spans="28:28" x14ac:dyDescent="0.25">
      <c r="AB47" s="381" t="str" cm="1">
        <f t="array" ref="AB47">IF(ISNUMBER(AA47), IFERROR(VALUE(RIGHT(AA47,LEN(AA47)-MIN(FIND({0;1;2;3;4;5;6;7;8;9},AA47&amp;"0123456789"))+1)),""), "")</f>
        <v/>
      </c>
    </row>
    <row r="48" spans="28:28" x14ac:dyDescent="0.25">
      <c r="AB48" s="381" t="str" cm="1">
        <f t="array" ref="AB48">IF(ISNUMBER(AA48), IFERROR(VALUE(RIGHT(AA48,LEN(AA48)-MIN(FIND({0;1;2;3;4;5;6;7;8;9},AA48&amp;"0123456789"))+1)),""), "")</f>
        <v/>
      </c>
    </row>
    <row r="49" spans="28:28" x14ac:dyDescent="0.25">
      <c r="AB49" s="381" t="str" cm="1">
        <f t="array" ref="AB49">IF(ISNUMBER(AA49), IFERROR(VALUE(RIGHT(AA49,LEN(AA49)-MIN(FIND({0;1;2;3;4;5;6;7;8;9},AA49&amp;"0123456789"))+1)),""), "")</f>
        <v/>
      </c>
    </row>
    <row r="50" spans="28:28" x14ac:dyDescent="0.25">
      <c r="AB50" s="381" t="str" cm="1">
        <f t="array" ref="AB50">IF(ISNUMBER(AA50), IFERROR(VALUE(RIGHT(AA50,LEN(AA50)-MIN(FIND({0;1;2;3;4;5;6;7;8;9},AA50&amp;"0123456789"))+1)),""), "")</f>
        <v/>
      </c>
    </row>
    <row r="51" spans="28:28" x14ac:dyDescent="0.25">
      <c r="AB51" s="381" t="str" cm="1">
        <f t="array" ref="AB51">IF(ISNUMBER(AA51), IFERROR(VALUE(RIGHT(AA51,LEN(AA51)-MIN(FIND({0;1;2;3;4;5;6;7;8;9},AA51&amp;"0123456789"))+1)),""), "")</f>
        <v/>
      </c>
    </row>
    <row r="52" spans="28:28" x14ac:dyDescent="0.25">
      <c r="AB52" s="381" t="str" cm="1">
        <f t="array" ref="AB52">IF(ISNUMBER(AA52), IFERROR(VALUE(RIGHT(AA52,LEN(AA52)-MIN(FIND({0;1;2;3;4;5;6;7;8;9},AA52&amp;"0123456789"))+1)),""), "")</f>
        <v/>
      </c>
    </row>
    <row r="53" spans="28:28" x14ac:dyDescent="0.25">
      <c r="AB53" s="381" t="str" cm="1">
        <f t="array" ref="AB53">IF(ISNUMBER(AA53), IFERROR(VALUE(RIGHT(AA53,LEN(AA53)-MIN(FIND({0;1;2;3;4;5;6;7;8;9},AA53&amp;"0123456789"))+1)),""), "")</f>
        <v/>
      </c>
    </row>
    <row r="54" spans="28:28" x14ac:dyDescent="0.25">
      <c r="AB54" s="381" t="str" cm="1">
        <f t="array" ref="AB54">IF(ISNUMBER(AA54), IFERROR(VALUE(RIGHT(AA54,LEN(AA54)-MIN(FIND({0;1;2;3;4;5;6;7;8;9},AA54&amp;"0123456789"))+1)),""), "")</f>
        <v/>
      </c>
    </row>
    <row r="55" spans="28:28" x14ac:dyDescent="0.25">
      <c r="AB55" s="381" t="str" cm="1">
        <f t="array" ref="AB55">IF(ISNUMBER(AA55), IFERROR(VALUE(RIGHT(AA55,LEN(AA55)-MIN(FIND({0;1;2;3;4;5;6;7;8;9},AA55&amp;"0123456789"))+1)),""), "")</f>
        <v/>
      </c>
    </row>
    <row r="56" spans="28:28" x14ac:dyDescent="0.25">
      <c r="AB56" s="381" t="str" cm="1">
        <f t="array" ref="AB56">IF(ISNUMBER(AA56), IFERROR(VALUE(RIGHT(AA56,LEN(AA56)-MIN(FIND({0;1;2;3;4;5;6;7;8;9},AA56&amp;"0123456789"))+1)),""), "")</f>
        <v/>
      </c>
    </row>
    <row r="57" spans="28:28" x14ac:dyDescent="0.25">
      <c r="AB57" s="381" t="str" cm="1">
        <f t="array" ref="AB57">IF(ISNUMBER(AA57), IFERROR(VALUE(RIGHT(AA57,LEN(AA57)-MIN(FIND({0;1;2;3;4;5;6;7;8;9},AA57&amp;"0123456789"))+1)),""), "")</f>
        <v/>
      </c>
    </row>
    <row r="58" spans="28:28" x14ac:dyDescent="0.25">
      <c r="AB58" s="381" t="str" cm="1">
        <f t="array" ref="AB58">IF(ISNUMBER(AA58), IFERROR(VALUE(RIGHT(AA58,LEN(AA58)-MIN(FIND({0;1;2;3;4;5;6;7;8;9},AA58&amp;"0123456789"))+1)),""), "")</f>
        <v/>
      </c>
    </row>
    <row r="59" spans="28:28" x14ac:dyDescent="0.25">
      <c r="AB59" s="381" t="str" cm="1">
        <f t="array" ref="AB59">IF(ISNUMBER(AA59), IFERROR(VALUE(RIGHT(AA59,LEN(AA59)-MIN(FIND({0;1;2;3;4;5;6;7;8;9},AA59&amp;"0123456789"))+1)),""), "")</f>
        <v/>
      </c>
    </row>
    <row r="60" spans="28:28" x14ac:dyDescent="0.25">
      <c r="AB60" s="381" t="str" cm="1">
        <f t="array" ref="AB60">IF(ISNUMBER(AA60), IFERROR(VALUE(RIGHT(AA60,LEN(AA60)-MIN(FIND({0;1;2;3;4;5;6;7;8;9},AA60&amp;"0123456789"))+1)),""), "")</f>
        <v/>
      </c>
    </row>
    <row r="61" spans="28:28" x14ac:dyDescent="0.25">
      <c r="AB61" s="381" t="str" cm="1">
        <f t="array" ref="AB61">IF(ISNUMBER(AA61), IFERROR(VALUE(RIGHT(AA61,LEN(AA61)-MIN(FIND({0;1;2;3;4;5;6;7;8;9},AA61&amp;"0123456789"))+1)),""), "")</f>
        <v/>
      </c>
    </row>
    <row r="62" spans="28:28" x14ac:dyDescent="0.25">
      <c r="AB62" s="381" t="str" cm="1">
        <f t="array" ref="AB62">IF(ISNUMBER(AA62), IFERROR(VALUE(RIGHT(AA62,LEN(AA62)-MIN(FIND({0;1;2;3;4;5;6;7;8;9},AA62&amp;"0123456789"))+1)),""), "")</f>
        <v/>
      </c>
    </row>
    <row r="63" spans="28:28" x14ac:dyDescent="0.25">
      <c r="AB63" s="381" t="str" cm="1">
        <f t="array" ref="AB63">IF(ISNUMBER(AA63), IFERROR(VALUE(RIGHT(AA63,LEN(AA63)-MIN(FIND({0;1;2;3;4;5;6;7;8;9},AA63&amp;"0123456789"))+1)),""), "")</f>
        <v/>
      </c>
    </row>
    <row r="64" spans="28:28" x14ac:dyDescent="0.25">
      <c r="AB64" s="381" t="str" cm="1">
        <f t="array" ref="AB64">IF(ISNUMBER(AA64), IFERROR(VALUE(RIGHT(AA64,LEN(AA64)-MIN(FIND({0;1;2;3;4;5;6;7;8;9},AA64&amp;"0123456789"))+1)),""), "")</f>
        <v/>
      </c>
    </row>
    <row r="65" spans="27:28" x14ac:dyDescent="0.25">
      <c r="AB65" s="381" t="str" cm="1">
        <f t="array" ref="AB65">IF(ISNUMBER(AA65), IFERROR(VALUE(RIGHT(AA65,LEN(AA65)-MIN(FIND({0;1;2;3;4;5;6;7;8;9},AA65&amp;"0123456789"))+1)),""), "")</f>
        <v/>
      </c>
    </row>
    <row r="66" spans="27:28" x14ac:dyDescent="0.25">
      <c r="AB66" s="381" t="str" cm="1">
        <f t="array" ref="AB66">IF(ISNUMBER(AA66), IFERROR(VALUE(RIGHT(AA66,LEN(AA66)-MIN(FIND({0;1;2;3;4;5;6;7;8;9},AA66&amp;"0123456789"))+1)),""), "")</f>
        <v/>
      </c>
    </row>
    <row r="67" spans="27:28" x14ac:dyDescent="0.25">
      <c r="AB67" s="381" t="str" cm="1">
        <f t="array" ref="AB67">IF(ISNUMBER(AA67), IFERROR(VALUE(RIGHT(AA67,LEN(AA67)-MIN(FIND({0;1;2;3;4;5;6;7;8;9},AA67&amp;"0123456789"))+1)),""), "")</f>
        <v/>
      </c>
    </row>
    <row r="68" spans="27:28" x14ac:dyDescent="0.25">
      <c r="AB68" s="381" t="str" cm="1">
        <f t="array" ref="AB68">IF(ISNUMBER(AA68), IFERROR(VALUE(RIGHT(AA68,LEN(AA68)-MIN(FIND({0;1;2;3;4;5;6;7;8;9},AA68&amp;"0123456789"))+1)),""), "")</f>
        <v/>
      </c>
    </row>
    <row r="69" spans="27:28" x14ac:dyDescent="0.25">
      <c r="AB69" s="381" t="str" cm="1">
        <f t="array" ref="AB69">IF(ISNUMBER(AA69), IFERROR(VALUE(RIGHT(AA69,LEN(AA69)-MIN(FIND({0;1;2;3;4;5;6;7;8;9},AA69&amp;"0123456789"))+1)),""), "")</f>
        <v/>
      </c>
    </row>
    <row r="70" spans="27:28" x14ac:dyDescent="0.25">
      <c r="AB70" s="381" t="str" cm="1">
        <f t="array" ref="AB70">IF(ISNUMBER(AA70), IFERROR(VALUE(RIGHT(AA70,LEN(AA70)-MIN(FIND({0;1;2;3;4;5;6;7;8;9},AA70&amp;"0123456789"))+1)),""), "")</f>
        <v/>
      </c>
    </row>
    <row r="71" spans="27:28" x14ac:dyDescent="0.25">
      <c r="AB71" s="381" t="str" cm="1">
        <f t="array" ref="AB71">IF(ISNUMBER(AA71), IFERROR(VALUE(RIGHT(AA71,LEN(AA71)-MIN(FIND({0;1;2;3;4;5;6;7;8;9},AA71&amp;"0123456789"))+1)),""), "")</f>
        <v/>
      </c>
    </row>
    <row r="72" spans="27:28" x14ac:dyDescent="0.25">
      <c r="AB72" s="381" t="str" cm="1">
        <f t="array" ref="AB72">IF(ISNUMBER(AA72), IFERROR(VALUE(RIGHT(AA72,LEN(AA72)-MIN(FIND({0;1;2;3;4;5;6;7;8;9},AA72&amp;"0123456789"))+1)),""), "")</f>
        <v/>
      </c>
    </row>
    <row r="73" spans="27:28" x14ac:dyDescent="0.25">
      <c r="AB73" s="381" t="str" cm="1">
        <f t="array" ref="AB73">IF(ISNUMBER(AA73), IFERROR(VALUE(RIGHT(AA73,LEN(AA73)-MIN(FIND({0;1;2;3;4;5;6;7;8;9},AA73&amp;"0123456789"))+1)),""), "")</f>
        <v/>
      </c>
    </row>
    <row r="74" spans="27:28" x14ac:dyDescent="0.25">
      <c r="AB74" s="381" t="str" cm="1">
        <f t="array" ref="AB74">IF(ISNUMBER(AA74), IFERROR(VALUE(RIGHT(AA74,LEN(AA74)-MIN(FIND({0;1;2;3;4;5;6;7;8;9},AA74&amp;"0123456789"))+1)),""), "")</f>
        <v/>
      </c>
    </row>
    <row r="75" spans="27:28" x14ac:dyDescent="0.25">
      <c r="AB75" s="381" t="str" cm="1">
        <f t="array" ref="AB75">IF(ISNUMBER(AA75), IFERROR(VALUE(RIGHT(AA75,LEN(AA75)-MIN(FIND({0;1;2;3;4;5;6;7;8;9},AA75&amp;"0123456789"))+1)),""), "")</f>
        <v/>
      </c>
    </row>
    <row r="76" spans="27:28" x14ac:dyDescent="0.25">
      <c r="AB76" s="381" t="str" cm="1">
        <f t="array" ref="AB76">IF(ISNUMBER(AA76), IFERROR(VALUE(RIGHT(AA76,LEN(AA76)-MIN(FIND({0;1;2;3;4;5;6;7;8;9},AA76&amp;"0123456789"))+1)),""), "")</f>
        <v/>
      </c>
    </row>
    <row r="77" spans="27:28" x14ac:dyDescent="0.25">
      <c r="AB77" s="381" t="str" cm="1">
        <f t="array" ref="AB77">IF(ISNUMBER(AA77), IFERROR(VALUE(RIGHT(AA77,LEN(AA77)-MIN(FIND({0;1;2;3;4;5;6;7;8;9},AA77&amp;"0123456789"))+1)),""), "")</f>
        <v/>
      </c>
    </row>
    <row r="78" spans="27:28" x14ac:dyDescent="0.25">
      <c r="AB78" s="381" t="str" cm="1">
        <f t="array" ref="AB78">IF(ISNUMBER(AA78), IFERROR(VALUE(RIGHT(AA78,LEN(AA78)-MIN(FIND({0;1;2;3;4;5;6;7;8;9},AA78&amp;"0123456789"))+1)),""), "")</f>
        <v/>
      </c>
    </row>
    <row r="79" spans="27:28" x14ac:dyDescent="0.25">
      <c r="AA79" s="381"/>
      <c r="AB79" s="381" t="str" cm="1">
        <f t="array" ref="AB79">IF(ISNUMBER(AA79), IFERROR(VALUE(RIGHT(AA79,LEN(AA79)-MIN(FIND({0;1;2;3;4;5;6;7;8;9},AA79&amp;"0123456789"))+1)),""), "")</f>
        <v/>
      </c>
    </row>
    <row r="80" spans="27:28" x14ac:dyDescent="0.25">
      <c r="AA80" s="381"/>
      <c r="AB80" s="381" t="str" cm="1">
        <f t="array" ref="AB80">IF(ISNUMBER(AA80), IFERROR(VALUE(RIGHT(AA80,LEN(AA80)-MIN(FIND({0;1;2;3;4;5;6;7;8;9},AA80&amp;"0123456789"))+1)),""), "")</f>
        <v/>
      </c>
    </row>
    <row r="81" spans="28:28" x14ac:dyDescent="0.25">
      <c r="AB81" s="381" t="str" cm="1">
        <f t="array" ref="AB81">IF(ISNUMBER(AA81), IFERROR(VALUE(RIGHT(AA81,LEN(AA81)-MIN(FIND({0;1;2;3;4;5;6;7;8;9},AA81&amp;"0123456789"))+1)),""), "")</f>
        <v/>
      </c>
    </row>
    <row r="82" spans="28:28" x14ac:dyDescent="0.25">
      <c r="AB82" s="381" t="str" cm="1">
        <f t="array" ref="AB82">IF(ISNUMBER(AA82), IFERROR(VALUE(RIGHT(AA82,LEN(AA82)-MIN(FIND({0;1;2;3;4;5;6;7;8;9},AA82&amp;"0123456789"))+1)),""), "")</f>
        <v/>
      </c>
    </row>
    <row r="83" spans="28:28" x14ac:dyDescent="0.25">
      <c r="AB83" s="381" t="str" cm="1">
        <f t="array" ref="AB83">IF(ISNUMBER(AA83), IFERROR(VALUE(RIGHT(AA83,LEN(AA83)-MIN(FIND({0;1;2;3;4;5;6;7;8;9},AA83&amp;"0123456789"))+1)),""), "")</f>
        <v/>
      </c>
    </row>
    <row r="84" spans="28:28" x14ac:dyDescent="0.25">
      <c r="AB84" s="381" t="str" cm="1">
        <f t="array" ref="AB84">IF(ISNUMBER(AA84), IFERROR(VALUE(RIGHT(AA84,LEN(AA84)-MIN(FIND({0;1;2;3;4;5;6;7;8;9},AA84&amp;"0123456789"))+1)),""), "")</f>
        <v/>
      </c>
    </row>
    <row r="85" spans="28:28" x14ac:dyDescent="0.25">
      <c r="AB85" s="381" t="str" cm="1">
        <f t="array" ref="AB85">IF(ISNUMBER(AA85), IFERROR(VALUE(RIGHT(AA85,LEN(AA85)-MIN(FIND({0;1;2;3;4;5;6;7;8;9},AA85&amp;"0123456789"))+1)),""), "")</f>
        <v/>
      </c>
    </row>
    <row r="86" spans="28:28" x14ac:dyDescent="0.25">
      <c r="AB86" s="381" t="str" cm="1">
        <f t="array" ref="AB86">IF(ISNUMBER(AA86), IFERROR(VALUE(RIGHT(AA86,LEN(AA86)-MIN(FIND({0;1;2;3;4;5;6;7;8;9},AA86&amp;"0123456789"))+1)),""), "")</f>
        <v/>
      </c>
    </row>
    <row r="87" spans="28:28" x14ac:dyDescent="0.25">
      <c r="AB87" s="381" t="str" cm="1">
        <f t="array" ref="AB87">IF(ISNUMBER(AA87), IFERROR(VALUE(RIGHT(AA87,LEN(AA87)-MIN(FIND({0;1;2;3;4;5;6;7;8;9},AA87&amp;"0123456789"))+1)),""), "")</f>
        <v/>
      </c>
    </row>
    <row r="88" spans="28:28" x14ac:dyDescent="0.25">
      <c r="AB88" s="381" t="str" cm="1">
        <f t="array" ref="AB88">IF(ISNUMBER(AA88), IFERROR(VALUE(RIGHT(AA88,LEN(AA88)-MIN(FIND({0;1;2;3;4;5;6;7;8;9},AA88&amp;"0123456789"))+1)),""), "")</f>
        <v/>
      </c>
    </row>
    <row r="89" spans="28:28" x14ac:dyDescent="0.25">
      <c r="AB89" s="381" t="str" cm="1">
        <f t="array" ref="AB89">IF(ISNUMBER(AA89), IFERROR(VALUE(RIGHT(AA89,LEN(AA89)-MIN(FIND({0;1;2;3;4;5;6;7;8;9},AA89&amp;"0123456789"))+1)),""), "")</f>
        <v/>
      </c>
    </row>
    <row r="90" spans="28:28" x14ac:dyDescent="0.25">
      <c r="AB90" s="381" t="str" cm="1">
        <f t="array" ref="AB90">IF(ISNUMBER(AA90), IFERROR(VALUE(RIGHT(AA90,LEN(AA90)-MIN(FIND({0;1;2;3;4;5;6;7;8;9},AA90&amp;"0123456789"))+1)),""), "")</f>
        <v/>
      </c>
    </row>
    <row r="91" spans="28:28" x14ac:dyDescent="0.25">
      <c r="AB91" s="381" t="str" cm="1">
        <f t="array" ref="AB91">IF(ISNUMBER(AA91), IFERROR(VALUE(RIGHT(AA91,LEN(AA91)-MIN(FIND({0;1;2;3;4;5;6;7;8;9},AA91&amp;"0123456789"))+1)),""), "")</f>
        <v/>
      </c>
    </row>
    <row r="92" spans="28:28" x14ac:dyDescent="0.25">
      <c r="AB92" s="381" t="str" cm="1">
        <f t="array" ref="AB92">IF(ISNUMBER(AA92), IFERROR(VALUE(RIGHT(AA92,LEN(AA92)-MIN(FIND({0;1;2;3;4;5;6;7;8;9},AA92&amp;"0123456789"))+1)),""), "")</f>
        <v/>
      </c>
    </row>
    <row r="93" spans="28:28" x14ac:dyDescent="0.25">
      <c r="AB93" s="381" t="str" cm="1">
        <f t="array" ref="AB93">IF(ISNUMBER(AA93), IFERROR(VALUE(RIGHT(AA93,LEN(AA93)-MIN(FIND({0;1;2;3;4;5;6;7;8;9},AA93&amp;"0123456789"))+1)),""), "")</f>
        <v/>
      </c>
    </row>
    <row r="94" spans="28:28" x14ac:dyDescent="0.25">
      <c r="AB94" s="381" t="str" cm="1">
        <f t="array" ref="AB94">IF(ISNUMBER(AA94), IFERROR(VALUE(RIGHT(AA94,LEN(AA94)-MIN(FIND({0;1;2;3;4;5;6;7;8;9},AA94&amp;"0123456789"))+1)),""), "")</f>
        <v/>
      </c>
    </row>
    <row r="95" spans="28:28" x14ac:dyDescent="0.25">
      <c r="AB95" s="381" t="str" cm="1">
        <f t="array" ref="AB95">IF(ISNUMBER(AA95), IFERROR(VALUE(RIGHT(AA95,LEN(AA95)-MIN(FIND({0;1;2;3;4;5;6;7;8;9},AA95&amp;"0123456789"))+1)),""), "")</f>
        <v/>
      </c>
    </row>
    <row r="96" spans="28:28" x14ac:dyDescent="0.25">
      <c r="AB96" s="381" t="str" cm="1">
        <f t="array" ref="AB96">IF(ISNUMBER(AA96), IFERROR(VALUE(RIGHT(AA96,LEN(AA96)-MIN(FIND({0;1;2;3;4;5;6;7;8;9},AA96&amp;"0123456789"))+1)),""), "")</f>
        <v/>
      </c>
    </row>
    <row r="97" spans="28:28" x14ac:dyDescent="0.25">
      <c r="AB97" s="381" t="str" cm="1">
        <f t="array" ref="AB97">IF(ISNUMBER(AA97), IFERROR(VALUE(RIGHT(AA97,LEN(AA97)-MIN(FIND({0;1;2;3;4;5;6;7;8;9},AA97&amp;"0123456789"))+1)),""), "")</f>
        <v/>
      </c>
    </row>
    <row r="98" spans="28:28" x14ac:dyDescent="0.25">
      <c r="AB98" s="381" t="str" cm="1">
        <f t="array" ref="AB98">IF(ISNUMBER(AA98), IFERROR(VALUE(RIGHT(AA98,LEN(AA98)-MIN(FIND({0;1;2;3;4;5;6;7;8;9},AA98&amp;"0123456789"))+1)),""), "")</f>
        <v/>
      </c>
    </row>
    <row r="99" spans="28:28" x14ac:dyDescent="0.25">
      <c r="AB99" s="381" t="str" cm="1">
        <f t="array" ref="AB99">IF(ISNUMBER(AA99), IFERROR(VALUE(RIGHT(AA99,LEN(AA99)-MIN(FIND({0;1;2;3;4;5;6;7;8;9},AA99&amp;"0123456789"))+1)),""), "")</f>
        <v/>
      </c>
    </row>
    <row r="100" spans="28:28" x14ac:dyDescent="0.25">
      <c r="AB100" s="381" t="str" cm="1">
        <f t="array" ref="AB100">IF(ISNUMBER(AA100), IFERROR(VALUE(RIGHT(AA100,LEN(AA100)-MIN(FIND({0;1;2;3;4;5;6;7;8;9},AA100&amp;"0123456789"))+1)),""), "")</f>
        <v/>
      </c>
    </row>
    <row r="101" spans="28:28" x14ac:dyDescent="0.25">
      <c r="AB101" s="381" t="str" cm="1">
        <f t="array" ref="AB101">IF(ISNUMBER(AA101), IFERROR(VALUE(RIGHT(AA101,LEN(AA101)-MIN(FIND({0;1;2;3;4;5;6;7;8;9},AA101&amp;"0123456789"))+1)),""), "")</f>
        <v/>
      </c>
    </row>
    <row r="102" spans="28:28" x14ac:dyDescent="0.25">
      <c r="AB102" s="381" t="str" cm="1">
        <f t="array" ref="AB102">IF(ISNUMBER(AA102), IFERROR(VALUE(RIGHT(AA102,LEN(AA102)-MIN(FIND({0;1;2;3;4;5;6;7;8;9},AA102&amp;"0123456789"))+1)),""), "")</f>
        <v/>
      </c>
    </row>
    <row r="103" spans="28:28" x14ac:dyDescent="0.25">
      <c r="AB103" s="381" t="str" cm="1">
        <f t="array" ref="AB103">IF(ISNUMBER(AA103), IFERROR(VALUE(RIGHT(AA103,LEN(AA103)-MIN(FIND({0;1;2;3;4;5;6;7;8;9},AA103&amp;"0123456789"))+1)),""), "")</f>
        <v/>
      </c>
    </row>
    <row r="104" spans="28:28" x14ac:dyDescent="0.25">
      <c r="AB104" s="381" t="str" cm="1">
        <f t="array" ref="AB104">IF(ISNUMBER(AA104), IFERROR(VALUE(RIGHT(AA104,LEN(AA104)-MIN(FIND({0;1;2;3;4;5;6;7;8;9},AA104&amp;"0123456789"))+1)),""), "")</f>
        <v/>
      </c>
    </row>
    <row r="105" spans="28:28" x14ac:dyDescent="0.25">
      <c r="AB105" s="381" t="str" cm="1">
        <f t="array" ref="AB105">IF(ISNUMBER(AA105), IFERROR(VALUE(RIGHT(AA105,LEN(AA105)-MIN(FIND({0;1;2;3;4;5;6;7;8;9},AA105&amp;"0123456789"))+1)),""), "")</f>
        <v/>
      </c>
    </row>
    <row r="106" spans="28:28" x14ac:dyDescent="0.25">
      <c r="AB106" s="381" t="str" cm="1">
        <f t="array" ref="AB106">IF(ISNUMBER(AA106), IFERROR(VALUE(RIGHT(AA106,LEN(AA106)-MIN(FIND({0;1;2;3;4;5;6;7;8;9},AA106&amp;"0123456789"))+1)),""), "")</f>
        <v/>
      </c>
    </row>
    <row r="107" spans="28:28" x14ac:dyDescent="0.25">
      <c r="AB107" s="381" t="str" cm="1">
        <f t="array" ref="AB107">IF(ISNUMBER(AA107), IFERROR(VALUE(RIGHT(AA107,LEN(AA107)-MIN(FIND({0;1;2;3;4;5;6;7;8;9},AA107&amp;"0123456789"))+1)),""), "")</f>
        <v/>
      </c>
    </row>
    <row r="108" spans="28:28" x14ac:dyDescent="0.25">
      <c r="AB108" s="381" t="str" cm="1">
        <f t="array" ref="AB108">IF(ISNUMBER(AA108), IFERROR(VALUE(RIGHT(AA108,LEN(AA108)-MIN(FIND({0;1;2;3;4;5;6;7;8;9},AA108&amp;"0123456789"))+1)),""), "")</f>
        <v/>
      </c>
    </row>
    <row r="109" spans="28:28" x14ac:dyDescent="0.25">
      <c r="AB109" s="381" t="str" cm="1">
        <f t="array" ref="AB109">IF(ISNUMBER(AA109), IFERROR(VALUE(RIGHT(AA109,LEN(AA109)-MIN(FIND({0;1;2;3;4;5;6;7;8;9},AA109&amp;"0123456789"))+1)),""), "")</f>
        <v/>
      </c>
    </row>
    <row r="110" spans="28:28" x14ac:dyDescent="0.25">
      <c r="AB110" s="381" t="str" cm="1">
        <f t="array" ref="AB110">IF(ISNUMBER(AA110), IFERROR(VALUE(RIGHT(AA110,LEN(AA110)-MIN(FIND({0;1;2;3;4;5;6;7;8;9},AA110&amp;"0123456789"))+1)),""), "")</f>
        <v/>
      </c>
    </row>
    <row r="111" spans="28:28" x14ac:dyDescent="0.25">
      <c r="AB111" s="381" t="str" cm="1">
        <f t="array" ref="AB111">IF(ISNUMBER(AA111), IFERROR(VALUE(RIGHT(AA111,LEN(AA111)-MIN(FIND({0;1;2;3;4;5;6;7;8;9},AA111&amp;"0123456789"))+1)),""), "")</f>
        <v/>
      </c>
    </row>
    <row r="112" spans="28:28" x14ac:dyDescent="0.25">
      <c r="AB112" s="381" t="str" cm="1">
        <f t="array" ref="AB112">IF(ISNUMBER(AA112), IFERROR(VALUE(RIGHT(AA112,LEN(AA112)-MIN(FIND({0;1;2;3;4;5;6;7;8;9},AA112&amp;"0123456789"))+1)),""), "")</f>
        <v/>
      </c>
    </row>
    <row r="113" spans="28:28" x14ac:dyDescent="0.25">
      <c r="AB113" s="381" t="str" cm="1">
        <f t="array" ref="AB113">IF(ISNUMBER(AA113), IFERROR(VALUE(RIGHT(AA113,LEN(AA113)-MIN(FIND({0;1;2;3;4;5;6;7;8;9},AA113&amp;"0123456789"))+1)),""), "")</f>
        <v/>
      </c>
    </row>
    <row r="114" spans="28:28" x14ac:dyDescent="0.25">
      <c r="AB114" s="381" t="str" cm="1">
        <f t="array" ref="AB114">IF(ISNUMBER(AA114), IFERROR(VALUE(RIGHT(AA114,LEN(AA114)-MIN(FIND({0;1;2;3;4;5;6;7;8;9},AA114&amp;"0123456789"))+1)),""), "")</f>
        <v/>
      </c>
    </row>
    <row r="115" spans="28:28" x14ac:dyDescent="0.25">
      <c r="AB115" s="381" t="str" cm="1">
        <f t="array" ref="AB115">IF(ISNUMBER(AA115), IFERROR(VALUE(RIGHT(AA115,LEN(AA115)-MIN(FIND({0;1;2;3;4;5;6;7;8;9},AA115&amp;"0123456789"))+1)),""), "")</f>
        <v/>
      </c>
    </row>
    <row r="116" spans="28:28" x14ac:dyDescent="0.25">
      <c r="AB116" s="381" t="str" cm="1">
        <f t="array" ref="AB116">IF(ISNUMBER(AA116), IFERROR(VALUE(RIGHT(AA116,LEN(AA116)-MIN(FIND({0;1;2;3;4;5;6;7;8;9},AA116&amp;"0123456789"))+1)),""), "")</f>
        <v/>
      </c>
    </row>
    <row r="117" spans="28:28" x14ac:dyDescent="0.25">
      <c r="AB117" s="381" t="str" cm="1">
        <f t="array" ref="AB117">IF(ISNUMBER(AA117), IFERROR(VALUE(RIGHT(AA117,LEN(AA117)-MIN(FIND({0;1;2;3;4;5;6;7;8;9},AA117&amp;"0123456789"))+1)),""), "")</f>
        <v/>
      </c>
    </row>
    <row r="118" spans="28:28" x14ac:dyDescent="0.25">
      <c r="AB118" s="381" t="str" cm="1">
        <f t="array" ref="AB118">IF(ISNUMBER(AA118), IFERROR(VALUE(RIGHT(AA118,LEN(AA118)-MIN(FIND({0;1;2;3;4;5;6;7;8;9},AA118&amp;"0123456789"))+1)),""), "")</f>
        <v/>
      </c>
    </row>
    <row r="119" spans="28:28" x14ac:dyDescent="0.25">
      <c r="AB119" s="381" t="str" cm="1">
        <f t="array" ref="AB119">IF(ISNUMBER(AA119), IFERROR(VALUE(RIGHT(AA119,LEN(AA119)-MIN(FIND({0;1;2;3;4;5;6;7;8;9},AA119&amp;"0123456789"))+1)),""), "")</f>
        <v/>
      </c>
    </row>
    <row r="120" spans="28:28" x14ac:dyDescent="0.25">
      <c r="AB120" s="381" t="str" cm="1">
        <f t="array" ref="AB120">IF(ISNUMBER(AA120), IFERROR(VALUE(RIGHT(AA120,LEN(AA120)-MIN(FIND({0;1;2;3;4;5;6;7;8;9},AA120&amp;"0123456789"))+1)),""), "")</f>
        <v/>
      </c>
    </row>
    <row r="121" spans="28:28" x14ac:dyDescent="0.25">
      <c r="AB121" s="381" t="str" cm="1">
        <f t="array" ref="AB121">IF(ISNUMBER(AA121), IFERROR(VALUE(RIGHT(AA121,LEN(AA121)-MIN(FIND({0;1;2;3;4;5;6;7;8;9},AA121&amp;"0123456789"))+1)),""), "")</f>
        <v/>
      </c>
    </row>
    <row r="122" spans="28:28" x14ac:dyDescent="0.25">
      <c r="AB122" s="381" t="str" cm="1">
        <f t="array" ref="AB122">IF(ISNUMBER(AA122), IFERROR(VALUE(RIGHT(AA122,LEN(AA122)-MIN(FIND({0;1;2;3;4;5;6;7;8;9},AA122&amp;"0123456789"))+1)),""), "")</f>
        <v/>
      </c>
    </row>
    <row r="123" spans="28:28" x14ac:dyDescent="0.25">
      <c r="AB123" s="381" t="str" cm="1">
        <f t="array" ref="AB123">IF(ISNUMBER(AA123), IFERROR(VALUE(RIGHT(AA123,LEN(AA123)-MIN(FIND({0;1;2;3;4;5;6;7;8;9},AA123&amp;"0123456789"))+1)),""), "")</f>
        <v/>
      </c>
    </row>
    <row r="124" spans="28:28" x14ac:dyDescent="0.25">
      <c r="AB124" s="381" t="str" cm="1">
        <f t="array" ref="AB124">IF(ISNUMBER(AA124), IFERROR(VALUE(RIGHT(AA124,LEN(AA124)-MIN(FIND({0;1;2;3;4;5;6;7;8;9},AA124&amp;"0123456789"))+1)),""), "")</f>
        <v/>
      </c>
    </row>
    <row r="125" spans="28:28" x14ac:dyDescent="0.25">
      <c r="AB125" s="381" t="str" cm="1">
        <f t="array" ref="AB125">IF(ISNUMBER(AA125), IFERROR(VALUE(RIGHT(AA125,LEN(AA125)-MIN(FIND({0;1;2;3;4;5;6;7;8;9},AA125&amp;"0123456789"))+1)),""), "")</f>
        <v/>
      </c>
    </row>
    <row r="126" spans="28:28" x14ac:dyDescent="0.25">
      <c r="AB126" s="381" t="str" cm="1">
        <f t="array" ref="AB126">IF(ISNUMBER(AA126), IFERROR(VALUE(RIGHT(AA126,LEN(AA126)-MIN(FIND({0;1;2;3;4;5;6;7;8;9},AA126&amp;"0123456789"))+1)),""), "")</f>
        <v/>
      </c>
    </row>
    <row r="127" spans="28:28" x14ac:dyDescent="0.25">
      <c r="AB127" s="381" t="str" cm="1">
        <f t="array" ref="AB127">IF(ISNUMBER(AA127), IFERROR(VALUE(RIGHT(AA127,LEN(AA127)-MIN(FIND({0;1;2;3;4;5;6;7;8;9},AA127&amp;"0123456789"))+1)),""), "")</f>
        <v/>
      </c>
    </row>
    <row r="128" spans="28:28" x14ac:dyDescent="0.25">
      <c r="AB128" s="381" t="str" cm="1">
        <f t="array" ref="AB128">IF(ISNUMBER(AA128), IFERROR(VALUE(RIGHT(AA128,LEN(AA128)-MIN(FIND({0;1;2;3;4;5;6;7;8;9},AA128&amp;"0123456789"))+1)),""), "")</f>
        <v/>
      </c>
    </row>
    <row r="129" spans="28:28" x14ac:dyDescent="0.25">
      <c r="AB129" s="381" t="str" cm="1">
        <f t="array" ref="AB129">IF(ISNUMBER(AA129), IFERROR(VALUE(RIGHT(AA129,LEN(AA129)-MIN(FIND({0;1;2;3;4;5;6;7;8;9},AA129&amp;"0123456789"))+1)),""), "")</f>
        <v/>
      </c>
    </row>
    <row r="130" spans="28:28" x14ac:dyDescent="0.25">
      <c r="AB130" s="381" t="str" cm="1">
        <f t="array" ref="AB130">IF(ISNUMBER(AA130), IFERROR(VALUE(RIGHT(AA130,LEN(AA130)-MIN(FIND({0;1;2;3;4;5;6;7;8;9},AA130&amp;"0123456789"))+1)),""), "")</f>
        <v/>
      </c>
    </row>
    <row r="131" spans="28:28" x14ac:dyDescent="0.25">
      <c r="AB131" s="381" t="str" cm="1">
        <f t="array" ref="AB131">IF(ISNUMBER(AA131), IFERROR(VALUE(RIGHT(AA131,LEN(AA131)-MIN(FIND({0;1;2;3;4;5;6;7;8;9},AA131&amp;"0123456789"))+1)),""), "")</f>
        <v/>
      </c>
    </row>
    <row r="132" spans="28:28" x14ac:dyDescent="0.25">
      <c r="AB132" s="381" t="str" cm="1">
        <f t="array" ref="AB132">IF(ISNUMBER(AA132), IFERROR(VALUE(RIGHT(AA132,LEN(AA132)-MIN(FIND({0;1;2;3;4;5;6;7;8;9},AA132&amp;"0123456789"))+1)),""), "")</f>
        <v/>
      </c>
    </row>
    <row r="133" spans="28:28" x14ac:dyDescent="0.25">
      <c r="AB133" s="381" t="str" cm="1">
        <f t="array" ref="AB133">IF(ISNUMBER(AA133), IFERROR(VALUE(RIGHT(AA133,LEN(AA133)-MIN(FIND({0;1;2;3;4;5;6;7;8;9},AA133&amp;"0123456789"))+1)),""), "")</f>
        <v/>
      </c>
    </row>
    <row r="134" spans="28:28" x14ac:dyDescent="0.25">
      <c r="AB134" s="381" t="str" cm="1">
        <f t="array" ref="AB134">IF(ISNUMBER(AA134), IFERROR(VALUE(RIGHT(AA134,LEN(AA134)-MIN(FIND({0;1;2;3;4;5;6;7;8;9},AA134&amp;"0123456789"))+1)),""), "")</f>
        <v/>
      </c>
    </row>
    <row r="135" spans="28:28" x14ac:dyDescent="0.25">
      <c r="AB135" s="381" t="str" cm="1">
        <f t="array" ref="AB135">IF(ISNUMBER(AA135), IFERROR(VALUE(RIGHT(AA135,LEN(AA135)-MIN(FIND({0;1;2;3;4;5;6;7;8;9},AA135&amp;"0123456789"))+1)),""), "")</f>
        <v/>
      </c>
    </row>
    <row r="136" spans="28:28" x14ac:dyDescent="0.25">
      <c r="AB136" s="381" t="str" cm="1">
        <f t="array" ref="AB136">IF(ISNUMBER(AA136), IFERROR(VALUE(RIGHT(AA136,LEN(AA136)-MIN(FIND({0;1;2;3;4;5;6;7;8;9},AA136&amp;"0123456789"))+1)),""), "")</f>
        <v/>
      </c>
    </row>
    <row r="137" spans="28:28" x14ac:dyDescent="0.25">
      <c r="AB137" s="381" t="str" cm="1">
        <f t="array" ref="AB137">IF(ISNUMBER(AA137), IFERROR(VALUE(RIGHT(AA137,LEN(AA137)-MIN(FIND({0;1;2;3;4;5;6;7;8;9},AA137&amp;"0123456789"))+1)),""), "")</f>
        <v/>
      </c>
    </row>
    <row r="138" spans="28:28" x14ac:dyDescent="0.25">
      <c r="AB138" s="381" t="str" cm="1">
        <f t="array" ref="AB138">IF(ISNUMBER(AA138), IFERROR(VALUE(RIGHT(AA138,LEN(AA138)-MIN(FIND({0;1;2;3;4;5;6;7;8;9},AA138&amp;"0123456789"))+1)),""), "")</f>
        <v/>
      </c>
    </row>
    <row r="139" spans="28:28" x14ac:dyDescent="0.25">
      <c r="AB139" s="381" t="str" cm="1">
        <f t="array" ref="AB139">IF(ISNUMBER(AA139), IFERROR(VALUE(RIGHT(AA139,LEN(AA139)-MIN(FIND({0;1;2;3;4;5;6;7;8;9},AA139&amp;"0123456789"))+1)),""), "")</f>
        <v/>
      </c>
    </row>
    <row r="140" spans="28:28" x14ac:dyDescent="0.25">
      <c r="AB140" s="381" t="str" cm="1">
        <f t="array" ref="AB140">IF(ISNUMBER(AA140), IFERROR(VALUE(RIGHT(AA140,LEN(AA140)-MIN(FIND({0;1;2;3;4;5;6;7;8;9},AA140&amp;"0123456789"))+1)),""), "")</f>
        <v/>
      </c>
    </row>
    <row r="141" spans="28:28" x14ac:dyDescent="0.25">
      <c r="AB141" s="381" t="str" cm="1">
        <f t="array" ref="AB141">IF(ISNUMBER(AA141), IFERROR(VALUE(RIGHT(AA141,LEN(AA141)-MIN(FIND({0;1;2;3;4;5;6;7;8;9},AA141&amp;"0123456789"))+1)),""), "")</f>
        <v/>
      </c>
    </row>
    <row r="142" spans="28:28" x14ac:dyDescent="0.25">
      <c r="AB142" s="381" t="str" cm="1">
        <f t="array" ref="AB142">IF(ISNUMBER(AA142), IFERROR(VALUE(RIGHT(AA142,LEN(AA142)-MIN(FIND({0;1;2;3;4;5;6;7;8;9},AA142&amp;"0123456789"))+1)),""), "")</f>
        <v/>
      </c>
    </row>
    <row r="143" spans="28:28" x14ac:dyDescent="0.25">
      <c r="AB143" s="381" t="str" cm="1">
        <f t="array" ref="AB143">IF(ISNUMBER(AA143), IFERROR(VALUE(RIGHT(AA143,LEN(AA143)-MIN(FIND({0;1;2;3;4;5;6;7;8;9},AA143&amp;"0123456789"))+1)),""), "")</f>
        <v/>
      </c>
    </row>
    <row r="144" spans="28:28" x14ac:dyDescent="0.25">
      <c r="AB144" s="381" t="str" cm="1">
        <f t="array" ref="AB144">IF(ISNUMBER(AA144), IFERROR(VALUE(RIGHT(AA144,LEN(AA144)-MIN(FIND({0;1;2;3;4;5;6;7;8;9},AA144&amp;"0123456789"))+1)),""), "")</f>
        <v/>
      </c>
    </row>
    <row r="145" spans="28:28" x14ac:dyDescent="0.25">
      <c r="AB145" s="381" t="str" cm="1">
        <f t="array" ref="AB145">IF(ISNUMBER(AA145), IFERROR(VALUE(RIGHT(AA145,LEN(AA145)-MIN(FIND({0;1;2;3;4;5;6;7;8;9},AA145&amp;"0123456789"))+1)),""), "")</f>
        <v/>
      </c>
    </row>
    <row r="146" spans="28:28" x14ac:dyDescent="0.25">
      <c r="AB146" s="381" t="str" cm="1">
        <f t="array" ref="AB146">IF(ISNUMBER(AA146), IFERROR(VALUE(RIGHT(AA146,LEN(AA146)-MIN(FIND({0;1;2;3;4;5;6;7;8;9},AA146&amp;"0123456789"))+1)),""), "")</f>
        <v/>
      </c>
    </row>
    <row r="147" spans="28:28" x14ac:dyDescent="0.25">
      <c r="AB147" s="381" t="str" cm="1">
        <f t="array" ref="AB147">IF(ISNUMBER(AA147), IFERROR(VALUE(RIGHT(AA147,LEN(AA147)-MIN(FIND({0;1;2;3;4;5;6;7;8;9},AA147&amp;"0123456789"))+1)),""), "")</f>
        <v/>
      </c>
    </row>
    <row r="148" spans="28:28" x14ac:dyDescent="0.25">
      <c r="AB148" s="381" t="str" cm="1">
        <f t="array" ref="AB148">IF(ISNUMBER(AA148), IFERROR(VALUE(RIGHT(AA148,LEN(AA148)-MIN(FIND({0;1;2;3;4;5;6;7;8;9},AA148&amp;"0123456789"))+1)),""), "")</f>
        <v/>
      </c>
    </row>
    <row r="149" spans="28:28" x14ac:dyDescent="0.25">
      <c r="AB149" s="381" t="str" cm="1">
        <f t="array" ref="AB149">IF(ISNUMBER(AA149), IFERROR(VALUE(RIGHT(AA149,LEN(AA149)-MIN(FIND({0;1;2;3;4;5;6;7;8;9},AA149&amp;"0123456789"))+1)),""), "")</f>
        <v/>
      </c>
    </row>
    <row r="150" spans="28:28" x14ac:dyDescent="0.25">
      <c r="AB150" s="381" t="str" cm="1">
        <f t="array" ref="AB150">IF(ISNUMBER(AA150), IFERROR(VALUE(RIGHT(AA150,LEN(AA150)-MIN(FIND({0;1;2;3;4;5;6;7;8;9},AA150&amp;"0123456789"))+1)),""), "")</f>
        <v/>
      </c>
    </row>
    <row r="151" spans="28:28" x14ac:dyDescent="0.25">
      <c r="AB151" s="381" t="str" cm="1">
        <f t="array" ref="AB151">IF(ISNUMBER(AA151), IFERROR(VALUE(RIGHT(AA151,LEN(AA151)-MIN(FIND({0;1;2;3;4;5;6;7;8;9},AA151&amp;"0123456789"))+1)),""), "")</f>
        <v/>
      </c>
    </row>
    <row r="152" spans="28:28" x14ac:dyDescent="0.25">
      <c r="AB152" s="381" t="str" cm="1">
        <f t="array" ref="AB152">IF(ISNUMBER(AA152), IFERROR(VALUE(RIGHT(AA152,LEN(AA152)-MIN(FIND({0;1;2;3;4;5;6;7;8;9},AA152&amp;"0123456789"))+1)),""), "")</f>
        <v/>
      </c>
    </row>
    <row r="153" spans="28:28" x14ac:dyDescent="0.25">
      <c r="AB153" s="381" t="str" cm="1">
        <f t="array" ref="AB153">IF(ISNUMBER(AA153), IFERROR(VALUE(RIGHT(AA153,LEN(AA153)-MIN(FIND({0;1;2;3;4;5;6;7;8;9},AA153&amp;"0123456789"))+1)),""), "")</f>
        <v/>
      </c>
    </row>
    <row r="154" spans="28:28" x14ac:dyDescent="0.25">
      <c r="AB154" s="381" t="str" cm="1">
        <f t="array" ref="AB154">IF(ISNUMBER(AA154), IFERROR(VALUE(RIGHT(AA154,LEN(AA154)-MIN(FIND({0;1;2;3;4;5;6;7;8;9},AA154&amp;"0123456789"))+1)),""), "")</f>
        <v/>
      </c>
    </row>
    <row r="155" spans="28:28" x14ac:dyDescent="0.25">
      <c r="AB155" s="381" t="str" cm="1">
        <f t="array" ref="AB155">IF(ISNUMBER(AA155), IFERROR(VALUE(RIGHT(AA155,LEN(AA155)-MIN(FIND({0;1;2;3;4;5;6;7;8;9},AA155&amp;"0123456789"))+1)),""), "")</f>
        <v/>
      </c>
    </row>
    <row r="156" spans="28:28" x14ac:dyDescent="0.25">
      <c r="AB156" s="381" t="str" cm="1">
        <f t="array" ref="AB156">IF(ISNUMBER(AA156), IFERROR(VALUE(RIGHT(AA156,LEN(AA156)-MIN(FIND({0;1;2;3;4;5;6;7;8;9},AA156&amp;"0123456789"))+1)),""), "")</f>
        <v/>
      </c>
    </row>
    <row r="157" spans="28:28" x14ac:dyDescent="0.25">
      <c r="AB157" s="381" t="str" cm="1">
        <f t="array" ref="AB157">IF(ISNUMBER(AA157), IFERROR(VALUE(RIGHT(AA157,LEN(AA157)-MIN(FIND({0;1;2;3;4;5;6;7;8;9},AA157&amp;"0123456789"))+1)),""), "")</f>
        <v/>
      </c>
    </row>
    <row r="158" spans="28:28" x14ac:dyDescent="0.25">
      <c r="AB158" s="381" t="str" cm="1">
        <f t="array" ref="AB158">IF(ISNUMBER(AA158), IFERROR(VALUE(RIGHT(AA158,LEN(AA158)-MIN(FIND({0;1;2;3;4;5;6;7;8;9},AA158&amp;"0123456789"))+1)),""), "")</f>
        <v/>
      </c>
    </row>
    <row r="159" spans="28:28" x14ac:dyDescent="0.25">
      <c r="AB159" s="381" t="str" cm="1">
        <f t="array" ref="AB159">IF(ISNUMBER(AA159), IFERROR(VALUE(RIGHT(AA159,LEN(AA159)-MIN(FIND({0;1;2;3;4;5;6;7;8;9},AA159&amp;"0123456789"))+1)),""), "")</f>
        <v/>
      </c>
    </row>
    <row r="160" spans="28:28" x14ac:dyDescent="0.25">
      <c r="AB160" s="381" t="str" cm="1">
        <f t="array" ref="AB160">IF(ISNUMBER(AA160), IFERROR(VALUE(RIGHT(AA160,LEN(AA160)-MIN(FIND({0;1;2;3;4;5;6;7;8;9},AA160&amp;"0123456789"))+1)),""), "")</f>
        <v/>
      </c>
    </row>
    <row r="161" spans="28:28" x14ac:dyDescent="0.25">
      <c r="AB161" s="381" t="str" cm="1">
        <f t="array" ref="AB161">IF(ISNUMBER(AA161), IFERROR(VALUE(RIGHT(AA161,LEN(AA161)-MIN(FIND({0;1;2;3;4;5;6;7;8;9},AA161&amp;"0123456789"))+1)),""), "")</f>
        <v/>
      </c>
    </row>
    <row r="162" spans="28:28" x14ac:dyDescent="0.25">
      <c r="AB162" s="381" t="str" cm="1">
        <f t="array" ref="AB162">IF(ISNUMBER(AA162), IFERROR(VALUE(RIGHT(AA162,LEN(AA162)-MIN(FIND({0;1;2;3;4;5;6;7;8;9},AA162&amp;"0123456789"))+1)),""), "")</f>
        <v/>
      </c>
    </row>
    <row r="163" spans="28:28" x14ac:dyDescent="0.25">
      <c r="AB163" s="381" t="str" cm="1">
        <f t="array" ref="AB163">IF(ISNUMBER(AA163), IFERROR(VALUE(RIGHT(AA163,LEN(AA163)-MIN(FIND({0;1;2;3;4;5;6;7;8;9},AA163&amp;"0123456789"))+1)),""), "")</f>
        <v/>
      </c>
    </row>
    <row r="164" spans="28:28" x14ac:dyDescent="0.25">
      <c r="AB164" s="381" t="str" cm="1">
        <f t="array" ref="AB164">IF(ISNUMBER(AA164), IFERROR(VALUE(RIGHT(AA164,LEN(AA164)-MIN(FIND({0;1;2;3;4;5;6;7;8;9},AA164&amp;"0123456789"))+1)),""), "")</f>
        <v/>
      </c>
    </row>
    <row r="165" spans="28:28" x14ac:dyDescent="0.25">
      <c r="AB165" s="381" t="str" cm="1">
        <f t="array" ref="AB165">IF(ISNUMBER(AA165), IFERROR(VALUE(RIGHT(AA165,LEN(AA165)-MIN(FIND({0;1;2;3;4;5;6;7;8;9},AA165&amp;"0123456789"))+1)),""), "")</f>
        <v/>
      </c>
    </row>
    <row r="166" spans="28:28" x14ac:dyDescent="0.25">
      <c r="AB166" s="381" t="str" cm="1">
        <f t="array" ref="AB166">IF(ISNUMBER(AA166), IFERROR(VALUE(RIGHT(AA166,LEN(AA166)-MIN(FIND({0;1;2;3;4;5;6;7;8;9},AA166&amp;"0123456789"))+1)),""), "")</f>
        <v/>
      </c>
    </row>
    <row r="167" spans="28:28" x14ac:dyDescent="0.25">
      <c r="AB167" s="381" t="str" cm="1">
        <f t="array" ref="AB167">IF(ISNUMBER(AA167), IFERROR(VALUE(RIGHT(AA167,LEN(AA167)-MIN(FIND({0;1;2;3;4;5;6;7;8;9},AA167&amp;"0123456789"))+1)),""), "")</f>
        <v/>
      </c>
    </row>
    <row r="168" spans="28:28" x14ac:dyDescent="0.25">
      <c r="AB168" s="381" t="str" cm="1">
        <f t="array" ref="AB168">IF(ISNUMBER(AA168), IFERROR(VALUE(RIGHT(AA168,LEN(AA168)-MIN(FIND({0;1;2;3;4;5;6;7;8;9},AA168&amp;"0123456789"))+1)),""), "")</f>
        <v/>
      </c>
    </row>
    <row r="169" spans="28:28" x14ac:dyDescent="0.25">
      <c r="AB169" s="381" t="str" cm="1">
        <f t="array" ref="AB169">IF(ISNUMBER(AA169), IFERROR(VALUE(RIGHT(AA169,LEN(AA169)-MIN(FIND({0;1;2;3;4;5;6;7;8;9},AA169&amp;"0123456789"))+1)),""), "")</f>
        <v/>
      </c>
    </row>
    <row r="170" spans="28:28" x14ac:dyDescent="0.25">
      <c r="AB170" s="381" t="str" cm="1">
        <f t="array" ref="AB170">IF(ISNUMBER(AA170), IFERROR(VALUE(RIGHT(AA170,LEN(AA170)-MIN(FIND({0;1;2;3;4;5;6;7;8;9},AA170&amp;"0123456789"))+1)),""), "")</f>
        <v/>
      </c>
    </row>
    <row r="171" spans="28:28" x14ac:dyDescent="0.25">
      <c r="AB171" s="381" t="str" cm="1">
        <f t="array" ref="AB171">IF(ISNUMBER(AA171), IFERROR(VALUE(RIGHT(AA171,LEN(AA171)-MIN(FIND({0;1;2;3;4;5;6;7;8;9},AA171&amp;"0123456789"))+1)),""), "")</f>
        <v/>
      </c>
    </row>
    <row r="172" spans="28:28" x14ac:dyDescent="0.25">
      <c r="AB172" s="381" t="str" cm="1">
        <f t="array" ref="AB172">IF(ISNUMBER(AA172), IFERROR(VALUE(RIGHT(AA172,LEN(AA172)-MIN(FIND({0;1;2;3;4;5;6;7;8;9},AA172&amp;"0123456789"))+1)),""), "")</f>
        <v/>
      </c>
    </row>
    <row r="173" spans="28:28" x14ac:dyDescent="0.25">
      <c r="AB173" s="381" t="str" cm="1">
        <f t="array" ref="AB173">IF(ISNUMBER(AA173), IFERROR(VALUE(RIGHT(AA173,LEN(AA173)-MIN(FIND({0;1;2;3;4;5;6;7;8;9},AA173&amp;"0123456789"))+1)),""), "")</f>
        <v/>
      </c>
    </row>
    <row r="174" spans="28:28" x14ac:dyDescent="0.25">
      <c r="AB174" s="381" t="str" cm="1">
        <f t="array" ref="AB174">IF(ISNUMBER(AA174), IFERROR(VALUE(RIGHT(AA174,LEN(AA174)-MIN(FIND({0;1;2;3;4;5;6;7;8;9},AA174&amp;"0123456789"))+1)),""), "")</f>
        <v/>
      </c>
    </row>
    <row r="175" spans="28:28" x14ac:dyDescent="0.25">
      <c r="AB175" s="381" t="str" cm="1">
        <f t="array" ref="AB175">IF(ISNUMBER(AA175), IFERROR(VALUE(RIGHT(AA175,LEN(AA175)-MIN(FIND({0;1;2;3;4;5;6;7;8;9},AA175&amp;"0123456789"))+1)),""), "")</f>
        <v/>
      </c>
    </row>
    <row r="176" spans="28:28" x14ac:dyDescent="0.25">
      <c r="AB176" s="381" t="str" cm="1">
        <f t="array" ref="AB176">IF(ISNUMBER(AA176), IFERROR(VALUE(RIGHT(AA176,LEN(AA176)-MIN(FIND({0;1;2;3;4;5;6;7;8;9},AA176&amp;"0123456789"))+1)),""), "")</f>
        <v/>
      </c>
    </row>
    <row r="177" spans="28:28" x14ac:dyDescent="0.25">
      <c r="AB177" s="381" t="str" cm="1">
        <f t="array" ref="AB177">IF(ISNUMBER(AA177), IFERROR(VALUE(RIGHT(AA177,LEN(AA177)-MIN(FIND({0;1;2;3;4;5;6;7;8;9},AA177&amp;"0123456789"))+1)),""), "")</f>
        <v/>
      </c>
    </row>
    <row r="178" spans="28:28" x14ac:dyDescent="0.25">
      <c r="AB178" s="381" t="str" cm="1">
        <f t="array" ref="AB178">IF(ISNUMBER(AA178), IFERROR(VALUE(RIGHT(AA178,LEN(AA178)-MIN(FIND({0;1;2;3;4;5;6;7;8;9},AA178&amp;"0123456789"))+1)),""), "")</f>
        <v/>
      </c>
    </row>
    <row r="179" spans="28:28" x14ac:dyDescent="0.25">
      <c r="AB179" s="381" t="str" cm="1">
        <f t="array" ref="AB179">IF(ISNUMBER(AA179), IFERROR(VALUE(RIGHT(AA179,LEN(AA179)-MIN(FIND({0;1;2;3;4;5;6;7;8;9},AA179&amp;"0123456789"))+1)),""), "")</f>
        <v/>
      </c>
    </row>
    <row r="180" spans="28:28" x14ac:dyDescent="0.25">
      <c r="AB180" s="381" t="str" cm="1">
        <f t="array" ref="AB180">IF(ISNUMBER(AA180), IFERROR(VALUE(RIGHT(AA180,LEN(AA180)-MIN(FIND({0;1;2;3;4;5;6;7;8;9},AA180&amp;"0123456789"))+1)),""), "")</f>
        <v/>
      </c>
    </row>
    <row r="181" spans="28:28" x14ac:dyDescent="0.25">
      <c r="AB181" s="381" t="str" cm="1">
        <f t="array" ref="AB181">IF(ISNUMBER(AA181), IFERROR(VALUE(RIGHT(AA181,LEN(AA181)-MIN(FIND({0;1;2;3;4;5;6;7;8;9},AA181&amp;"0123456789"))+1)),""), "")</f>
        <v/>
      </c>
    </row>
    <row r="182" spans="28:28" x14ac:dyDescent="0.25">
      <c r="AB182" s="381" t="str" cm="1">
        <f t="array" ref="AB182">IF(ISNUMBER(AA182), IFERROR(VALUE(RIGHT(AA182,LEN(AA182)-MIN(FIND({0;1;2;3;4;5;6;7;8;9},AA182&amp;"0123456789"))+1)),""), "")</f>
        <v/>
      </c>
    </row>
    <row r="183" spans="28:28" x14ac:dyDescent="0.25">
      <c r="AB183" s="381" t="str" cm="1">
        <f t="array" ref="AB183">IF(ISNUMBER(AA183), IFERROR(VALUE(RIGHT(AA183,LEN(AA183)-MIN(FIND({0;1;2;3;4;5;6;7;8;9},AA183&amp;"0123456789"))+1)),""), "")</f>
        <v/>
      </c>
    </row>
    <row r="184" spans="28:28" x14ac:dyDescent="0.25">
      <c r="AB184" s="381" t="str" cm="1">
        <f t="array" ref="AB184">IF(ISNUMBER(AA184), IFERROR(VALUE(RIGHT(AA184,LEN(AA184)-MIN(FIND({0;1;2;3;4;5;6;7;8;9},AA184&amp;"0123456789"))+1)),""), "")</f>
        <v/>
      </c>
    </row>
    <row r="185" spans="28:28" x14ac:dyDescent="0.25">
      <c r="AB185" s="381" t="str" cm="1">
        <f t="array" ref="AB185">IF(ISNUMBER(AA185), IFERROR(VALUE(RIGHT(AA185,LEN(AA185)-MIN(FIND({0;1;2;3;4;5;6;7;8;9},AA185&amp;"0123456789"))+1)),""), "")</f>
        <v/>
      </c>
    </row>
    <row r="186" spans="28:28" x14ac:dyDescent="0.25">
      <c r="AB186" s="381" t="str" cm="1">
        <f t="array" ref="AB186">IF(ISNUMBER(AA186), IFERROR(VALUE(RIGHT(AA186,LEN(AA186)-MIN(FIND({0;1;2;3;4;5;6;7;8;9},AA186&amp;"0123456789"))+1)),""), "")</f>
        <v/>
      </c>
    </row>
    <row r="187" spans="28:28" x14ac:dyDescent="0.25">
      <c r="AB187" s="381" t="str" cm="1">
        <f t="array" ref="AB187">IF(ISNUMBER(AA187), IFERROR(VALUE(RIGHT(AA187,LEN(AA187)-MIN(FIND({0;1;2;3;4;5;6;7;8;9},AA187&amp;"0123456789"))+1)),""), "")</f>
        <v/>
      </c>
    </row>
    <row r="188" spans="28:28" x14ac:dyDescent="0.25">
      <c r="AB188" s="381" t="str" cm="1">
        <f t="array" ref="AB188">IF(ISNUMBER(AA188), IFERROR(VALUE(RIGHT(AA188,LEN(AA188)-MIN(FIND({0;1;2;3;4;5;6;7;8;9},AA188&amp;"0123456789"))+1)),""), "")</f>
        <v/>
      </c>
    </row>
    <row r="189" spans="28:28" x14ac:dyDescent="0.25">
      <c r="AB189" s="381" t="str" cm="1">
        <f t="array" ref="AB189">IF(ISNUMBER(AA189), IFERROR(VALUE(RIGHT(AA189,LEN(AA189)-MIN(FIND({0;1;2;3;4;5;6;7;8;9},AA189&amp;"0123456789"))+1)),""), "")</f>
        <v/>
      </c>
    </row>
    <row r="190" spans="28:28" x14ac:dyDescent="0.25">
      <c r="AB190" s="381" t="str" cm="1">
        <f t="array" ref="AB190">IF(ISNUMBER(AA190), IFERROR(VALUE(RIGHT(AA190,LEN(AA190)-MIN(FIND({0;1;2;3;4;5;6;7;8;9},AA190&amp;"0123456789"))+1)),""), "")</f>
        <v/>
      </c>
    </row>
    <row r="191" spans="28:28" x14ac:dyDescent="0.25">
      <c r="AB191" s="381" t="str" cm="1">
        <f t="array" ref="AB191">IF(ISNUMBER(AA191), IFERROR(VALUE(RIGHT(AA191,LEN(AA191)-MIN(FIND({0;1;2;3;4;5;6;7;8;9},AA191&amp;"0123456789"))+1)),""), "")</f>
        <v/>
      </c>
    </row>
    <row r="192" spans="28:28" x14ac:dyDescent="0.25">
      <c r="AB192" s="381" t="str" cm="1">
        <f t="array" ref="AB192">IF(ISNUMBER(AA192), IFERROR(VALUE(RIGHT(AA192,LEN(AA192)-MIN(FIND({0;1;2;3;4;5;6;7;8;9},AA192&amp;"0123456789"))+1)),""), "")</f>
        <v/>
      </c>
    </row>
    <row r="193" spans="28:28" x14ac:dyDescent="0.25">
      <c r="AB193" s="381" t="str" cm="1">
        <f t="array" ref="AB193">IF(ISNUMBER(AA193), IFERROR(VALUE(RIGHT(AA193,LEN(AA193)-MIN(FIND({0;1;2;3;4;5;6;7;8;9},AA193&amp;"0123456789"))+1)),""), "")</f>
        <v/>
      </c>
    </row>
    <row r="194" spans="28:28" x14ac:dyDescent="0.25">
      <c r="AB194" s="381" t="str" cm="1">
        <f t="array" ref="AB194">IF(ISNUMBER(AA194), IFERROR(VALUE(RIGHT(AA194,LEN(AA194)-MIN(FIND({0;1;2;3;4;5;6;7;8;9},AA194&amp;"0123456789"))+1)),""), "")</f>
        <v/>
      </c>
    </row>
    <row r="195" spans="28:28" x14ac:dyDescent="0.25">
      <c r="AB195" s="381" t="str" cm="1">
        <f t="array" ref="AB195">IF(ISNUMBER(AA195), IFERROR(VALUE(RIGHT(AA195,LEN(AA195)-MIN(FIND({0;1;2;3;4;5;6;7;8;9},AA195&amp;"0123456789"))+1)),""), "")</f>
        <v/>
      </c>
    </row>
    <row r="196" spans="28:28" x14ac:dyDescent="0.25">
      <c r="AB196" s="381" t="str" cm="1">
        <f t="array" ref="AB196">IF(ISNUMBER(AA196), IFERROR(VALUE(RIGHT(AA196,LEN(AA196)-MIN(FIND({0;1;2;3;4;5;6;7;8;9},AA196&amp;"0123456789"))+1)),""), "")</f>
        <v/>
      </c>
    </row>
    <row r="197" spans="28:28" x14ac:dyDescent="0.25">
      <c r="AB197" s="381" t="str" cm="1">
        <f t="array" ref="AB197">IF(ISNUMBER(AA197), IFERROR(VALUE(RIGHT(AA197,LEN(AA197)-MIN(FIND({0;1;2;3;4;5;6;7;8;9},AA197&amp;"0123456789"))+1)),""), "")</f>
        <v/>
      </c>
    </row>
    <row r="198" spans="28:28" x14ac:dyDescent="0.25">
      <c r="AB198" s="381" t="str" cm="1">
        <f t="array" ref="AB198">IF(ISNUMBER(AA198), IFERROR(VALUE(RIGHT(AA198,LEN(AA198)-MIN(FIND({0;1;2;3;4;5;6;7;8;9},AA198&amp;"0123456789"))+1)),""), "")</f>
        <v/>
      </c>
    </row>
    <row r="199" spans="28:28" x14ac:dyDescent="0.25">
      <c r="AB199" s="381" t="str" cm="1">
        <f t="array" ref="AB199">IF(ISNUMBER(AA199), IFERROR(VALUE(RIGHT(AA199,LEN(AA199)-MIN(FIND({0;1;2;3;4;5;6;7;8;9},AA199&amp;"0123456789"))+1)),""), "")</f>
        <v/>
      </c>
    </row>
    <row r="200" spans="28:28" x14ac:dyDescent="0.25">
      <c r="AB200" s="381" t="str" cm="1">
        <f t="array" ref="AB200">IF(ISNUMBER(AA200), IFERROR(VALUE(RIGHT(AA200,LEN(AA200)-MIN(FIND({0;1;2;3;4;5;6;7;8;9},AA200&amp;"0123456789"))+1)),""), "")</f>
        <v/>
      </c>
    </row>
    <row r="201" spans="28:28" x14ac:dyDescent="0.25">
      <c r="AB201" s="381" t="str" cm="1">
        <f t="array" ref="AB201">IF(ISNUMBER(AA201), IFERROR(VALUE(RIGHT(AA201,LEN(AA201)-MIN(FIND({0;1;2;3;4;5;6;7;8;9},AA201&amp;"0123456789"))+1)),""), "")</f>
        <v/>
      </c>
    </row>
    <row r="202" spans="28:28" x14ac:dyDescent="0.25">
      <c r="AB202" s="381" t="str" cm="1">
        <f t="array" ref="AB202">IF(ISNUMBER(AA202), IFERROR(VALUE(RIGHT(AA202,LEN(AA202)-MIN(FIND({0;1;2;3;4;5;6;7;8;9},AA202&amp;"0123456789"))+1)),""), "")</f>
        <v/>
      </c>
    </row>
    <row r="203" spans="28:28" x14ac:dyDescent="0.25">
      <c r="AB203" s="381" t="str" cm="1">
        <f t="array" ref="AB203">IF(ISNUMBER(AA203), IFERROR(VALUE(RIGHT(AA203,LEN(AA203)-MIN(FIND({0;1;2;3;4;5;6;7;8;9},AA203&amp;"0123456789"))+1)),""), "")</f>
        <v/>
      </c>
    </row>
    <row r="204" spans="28:28" x14ac:dyDescent="0.25">
      <c r="AB204" s="381" t="str" cm="1">
        <f t="array" ref="AB204">IF(ISNUMBER(AA204), IFERROR(VALUE(RIGHT(AA204,LEN(AA204)-MIN(FIND({0;1;2;3;4;5;6;7;8;9},AA204&amp;"0123456789"))+1)),""), "")</f>
        <v/>
      </c>
    </row>
    <row r="205" spans="28:28" x14ac:dyDescent="0.25">
      <c r="AB205" s="381" t="str" cm="1">
        <f t="array" ref="AB205">IF(ISNUMBER(AA205), IFERROR(VALUE(RIGHT(AA205,LEN(AA205)-MIN(FIND({0;1;2;3;4;5;6;7;8;9},AA205&amp;"0123456789"))+1)),""), "")</f>
        <v/>
      </c>
    </row>
    <row r="206" spans="28:28" x14ac:dyDescent="0.25">
      <c r="AB206" s="381" t="str" cm="1">
        <f t="array" ref="AB206">IF(ISNUMBER(AA206), IFERROR(VALUE(RIGHT(AA206,LEN(AA206)-MIN(FIND({0;1;2;3;4;5;6;7;8;9},AA206&amp;"0123456789"))+1)),""), "")</f>
        <v/>
      </c>
    </row>
    <row r="207" spans="28:28" x14ac:dyDescent="0.25">
      <c r="AB207" s="381" t="str" cm="1">
        <f t="array" ref="AB207">IF(ISNUMBER(AA207), IFERROR(VALUE(RIGHT(AA207,LEN(AA207)-MIN(FIND({0;1;2;3;4;5;6;7;8;9},AA207&amp;"0123456789"))+1)),""), "")</f>
        <v/>
      </c>
    </row>
    <row r="208" spans="28:28" x14ac:dyDescent="0.25">
      <c r="AB208" s="381" t="str" cm="1">
        <f t="array" ref="AB208">IF(ISNUMBER(AA208), IFERROR(VALUE(RIGHT(AA208,LEN(AA208)-MIN(FIND({0;1;2;3;4;5;6;7;8;9},AA208&amp;"0123456789"))+1)),""), "")</f>
        <v/>
      </c>
    </row>
    <row r="209" spans="28:28" x14ac:dyDescent="0.25">
      <c r="AB209" s="381" t="str" cm="1">
        <f t="array" ref="AB209">IF(ISNUMBER(AA209), IFERROR(VALUE(RIGHT(AA209,LEN(AA209)-MIN(FIND({0;1;2;3;4;5;6;7;8;9},AA209&amp;"0123456789"))+1)),""), "")</f>
        <v/>
      </c>
    </row>
    <row r="210" spans="28:28" x14ac:dyDescent="0.25">
      <c r="AB210" s="381" t="str" cm="1">
        <f t="array" ref="AB210">IF(ISNUMBER(AA210), IFERROR(VALUE(RIGHT(AA210,LEN(AA210)-MIN(FIND({0;1;2;3;4;5;6;7;8;9},AA210&amp;"0123456789"))+1)),""), "")</f>
        <v/>
      </c>
    </row>
    <row r="211" spans="28:28" x14ac:dyDescent="0.25">
      <c r="AB211" s="381" t="str" cm="1">
        <f t="array" ref="AB211">IF(ISNUMBER(AA211), IFERROR(VALUE(RIGHT(AA211,LEN(AA211)-MIN(FIND({0;1;2;3;4;5;6;7;8;9},AA211&amp;"0123456789"))+1)),""), "")</f>
        <v/>
      </c>
    </row>
    <row r="212" spans="28:28" x14ac:dyDescent="0.25">
      <c r="AB212" s="381" t="str" cm="1">
        <f t="array" ref="AB212">IF(ISNUMBER(AA212), IFERROR(VALUE(RIGHT(AA212,LEN(AA212)-MIN(FIND({0;1;2;3;4;5;6;7;8;9},AA212&amp;"0123456789"))+1)),""), "")</f>
        <v/>
      </c>
    </row>
    <row r="213" spans="28:28" x14ac:dyDescent="0.25">
      <c r="AB213" s="381" t="str" cm="1">
        <f t="array" ref="AB213">IF(ISNUMBER(AA213), IFERROR(VALUE(RIGHT(AA213,LEN(AA213)-MIN(FIND({0;1;2;3;4;5;6;7;8;9},AA213&amp;"0123456789"))+1)),""), "")</f>
        <v/>
      </c>
    </row>
    <row r="214" spans="28:28" x14ac:dyDescent="0.25">
      <c r="AB214" s="381" t="str" cm="1">
        <f t="array" ref="AB214">IF(ISNUMBER(AA214), IFERROR(VALUE(RIGHT(AA214,LEN(AA214)-MIN(FIND({0;1;2;3;4;5;6;7;8;9},AA214&amp;"0123456789"))+1)),""), "")</f>
        <v/>
      </c>
    </row>
    <row r="215" spans="28:28" x14ac:dyDescent="0.25">
      <c r="AB215" s="381" t="str" cm="1">
        <f t="array" ref="AB215">IF(ISNUMBER(AA215), IFERROR(VALUE(RIGHT(AA215,LEN(AA215)-MIN(FIND({0;1;2;3;4;5;6;7;8;9},AA215&amp;"0123456789"))+1)),""), "")</f>
        <v/>
      </c>
    </row>
    <row r="216" spans="28:28" x14ac:dyDescent="0.25">
      <c r="AB216" s="381" t="str" cm="1">
        <f t="array" ref="AB216">IF(ISNUMBER(AA216), IFERROR(VALUE(RIGHT(AA216,LEN(AA216)-MIN(FIND({0;1;2;3;4;5;6;7;8;9},AA216&amp;"0123456789"))+1)),""), "")</f>
        <v/>
      </c>
    </row>
    <row r="217" spans="28:28" x14ac:dyDescent="0.25">
      <c r="AB217" s="381" t="str" cm="1">
        <f t="array" ref="AB217">IF(ISNUMBER(AA217), IFERROR(VALUE(RIGHT(AA217,LEN(AA217)-MIN(FIND({0;1;2;3;4;5;6;7;8;9},AA217&amp;"0123456789"))+1)),""), "")</f>
        <v/>
      </c>
    </row>
    <row r="218" spans="28:28" x14ac:dyDescent="0.25">
      <c r="AB218" s="381" t="str" cm="1">
        <f t="array" ref="AB218">IF(ISNUMBER(AA218), IFERROR(VALUE(RIGHT(AA218,LEN(AA218)-MIN(FIND({0;1;2;3;4;5;6;7;8;9},AA218&amp;"0123456789"))+1)),""), "")</f>
        <v/>
      </c>
    </row>
    <row r="219" spans="28:28" x14ac:dyDescent="0.25">
      <c r="AB219" s="381" t="str" cm="1">
        <f t="array" ref="AB219">IF(ISNUMBER(AA219), IFERROR(VALUE(RIGHT(AA219,LEN(AA219)-MIN(FIND({0;1;2;3;4;5;6;7;8;9},AA219&amp;"0123456789"))+1)),""), "")</f>
        <v/>
      </c>
    </row>
    <row r="220" spans="28:28" x14ac:dyDescent="0.25">
      <c r="AB220" s="381" t="str" cm="1">
        <f t="array" ref="AB220">IF(ISNUMBER(AA220), IFERROR(VALUE(RIGHT(AA220,LEN(AA220)-MIN(FIND({0;1;2;3;4;5;6;7;8;9},AA220&amp;"0123456789"))+1)),""), "")</f>
        <v/>
      </c>
    </row>
    <row r="221" spans="28:28" x14ac:dyDescent="0.25">
      <c r="AB221" s="381" t="str" cm="1">
        <f t="array" ref="AB221">IF(ISNUMBER(AA221), IFERROR(VALUE(RIGHT(AA221,LEN(AA221)-MIN(FIND({0;1;2;3;4;5;6;7;8;9},AA221&amp;"0123456789"))+1)),""), "")</f>
        <v/>
      </c>
    </row>
    <row r="222" spans="28:28" x14ac:dyDescent="0.25">
      <c r="AB222" s="381" t="str" cm="1">
        <f t="array" ref="AB222">IF(ISNUMBER(AA222), IFERROR(VALUE(RIGHT(AA222,LEN(AA222)-MIN(FIND({0;1;2;3;4;5;6;7;8;9},AA222&amp;"0123456789"))+1)),""), "")</f>
        <v/>
      </c>
    </row>
    <row r="223" spans="28:28" x14ac:dyDescent="0.25">
      <c r="AB223" s="381" t="str" cm="1">
        <f t="array" ref="AB223">IF(ISNUMBER(AA223), IFERROR(VALUE(RIGHT(AA223,LEN(AA223)-MIN(FIND({0;1;2;3;4;5;6;7;8;9},AA223&amp;"0123456789"))+1)),""), "")</f>
        <v/>
      </c>
    </row>
    <row r="224" spans="28:28" x14ac:dyDescent="0.25">
      <c r="AB224" s="381" t="str" cm="1">
        <f t="array" ref="AB224">IF(ISNUMBER(AA224), IFERROR(VALUE(RIGHT(AA224,LEN(AA224)-MIN(FIND({0;1;2;3;4;5;6;7;8;9},AA224&amp;"0123456789"))+1)),""), "")</f>
        <v/>
      </c>
    </row>
    <row r="225" spans="28:28" x14ac:dyDescent="0.25">
      <c r="AB225" s="381" t="str" cm="1">
        <f t="array" ref="AB225">IF(ISNUMBER(AA225), IFERROR(VALUE(RIGHT(AA225,LEN(AA225)-MIN(FIND({0;1;2;3;4;5;6;7;8;9},AA225&amp;"0123456789"))+1)),""), "")</f>
        <v/>
      </c>
    </row>
    <row r="226" spans="28:28" x14ac:dyDescent="0.25">
      <c r="AB226" s="381" t="str" cm="1">
        <f t="array" ref="AB226">IF(ISNUMBER(AA226), IFERROR(VALUE(RIGHT(AA226,LEN(AA226)-MIN(FIND({0;1;2;3;4;5;6;7;8;9},AA226&amp;"0123456789"))+1)),""), "")</f>
        <v/>
      </c>
    </row>
    <row r="227" spans="28:28" x14ac:dyDescent="0.25">
      <c r="AB227" s="381" t="str" cm="1">
        <f t="array" ref="AB227">IF(ISNUMBER(AA227), IFERROR(VALUE(RIGHT(AA227,LEN(AA227)-MIN(FIND({0;1;2;3;4;5;6;7;8;9},AA227&amp;"0123456789"))+1)),""), "")</f>
        <v/>
      </c>
    </row>
    <row r="228" spans="28:28" x14ac:dyDescent="0.25">
      <c r="AB228" s="381" t="str" cm="1">
        <f t="array" ref="AB228">IF(ISNUMBER(AA228), IFERROR(VALUE(RIGHT(AA228,LEN(AA228)-MIN(FIND({0;1;2;3;4;5;6;7;8;9},AA228&amp;"0123456789"))+1)),""), "")</f>
        <v/>
      </c>
    </row>
    <row r="229" spans="28:28" x14ac:dyDescent="0.25">
      <c r="AB229" s="381" t="str" cm="1">
        <f t="array" ref="AB229">IF(ISNUMBER(AA229), IFERROR(VALUE(RIGHT(AA229,LEN(AA229)-MIN(FIND({0;1;2;3;4;5;6;7;8;9},AA229&amp;"0123456789"))+1)),""), "")</f>
        <v/>
      </c>
    </row>
    <row r="230" spans="28:28" x14ac:dyDescent="0.25">
      <c r="AB230" s="381" t="str" cm="1">
        <f t="array" ref="AB230">IF(ISNUMBER(AA230), IFERROR(VALUE(RIGHT(AA230,LEN(AA230)-MIN(FIND({0;1;2;3;4;5;6;7;8;9},AA230&amp;"0123456789"))+1)),""), "")</f>
        <v/>
      </c>
    </row>
    <row r="231" spans="28:28" x14ac:dyDescent="0.25">
      <c r="AB231" s="381" t="str" cm="1">
        <f t="array" ref="AB231">IF(ISNUMBER(AA231), IFERROR(VALUE(RIGHT(AA231,LEN(AA231)-MIN(FIND({0;1;2;3;4;5;6;7;8;9},AA231&amp;"0123456789"))+1)),""), "")</f>
        <v/>
      </c>
    </row>
    <row r="232" spans="28:28" x14ac:dyDescent="0.25">
      <c r="AB232" s="381" t="str" cm="1">
        <f t="array" ref="AB232">IF(ISNUMBER(AA232), IFERROR(VALUE(RIGHT(AA232,LEN(AA232)-MIN(FIND({0;1;2;3;4;5;6;7;8;9},AA232&amp;"0123456789"))+1)),""), "")</f>
        <v/>
      </c>
    </row>
    <row r="233" spans="28:28" x14ac:dyDescent="0.25">
      <c r="AB233" s="381" t="str" cm="1">
        <f t="array" ref="AB233">IF(ISNUMBER(AA233), IFERROR(VALUE(RIGHT(AA233,LEN(AA233)-MIN(FIND({0;1;2;3;4;5;6;7;8;9},AA233&amp;"0123456789"))+1)),""), "")</f>
        <v/>
      </c>
    </row>
    <row r="234" spans="28:28" x14ac:dyDescent="0.25">
      <c r="AB234" s="381" t="str" cm="1">
        <f t="array" ref="AB234">IF(ISNUMBER(AA234), IFERROR(VALUE(RIGHT(AA234,LEN(AA234)-MIN(FIND({0;1;2;3;4;5;6;7;8;9},AA234&amp;"0123456789"))+1)),""), "")</f>
        <v/>
      </c>
    </row>
    <row r="235" spans="28:28" x14ac:dyDescent="0.25">
      <c r="AB235" s="381" t="str" cm="1">
        <f t="array" ref="AB235">IF(ISNUMBER(AA235), IFERROR(VALUE(RIGHT(AA235,LEN(AA235)-MIN(FIND({0;1;2;3;4;5;6;7;8;9},AA235&amp;"0123456789"))+1)),""), "")</f>
        <v/>
      </c>
    </row>
    <row r="236" spans="28:28" x14ac:dyDescent="0.25">
      <c r="AB236" s="381" t="str" cm="1">
        <f t="array" ref="AB236">IF(ISNUMBER(AA236), IFERROR(VALUE(RIGHT(AA236,LEN(AA236)-MIN(FIND({0;1;2;3;4;5;6;7;8;9},AA236&amp;"0123456789"))+1)),""), "")</f>
        <v/>
      </c>
    </row>
    <row r="237" spans="28:28" x14ac:dyDescent="0.25">
      <c r="AB237" s="381" t="str" cm="1">
        <f t="array" ref="AB237">IF(ISNUMBER(AA237), IFERROR(VALUE(RIGHT(AA237,LEN(AA237)-MIN(FIND({0;1;2;3;4;5;6;7;8;9},AA237&amp;"0123456789"))+1)),""), "")</f>
        <v/>
      </c>
    </row>
    <row r="238" spans="28:28" x14ac:dyDescent="0.25">
      <c r="AB238" s="381" t="str" cm="1">
        <f t="array" ref="AB238">IF(ISNUMBER(AA238), IFERROR(VALUE(RIGHT(AA238,LEN(AA238)-MIN(FIND({0;1;2;3;4;5;6;7;8;9},AA238&amp;"0123456789"))+1)),""), "")</f>
        <v/>
      </c>
    </row>
    <row r="239" spans="28:28" x14ac:dyDescent="0.25">
      <c r="AB239" s="381" t="str" cm="1">
        <f t="array" ref="AB239">IF(ISNUMBER(AA239), IFERROR(VALUE(RIGHT(AA239,LEN(AA239)-MIN(FIND({0;1;2;3;4;5;6;7;8;9},AA239&amp;"0123456789"))+1)),""), "")</f>
        <v/>
      </c>
    </row>
    <row r="240" spans="28:28" x14ac:dyDescent="0.25">
      <c r="AB240" s="381" t="str" cm="1">
        <f t="array" ref="AB240">IF(ISNUMBER(AA240), IFERROR(VALUE(RIGHT(AA240,LEN(AA240)-MIN(FIND({0;1;2;3;4;5;6;7;8;9},AA240&amp;"0123456789"))+1)),""), "")</f>
        <v/>
      </c>
    </row>
    <row r="241" spans="28:28" x14ac:dyDescent="0.25">
      <c r="AB241" s="381" t="str" cm="1">
        <f t="array" ref="AB241">IF(ISNUMBER(AA241), IFERROR(VALUE(RIGHT(AA241,LEN(AA241)-MIN(FIND({0;1;2;3;4;5;6;7;8;9},AA241&amp;"0123456789"))+1)),""), "")</f>
        <v/>
      </c>
    </row>
    <row r="242" spans="28:28" x14ac:dyDescent="0.25">
      <c r="AB242" s="381" t="str" cm="1">
        <f t="array" ref="AB242">IF(ISNUMBER(AA242), IFERROR(VALUE(RIGHT(AA242,LEN(AA242)-MIN(FIND({0;1;2;3;4;5;6;7;8;9},AA242&amp;"0123456789"))+1)),""), "")</f>
        <v/>
      </c>
    </row>
    <row r="243" spans="28:28" x14ac:dyDescent="0.25">
      <c r="AB243" s="381" t="str" cm="1">
        <f t="array" ref="AB243">IF(ISNUMBER(AA243), IFERROR(VALUE(RIGHT(AA243,LEN(AA243)-MIN(FIND({0;1;2;3;4;5;6;7;8;9},AA243&amp;"0123456789"))+1)),""), "")</f>
        <v/>
      </c>
    </row>
    <row r="244" spans="28:28" x14ac:dyDescent="0.25">
      <c r="AB244" s="381" t="str" cm="1">
        <f t="array" ref="AB244">IF(ISNUMBER(AA244), IFERROR(VALUE(RIGHT(AA244,LEN(AA244)-MIN(FIND({0;1;2;3;4;5;6;7;8;9},AA244&amp;"0123456789"))+1)),""), "")</f>
        <v/>
      </c>
    </row>
    <row r="245" spans="28:28" x14ac:dyDescent="0.25">
      <c r="AB245" s="381" t="str" cm="1">
        <f t="array" ref="AB245">IF(ISNUMBER(AA245), IFERROR(VALUE(RIGHT(AA245,LEN(AA245)-MIN(FIND({0;1;2;3;4;5;6;7;8;9},AA245&amp;"0123456789"))+1)),""), "")</f>
        <v/>
      </c>
    </row>
    <row r="246" spans="28:28" x14ac:dyDescent="0.25">
      <c r="AB246" s="381" t="str" cm="1">
        <f t="array" ref="AB246">IF(ISNUMBER(AA246), IFERROR(VALUE(RIGHT(AA246,LEN(AA246)-MIN(FIND({0;1;2;3;4;5;6;7;8;9},AA246&amp;"0123456789"))+1)),""), "")</f>
        <v/>
      </c>
    </row>
    <row r="247" spans="28:28" x14ac:dyDescent="0.25">
      <c r="AB247" s="381" t="str" cm="1">
        <f t="array" ref="AB247">IF(ISNUMBER(AA247), IFERROR(VALUE(RIGHT(AA247,LEN(AA247)-MIN(FIND({0;1;2;3;4;5;6;7;8;9},AA247&amp;"0123456789"))+1)),""), "")</f>
        <v/>
      </c>
    </row>
    <row r="248" spans="28:28" x14ac:dyDescent="0.25">
      <c r="AB248" s="381" t="str" cm="1">
        <f t="array" ref="AB248">IF(ISNUMBER(AA248), IFERROR(VALUE(RIGHT(AA248,LEN(AA248)-MIN(FIND({0;1;2;3;4;5;6;7;8;9},AA248&amp;"0123456789"))+1)),""), "")</f>
        <v/>
      </c>
    </row>
    <row r="249" spans="28:28" x14ac:dyDescent="0.25">
      <c r="AB249" s="381" t="str" cm="1">
        <f t="array" ref="AB249">IF(ISNUMBER(AA249), IFERROR(VALUE(RIGHT(AA249,LEN(AA249)-MIN(FIND({0;1;2;3;4;5;6;7;8;9},AA249&amp;"0123456789"))+1)),""), "")</f>
        <v/>
      </c>
    </row>
    <row r="250" spans="28:28" x14ac:dyDescent="0.25">
      <c r="AB250" s="381" t="str" cm="1">
        <f t="array" ref="AB250">IF(ISNUMBER(AA250), IFERROR(VALUE(RIGHT(AA250,LEN(AA250)-MIN(FIND({0;1;2;3;4;5;6;7;8;9},AA250&amp;"0123456789"))+1)),""), "")</f>
        <v/>
      </c>
    </row>
    <row r="251" spans="28:28" x14ac:dyDescent="0.25">
      <c r="AB251" s="381" t="str" cm="1">
        <f t="array" ref="AB251">IF(ISNUMBER(AA251), IFERROR(VALUE(RIGHT(AA251,LEN(AA251)-MIN(FIND({0;1;2;3;4;5;6;7;8;9},AA251&amp;"0123456789"))+1)),""), "")</f>
        <v/>
      </c>
    </row>
    <row r="252" spans="28:28" x14ac:dyDescent="0.25">
      <c r="AB252" s="381" t="str" cm="1">
        <f t="array" ref="AB252">IF(ISNUMBER(AA252), IFERROR(VALUE(RIGHT(AA252,LEN(AA252)-MIN(FIND({0;1;2;3;4;5;6;7;8;9},AA252&amp;"0123456789"))+1)),""), "")</f>
        <v/>
      </c>
    </row>
    <row r="253" spans="28:28" x14ac:dyDescent="0.25">
      <c r="AB253" s="381" t="str" cm="1">
        <f t="array" ref="AB253">IF(ISNUMBER(AA253), IFERROR(VALUE(RIGHT(AA253,LEN(AA253)-MIN(FIND({0;1;2;3;4;5;6;7;8;9},AA253&amp;"0123456789"))+1)),""), "")</f>
        <v/>
      </c>
    </row>
    <row r="254" spans="28:28" x14ac:dyDescent="0.25">
      <c r="AB254" s="381" t="str" cm="1">
        <f t="array" ref="AB254">IF(ISNUMBER(AA254), IFERROR(VALUE(RIGHT(AA254,LEN(AA254)-MIN(FIND({0;1;2;3;4;5;6;7;8;9},AA254&amp;"0123456789"))+1)),""), "")</f>
        <v/>
      </c>
    </row>
    <row r="255" spans="28:28" x14ac:dyDescent="0.25">
      <c r="AB255" s="381" t="str" cm="1">
        <f t="array" ref="AB255">IF(ISNUMBER(AA255), IFERROR(VALUE(RIGHT(AA255,LEN(AA255)-MIN(FIND({0;1;2;3;4;5;6;7;8;9},AA255&amp;"0123456789"))+1)),""), "")</f>
        <v/>
      </c>
    </row>
    <row r="256" spans="28:28" x14ac:dyDescent="0.25">
      <c r="AB256" s="381" t="str" cm="1">
        <f t="array" ref="AB256">IF(ISNUMBER(AA256), IFERROR(VALUE(RIGHT(AA256,LEN(AA256)-MIN(FIND({0;1;2;3;4;5;6;7;8;9},AA256&amp;"0123456789"))+1)),""), "")</f>
        <v/>
      </c>
    </row>
    <row r="257" spans="28:28" x14ac:dyDescent="0.25">
      <c r="AB257" s="381" t="str" cm="1">
        <f t="array" ref="AB257">IF(ISNUMBER(AA257), IFERROR(VALUE(RIGHT(AA257,LEN(AA257)-MIN(FIND({0;1;2;3;4;5;6;7;8;9},AA257&amp;"0123456789"))+1)),""), "")</f>
        <v/>
      </c>
    </row>
    <row r="258" spans="28:28" x14ac:dyDescent="0.25">
      <c r="AB258" s="381" t="str" cm="1">
        <f t="array" ref="AB258">IF(ISNUMBER(AA258), IFERROR(VALUE(RIGHT(AA258,LEN(AA258)-MIN(FIND({0;1;2;3;4;5;6;7;8;9},AA258&amp;"0123456789"))+1)),""), "")</f>
        <v/>
      </c>
    </row>
    <row r="259" spans="28:28" x14ac:dyDescent="0.25">
      <c r="AB259" s="381" t="str" cm="1">
        <f t="array" ref="AB259">IF(ISNUMBER(AA259), IFERROR(VALUE(RIGHT(AA259,LEN(AA259)-MIN(FIND({0;1;2;3;4;5;6;7;8;9},AA259&amp;"0123456789"))+1)),""), "")</f>
        <v/>
      </c>
    </row>
    <row r="260" spans="28:28" x14ac:dyDescent="0.25">
      <c r="AB260" s="381" t="str" cm="1">
        <f t="array" ref="AB260">IF(ISNUMBER(AA260), IFERROR(VALUE(RIGHT(AA260,LEN(AA260)-MIN(FIND({0;1;2;3;4;5;6;7;8;9},AA260&amp;"0123456789"))+1)),""), "")</f>
        <v/>
      </c>
    </row>
    <row r="261" spans="28:28" x14ac:dyDescent="0.25">
      <c r="AB261" s="381" t="str" cm="1">
        <f t="array" ref="AB261">IF(ISNUMBER(AA261), IFERROR(VALUE(RIGHT(AA261,LEN(AA261)-MIN(FIND({0;1;2;3;4;5;6;7;8;9},AA261&amp;"0123456789"))+1)),""), "")</f>
        <v/>
      </c>
    </row>
    <row r="262" spans="28:28" x14ac:dyDescent="0.25">
      <c r="AB262" s="381" t="str" cm="1">
        <f t="array" ref="AB262">IF(ISNUMBER(AA262), IFERROR(VALUE(RIGHT(AA262,LEN(AA262)-MIN(FIND({0;1;2;3;4;5;6;7;8;9},AA262&amp;"0123456789"))+1)),""), "")</f>
        <v/>
      </c>
    </row>
    <row r="263" spans="28:28" x14ac:dyDescent="0.25">
      <c r="AB263" s="381" t="str" cm="1">
        <f t="array" ref="AB263">IF(ISNUMBER(AA263), IFERROR(VALUE(RIGHT(AA263,LEN(AA263)-MIN(FIND({0;1;2;3;4;5;6;7;8;9},AA263&amp;"0123456789"))+1)),""), "")</f>
        <v/>
      </c>
    </row>
    <row r="264" spans="28:28" x14ac:dyDescent="0.25">
      <c r="AB264" s="381" t="str" cm="1">
        <f t="array" ref="AB264">IF(ISNUMBER(AA264), IFERROR(VALUE(RIGHT(AA264,LEN(AA264)-MIN(FIND({0;1;2;3;4;5;6;7;8;9},AA264&amp;"0123456789"))+1)),""), "")</f>
        <v/>
      </c>
    </row>
    <row r="265" spans="28:28" x14ac:dyDescent="0.25">
      <c r="AB265" s="381" t="str" cm="1">
        <f t="array" ref="AB265">IF(ISNUMBER(AA265), IFERROR(VALUE(RIGHT(AA265,LEN(AA265)-MIN(FIND({0;1;2;3;4;5;6;7;8;9},AA265&amp;"0123456789"))+1)),""), "")</f>
        <v/>
      </c>
    </row>
    <row r="266" spans="28:28" x14ac:dyDescent="0.25">
      <c r="AB266" s="381" t="str" cm="1">
        <f t="array" ref="AB266">IF(ISNUMBER(AA266), IFERROR(VALUE(RIGHT(AA266,LEN(AA266)-MIN(FIND({0;1;2;3;4;5;6;7;8;9},AA266&amp;"0123456789"))+1)),""), "")</f>
        <v/>
      </c>
    </row>
    <row r="267" spans="28:28" x14ac:dyDescent="0.25">
      <c r="AB267" s="381" t="str" cm="1">
        <f t="array" ref="AB267">IF(ISNUMBER(AA267), IFERROR(VALUE(RIGHT(AA267,LEN(AA267)-MIN(FIND({0;1;2;3;4;5;6;7;8;9},AA267&amp;"0123456789"))+1)),""), "")</f>
        <v/>
      </c>
    </row>
    <row r="268" spans="28:28" x14ac:dyDescent="0.25">
      <c r="AB268" s="381" t="str" cm="1">
        <f t="array" ref="AB268">IF(ISNUMBER(AA268), IFERROR(VALUE(RIGHT(AA268,LEN(AA268)-MIN(FIND({0;1;2;3;4;5;6;7;8;9},AA268&amp;"0123456789"))+1)),""), "")</f>
        <v/>
      </c>
    </row>
    <row r="269" spans="28:28" x14ac:dyDescent="0.25">
      <c r="AB269" s="381" t="str" cm="1">
        <f t="array" ref="AB269">IF(ISNUMBER(AA269), IFERROR(VALUE(RIGHT(AA269,LEN(AA269)-MIN(FIND({0;1;2;3;4;5;6;7;8;9},AA269&amp;"0123456789"))+1)),""), "")</f>
        <v/>
      </c>
    </row>
    <row r="270" spans="28:28" x14ac:dyDescent="0.25">
      <c r="AB270" s="381" t="str" cm="1">
        <f t="array" ref="AB270">IF(ISNUMBER(AA270), IFERROR(VALUE(RIGHT(AA270,LEN(AA270)-MIN(FIND({0;1;2;3;4;5;6;7;8;9},AA270&amp;"0123456789"))+1)),""), "")</f>
        <v/>
      </c>
    </row>
    <row r="271" spans="28:28" x14ac:dyDescent="0.25">
      <c r="AB271" s="381" t="str" cm="1">
        <f t="array" ref="AB271">IF(ISNUMBER(AA271), IFERROR(VALUE(RIGHT(AA271,LEN(AA271)-MIN(FIND({0;1;2;3;4;5;6;7;8;9},AA271&amp;"0123456789"))+1)),""), "")</f>
        <v/>
      </c>
    </row>
    <row r="272" spans="28:28" x14ac:dyDescent="0.25">
      <c r="AB272" s="381" t="str" cm="1">
        <f t="array" ref="AB272">IF(ISNUMBER(AA272), IFERROR(VALUE(RIGHT(AA272,LEN(AA272)-MIN(FIND({0;1;2;3;4;5;6;7;8;9},AA272&amp;"0123456789"))+1)),""), "")</f>
        <v/>
      </c>
    </row>
    <row r="273" spans="28:28" x14ac:dyDescent="0.25">
      <c r="AB273" s="381" t="str" cm="1">
        <f t="array" ref="AB273">IF(ISNUMBER(AA273), IFERROR(VALUE(RIGHT(AA273,LEN(AA273)-MIN(FIND({0;1;2;3;4;5;6;7;8;9},AA273&amp;"0123456789"))+1)),""), "")</f>
        <v/>
      </c>
    </row>
    <row r="274" spans="28:28" x14ac:dyDescent="0.25">
      <c r="AB274" s="381" t="str" cm="1">
        <f t="array" ref="AB274">IF(ISNUMBER(AA274), IFERROR(VALUE(RIGHT(AA274,LEN(AA274)-MIN(FIND({0;1;2;3;4;5;6;7;8;9},AA274&amp;"0123456789"))+1)),""), "")</f>
        <v/>
      </c>
    </row>
    <row r="275" spans="28:28" x14ac:dyDescent="0.25">
      <c r="AB275" s="381" t="str" cm="1">
        <f t="array" ref="AB275">IF(ISNUMBER(AA275), IFERROR(VALUE(RIGHT(AA275,LEN(AA275)-MIN(FIND({0;1;2;3;4;5;6;7;8;9},AA275&amp;"0123456789"))+1)),""), "")</f>
        <v/>
      </c>
    </row>
    <row r="276" spans="28:28" x14ac:dyDescent="0.25">
      <c r="AB276" s="381" t="str" cm="1">
        <f t="array" ref="AB276">IF(ISNUMBER(AA276), IFERROR(VALUE(RIGHT(AA276,LEN(AA276)-MIN(FIND({0;1;2;3;4;5;6;7;8;9},AA276&amp;"0123456789"))+1)),""), "")</f>
        <v/>
      </c>
    </row>
    <row r="277" spans="28:28" x14ac:dyDescent="0.25">
      <c r="AB277" s="381" t="str" cm="1">
        <f t="array" ref="AB277">IF(ISNUMBER(AA277), IFERROR(VALUE(RIGHT(AA277,LEN(AA277)-MIN(FIND({0;1;2;3;4;5;6;7;8;9},AA277&amp;"0123456789"))+1)),""), "")</f>
        <v/>
      </c>
    </row>
    <row r="278" spans="28:28" x14ac:dyDescent="0.25">
      <c r="AB278" s="381" t="str" cm="1">
        <f t="array" ref="AB278">IF(ISNUMBER(AA278), IFERROR(VALUE(RIGHT(AA278,LEN(AA278)-MIN(FIND({0;1;2;3;4;5;6;7;8;9},AA278&amp;"0123456789"))+1)),""), "")</f>
        <v/>
      </c>
    </row>
    <row r="279" spans="28:28" x14ac:dyDescent="0.25">
      <c r="AB279" s="381" t="str" cm="1">
        <f t="array" ref="AB279">IF(ISNUMBER(AA279), IFERROR(VALUE(RIGHT(AA279,LEN(AA279)-MIN(FIND({0;1;2;3;4;5;6;7;8;9},AA279&amp;"0123456789"))+1)),""), "")</f>
        <v/>
      </c>
    </row>
    <row r="280" spans="28:28" x14ac:dyDescent="0.25">
      <c r="AB280" s="381" t="str" cm="1">
        <f t="array" ref="AB280">IF(ISNUMBER(AA280), IFERROR(VALUE(RIGHT(AA280,LEN(AA280)-MIN(FIND({0;1;2;3;4;5;6;7;8;9},AA280&amp;"0123456789"))+1)),""), "")</f>
        <v/>
      </c>
    </row>
    <row r="281" spans="28:28" x14ac:dyDescent="0.25">
      <c r="AB281" s="381" t="str" cm="1">
        <f t="array" ref="AB281">IF(ISNUMBER(AA281), IFERROR(VALUE(RIGHT(AA281,LEN(AA281)-MIN(FIND({0;1;2;3;4;5;6;7;8;9},AA281&amp;"0123456789"))+1)),""), "")</f>
        <v/>
      </c>
    </row>
    <row r="282" spans="28:28" x14ac:dyDescent="0.25">
      <c r="AB282" s="381" t="str" cm="1">
        <f t="array" ref="AB282">IF(ISNUMBER(AA282), IFERROR(VALUE(RIGHT(AA282,LEN(AA282)-MIN(FIND({0;1;2;3;4;5;6;7;8;9},AA282&amp;"0123456789"))+1)),""), "")</f>
        <v/>
      </c>
    </row>
    <row r="283" spans="28:28" x14ac:dyDescent="0.25">
      <c r="AB283" s="381" t="str" cm="1">
        <f t="array" ref="AB283">IF(ISNUMBER(AA283), IFERROR(VALUE(RIGHT(AA283,LEN(AA283)-MIN(FIND({0;1;2;3;4;5;6;7;8;9},AA283&amp;"0123456789"))+1)),""), "")</f>
        <v/>
      </c>
    </row>
    <row r="284" spans="28:28" x14ac:dyDescent="0.25">
      <c r="AB284" s="381" t="str" cm="1">
        <f t="array" ref="AB284">IF(ISNUMBER(AA284), IFERROR(VALUE(RIGHT(AA284,LEN(AA284)-MIN(FIND({0;1;2;3;4;5;6;7;8;9},AA284&amp;"0123456789"))+1)),""), "")</f>
        <v/>
      </c>
    </row>
    <row r="285" spans="28:28" x14ac:dyDescent="0.25">
      <c r="AB285" s="381" t="str" cm="1">
        <f t="array" ref="AB285">IF(ISNUMBER(AA285), IFERROR(VALUE(RIGHT(AA285,LEN(AA285)-MIN(FIND({0;1;2;3;4;5;6;7;8;9},AA285&amp;"0123456789"))+1)),""), "")</f>
        <v/>
      </c>
    </row>
    <row r="286" spans="28:28" x14ac:dyDescent="0.25">
      <c r="AB286" s="381" t="str" cm="1">
        <f t="array" ref="AB286">IF(ISNUMBER(AA286), IFERROR(VALUE(RIGHT(AA286,LEN(AA286)-MIN(FIND({0;1;2;3;4;5;6;7;8;9},AA286&amp;"0123456789"))+1)),""), "")</f>
        <v/>
      </c>
    </row>
    <row r="287" spans="28:28" x14ac:dyDescent="0.25">
      <c r="AB287" s="381" t="str" cm="1">
        <f t="array" ref="AB287">IF(ISNUMBER(AA287), IFERROR(VALUE(RIGHT(AA287,LEN(AA287)-MIN(FIND({0;1;2;3;4;5;6;7;8;9},AA287&amp;"0123456789"))+1)),""), "")</f>
        <v/>
      </c>
    </row>
    <row r="288" spans="28:28" x14ac:dyDescent="0.25">
      <c r="AB288" s="381" t="str" cm="1">
        <f t="array" ref="AB288">IF(ISNUMBER(AA288), IFERROR(VALUE(RIGHT(AA288,LEN(AA288)-MIN(FIND({0;1;2;3;4;5;6;7;8;9},AA288&amp;"0123456789"))+1)),""), "")</f>
        <v/>
      </c>
    </row>
    <row r="289" spans="28:28" x14ac:dyDescent="0.25">
      <c r="AB289" s="381" t="str" cm="1">
        <f t="array" ref="AB289">IF(ISNUMBER(AA289), IFERROR(VALUE(RIGHT(AA289,LEN(AA289)-MIN(FIND({0;1;2;3;4;5;6;7;8;9},AA289&amp;"0123456789"))+1)),""), "")</f>
        <v/>
      </c>
    </row>
    <row r="290" spans="28:28" x14ac:dyDescent="0.25">
      <c r="AB290" s="381" t="str" cm="1">
        <f t="array" ref="AB290">IF(ISNUMBER(AA290), IFERROR(VALUE(RIGHT(AA290,LEN(AA290)-MIN(FIND({0;1;2;3;4;5;6;7;8;9},AA290&amp;"0123456789"))+1)),""), "")</f>
        <v/>
      </c>
    </row>
    <row r="291" spans="28:28" x14ac:dyDescent="0.25">
      <c r="AB291" s="381" t="str" cm="1">
        <f t="array" ref="AB291">IF(ISNUMBER(AA291), IFERROR(VALUE(RIGHT(AA291,LEN(AA291)-MIN(FIND({0;1;2;3;4;5;6;7;8;9},AA291&amp;"0123456789"))+1)),""), "")</f>
        <v/>
      </c>
    </row>
    <row r="292" spans="28:28" x14ac:dyDescent="0.25">
      <c r="AB292" s="381" t="str" cm="1">
        <f t="array" ref="AB292">IF(ISNUMBER(AA292), IFERROR(VALUE(RIGHT(AA292,LEN(AA292)-MIN(FIND({0;1;2;3;4;5;6;7;8;9},AA292&amp;"0123456789"))+1)),""), "")</f>
        <v/>
      </c>
    </row>
    <row r="293" spans="28:28" x14ac:dyDescent="0.25">
      <c r="AB293" s="381" t="str" cm="1">
        <f t="array" ref="AB293">IF(ISNUMBER(AA293), IFERROR(VALUE(RIGHT(AA293,LEN(AA293)-MIN(FIND({0;1;2;3;4;5;6;7;8;9},AA293&amp;"0123456789"))+1)),""), "")</f>
        <v/>
      </c>
    </row>
    <row r="294" spans="28:28" x14ac:dyDescent="0.25">
      <c r="AB294" s="381" t="str" cm="1">
        <f t="array" ref="AB294">IF(ISNUMBER(AA294), IFERROR(VALUE(RIGHT(AA294,LEN(AA294)-MIN(FIND({0;1;2;3;4;5;6;7;8;9},AA294&amp;"0123456789"))+1)),""), "")</f>
        <v/>
      </c>
    </row>
    <row r="295" spans="28:28" x14ac:dyDescent="0.25">
      <c r="AB295" s="381" t="str" cm="1">
        <f t="array" ref="AB295">IF(ISNUMBER(AA295), IFERROR(VALUE(RIGHT(AA295,LEN(AA295)-MIN(FIND({0;1;2;3;4;5;6;7;8;9},AA295&amp;"0123456789"))+1)),""), "")</f>
        <v/>
      </c>
    </row>
    <row r="296" spans="28:28" x14ac:dyDescent="0.25">
      <c r="AB296" s="381" t="str" cm="1">
        <f t="array" ref="AB296">IF(ISNUMBER(AA296), IFERROR(VALUE(RIGHT(AA296,LEN(AA296)-MIN(FIND({0;1;2;3;4;5;6;7;8;9},AA296&amp;"0123456789"))+1)),""), "")</f>
        <v/>
      </c>
    </row>
    <row r="297" spans="28:28" x14ac:dyDescent="0.25">
      <c r="AB297" s="381" t="str" cm="1">
        <f t="array" ref="AB297">IF(ISNUMBER(AA297), IFERROR(VALUE(RIGHT(AA297,LEN(AA297)-MIN(FIND({0;1;2;3;4;5;6;7;8;9},AA297&amp;"0123456789"))+1)),""), "")</f>
        <v/>
      </c>
    </row>
    <row r="298" spans="28:28" x14ac:dyDescent="0.25">
      <c r="AB298" s="381" t="str" cm="1">
        <f t="array" ref="AB298">IF(ISNUMBER(AA298), IFERROR(VALUE(RIGHT(AA298,LEN(AA298)-MIN(FIND({0;1;2;3;4;5;6;7;8;9},AA298&amp;"0123456789"))+1)),""), "")</f>
        <v/>
      </c>
    </row>
    <row r="299" spans="28:28" x14ac:dyDescent="0.25">
      <c r="AB299" s="381" t="str" cm="1">
        <f t="array" ref="AB299">IF(ISNUMBER(AA299), IFERROR(VALUE(RIGHT(AA299,LEN(AA299)-MIN(FIND({0;1;2;3;4;5;6;7;8;9},AA299&amp;"0123456789"))+1)),""), "")</f>
        <v/>
      </c>
    </row>
    <row r="300" spans="28:28" x14ac:dyDescent="0.25">
      <c r="AB300" s="381" t="str" cm="1">
        <f t="array" ref="AB300">IF(ISNUMBER(AA300), IFERROR(VALUE(RIGHT(AA300,LEN(AA300)-MIN(FIND({0;1;2;3;4;5;6;7;8;9},AA300&amp;"0123456789"))+1)),""), "")</f>
        <v/>
      </c>
    </row>
    <row r="301" spans="28:28" x14ac:dyDescent="0.25">
      <c r="AB301" s="381" t="str" cm="1">
        <f t="array" ref="AB301">IF(ISNUMBER(AA301), IFERROR(VALUE(RIGHT(AA301,LEN(AA301)-MIN(FIND({0;1;2;3;4;5;6;7;8;9},AA301&amp;"0123456789"))+1)),""), "")</f>
        <v/>
      </c>
    </row>
    <row r="302" spans="28:28" x14ac:dyDescent="0.25">
      <c r="AB302" s="381" t="str" cm="1">
        <f t="array" ref="AB302">IF(ISNUMBER(AA302), IFERROR(VALUE(RIGHT(AA302,LEN(AA302)-MIN(FIND({0;1;2;3;4;5;6;7;8;9},AA302&amp;"0123456789"))+1)),""), "")</f>
        <v/>
      </c>
    </row>
    <row r="303" spans="28:28" x14ac:dyDescent="0.25">
      <c r="AB303" s="381" t="str" cm="1">
        <f t="array" ref="AB303">IF(ISNUMBER(AA303), IFERROR(VALUE(RIGHT(AA303,LEN(AA303)-MIN(FIND({0;1;2;3;4;5;6;7;8;9},AA303&amp;"0123456789"))+1)),""), "")</f>
        <v/>
      </c>
    </row>
    <row r="304" spans="28:28" x14ac:dyDescent="0.25">
      <c r="AB304" s="381" t="str" cm="1">
        <f t="array" ref="AB304">IF(ISNUMBER(AA304), IFERROR(VALUE(RIGHT(AA304,LEN(AA304)-MIN(FIND({0;1;2;3;4;5;6;7;8;9},AA304&amp;"0123456789"))+1)),""), "")</f>
        <v/>
      </c>
    </row>
    <row r="305" spans="28:28" x14ac:dyDescent="0.25">
      <c r="AB305" s="381" t="str" cm="1">
        <f t="array" ref="AB305">IF(ISNUMBER(AA305), IFERROR(VALUE(RIGHT(AA305,LEN(AA305)-MIN(FIND({0;1;2;3;4;5;6;7;8;9},AA305&amp;"0123456789"))+1)),""), "")</f>
        <v/>
      </c>
    </row>
    <row r="306" spans="28:28" x14ac:dyDescent="0.25">
      <c r="AB306" s="381" t="str" cm="1">
        <f t="array" ref="AB306">IF(ISNUMBER(AA306), IFERROR(VALUE(RIGHT(AA306,LEN(AA306)-MIN(FIND({0;1;2;3;4;5;6;7;8;9},AA306&amp;"0123456789"))+1)),""), "")</f>
        <v/>
      </c>
    </row>
    <row r="307" spans="28:28" x14ac:dyDescent="0.25">
      <c r="AB307" s="381" t="str" cm="1">
        <f t="array" ref="AB307">IF(ISNUMBER(AA307), IFERROR(VALUE(RIGHT(AA307,LEN(AA307)-MIN(FIND({0;1;2;3;4;5;6;7;8;9},AA307&amp;"0123456789"))+1)),""), "")</f>
        <v/>
      </c>
    </row>
    <row r="308" spans="28:28" x14ac:dyDescent="0.25">
      <c r="AB308" s="381" t="str" cm="1">
        <f t="array" ref="AB308">IF(ISNUMBER(AA308), IFERROR(VALUE(RIGHT(AA308,LEN(AA308)-MIN(FIND({0;1;2;3;4;5;6;7;8;9},AA308&amp;"0123456789"))+1)),""), "")</f>
        <v/>
      </c>
    </row>
    <row r="309" spans="28:28" x14ac:dyDescent="0.25">
      <c r="AB309" s="381" t="str" cm="1">
        <f t="array" ref="AB309">IF(ISNUMBER(AA309), IFERROR(VALUE(RIGHT(AA309,LEN(AA309)-MIN(FIND({0;1;2;3;4;5;6;7;8;9},AA309&amp;"0123456789"))+1)),""), "")</f>
        <v/>
      </c>
    </row>
    <row r="310" spans="28:28" x14ac:dyDescent="0.25">
      <c r="AB310" s="381" t="str" cm="1">
        <f t="array" ref="AB310">IF(ISNUMBER(AA310), IFERROR(VALUE(RIGHT(AA310,LEN(AA310)-MIN(FIND({0;1;2;3;4;5;6;7;8;9},AA310&amp;"0123456789"))+1)),""), "")</f>
        <v/>
      </c>
    </row>
    <row r="311" spans="28:28" x14ac:dyDescent="0.25">
      <c r="AB311" s="381" t="str" cm="1">
        <f t="array" ref="AB311">IF(ISNUMBER(AA311), IFERROR(VALUE(RIGHT(AA311,LEN(AA311)-MIN(FIND({0;1;2;3;4;5;6;7;8;9},AA311&amp;"0123456789"))+1)),""), "")</f>
        <v/>
      </c>
    </row>
    <row r="312" spans="28:28" x14ac:dyDescent="0.25">
      <c r="AB312" s="381" t="str" cm="1">
        <f t="array" ref="AB312">IF(ISNUMBER(AA312), IFERROR(VALUE(RIGHT(AA312,LEN(AA312)-MIN(FIND({0;1;2;3;4;5;6;7;8;9},AA312&amp;"0123456789"))+1)),""), "")</f>
        <v/>
      </c>
    </row>
    <row r="313" spans="28:28" x14ac:dyDescent="0.25">
      <c r="AB313" s="381" t="str" cm="1">
        <f t="array" ref="AB313">IF(ISNUMBER(AA313), IFERROR(VALUE(RIGHT(AA313,LEN(AA313)-MIN(FIND({0;1;2;3;4;5;6;7;8;9},AA313&amp;"0123456789"))+1)),""), "")</f>
        <v/>
      </c>
    </row>
    <row r="314" spans="28:28" x14ac:dyDescent="0.25">
      <c r="AB314" s="381" t="str" cm="1">
        <f t="array" ref="AB314">IF(ISNUMBER(AA314), IFERROR(VALUE(RIGHT(AA314,LEN(AA314)-MIN(FIND({0;1;2;3;4;5;6;7;8;9},AA314&amp;"0123456789"))+1)),""), "")</f>
        <v/>
      </c>
    </row>
    <row r="315" spans="28:28" x14ac:dyDescent="0.25">
      <c r="AB315" s="381" t="str" cm="1">
        <f t="array" ref="AB315">IF(ISNUMBER(AA315), IFERROR(VALUE(RIGHT(AA315,LEN(AA315)-MIN(FIND({0;1;2;3;4;5;6;7;8;9},AA315&amp;"0123456789"))+1)),""), "")</f>
        <v/>
      </c>
    </row>
    <row r="316" spans="28:28" x14ac:dyDescent="0.25">
      <c r="AB316" s="381" t="str" cm="1">
        <f t="array" ref="AB316">IF(ISNUMBER(AA316), IFERROR(VALUE(RIGHT(AA316,LEN(AA316)-MIN(FIND({0;1;2;3;4;5;6;7;8;9},AA316&amp;"0123456789"))+1)),""), "")</f>
        <v/>
      </c>
    </row>
    <row r="317" spans="28:28" x14ac:dyDescent="0.25">
      <c r="AB317" s="381" t="str" cm="1">
        <f t="array" ref="AB317">IF(ISNUMBER(AA317), IFERROR(VALUE(RIGHT(AA317,LEN(AA317)-MIN(FIND({0;1;2;3;4;5;6;7;8;9},AA317&amp;"0123456789"))+1)),""), "")</f>
        <v/>
      </c>
    </row>
    <row r="318" spans="28:28" x14ac:dyDescent="0.25">
      <c r="AB318" s="381" t="str" cm="1">
        <f t="array" ref="AB318">IF(ISNUMBER(AA318), IFERROR(VALUE(RIGHT(AA318,LEN(AA318)-MIN(FIND({0;1;2;3;4;5;6;7;8;9},AA318&amp;"0123456789"))+1)),""), "")</f>
        <v/>
      </c>
    </row>
    <row r="319" spans="28:28" x14ac:dyDescent="0.25">
      <c r="AB319" s="381" t="str" cm="1">
        <f t="array" ref="AB319">IF(ISNUMBER(AA319), IFERROR(VALUE(RIGHT(AA319,LEN(AA319)-MIN(FIND({0;1;2;3;4;5;6;7;8;9},AA319&amp;"0123456789"))+1)),""), "")</f>
        <v/>
      </c>
    </row>
    <row r="320" spans="28:28" x14ac:dyDescent="0.25">
      <c r="AB320" s="381" t="str" cm="1">
        <f t="array" ref="AB320">IF(ISNUMBER(AA320), IFERROR(VALUE(RIGHT(AA320,LEN(AA320)-MIN(FIND({0;1;2;3;4;5;6;7;8;9},AA320&amp;"0123456789"))+1)),""), "")</f>
        <v/>
      </c>
    </row>
    <row r="321" spans="28:28" x14ac:dyDescent="0.25">
      <c r="AB321" s="381" t="str" cm="1">
        <f t="array" ref="AB321">IF(ISNUMBER(AA321), IFERROR(VALUE(RIGHT(AA321,LEN(AA321)-MIN(FIND({0;1;2;3;4;5;6;7;8;9},AA321&amp;"0123456789"))+1)),""), "")</f>
        <v/>
      </c>
    </row>
    <row r="322" spans="28:28" x14ac:dyDescent="0.25">
      <c r="AB322" s="381" t="str" cm="1">
        <f t="array" ref="AB322">IF(ISNUMBER(AA322), IFERROR(VALUE(RIGHT(AA322,LEN(AA322)-MIN(FIND({0;1;2;3;4;5;6;7;8;9},AA322&amp;"0123456789"))+1)),""), "")</f>
        <v/>
      </c>
    </row>
    <row r="323" spans="28:28" x14ac:dyDescent="0.25">
      <c r="AB323" s="381" t="str" cm="1">
        <f t="array" ref="AB323">IF(ISNUMBER(AA323), IFERROR(VALUE(RIGHT(AA323,LEN(AA323)-MIN(FIND({0;1;2;3;4;5;6;7;8;9},AA323&amp;"0123456789"))+1)),""), "")</f>
        <v/>
      </c>
    </row>
    <row r="324" spans="28:28" x14ac:dyDescent="0.25">
      <c r="AB324" s="381" t="str" cm="1">
        <f t="array" ref="AB324">IF(ISNUMBER(AA324), IFERROR(VALUE(RIGHT(AA324,LEN(AA324)-MIN(FIND({0;1;2;3;4;5;6;7;8;9},AA324&amp;"0123456789"))+1)),""), "")</f>
        <v/>
      </c>
    </row>
    <row r="325" spans="28:28" x14ac:dyDescent="0.25">
      <c r="AB325" s="381" t="str" cm="1">
        <f t="array" ref="AB325">IF(ISNUMBER(AA325), IFERROR(VALUE(RIGHT(AA325,LEN(AA325)-MIN(FIND({0;1;2;3;4;5;6;7;8;9},AA325&amp;"0123456789"))+1)),""), "")</f>
        <v/>
      </c>
    </row>
    <row r="326" spans="28:28" x14ac:dyDescent="0.25">
      <c r="AB326" s="381" t="str" cm="1">
        <f t="array" ref="AB326">IF(ISNUMBER(AA326), IFERROR(VALUE(RIGHT(AA326,LEN(AA326)-MIN(FIND({0;1;2;3;4;5;6;7;8;9},AA326&amp;"0123456789"))+1)),""), "")</f>
        <v/>
      </c>
    </row>
    <row r="327" spans="28:28" x14ac:dyDescent="0.25">
      <c r="AB327" s="381" t="str" cm="1">
        <f t="array" ref="AB327">IF(ISNUMBER(AA327), IFERROR(VALUE(RIGHT(AA327,LEN(AA327)-MIN(FIND({0;1;2;3;4;5;6;7;8;9},AA327&amp;"0123456789"))+1)),""), "")</f>
        <v/>
      </c>
    </row>
    <row r="328" spans="28:28" x14ac:dyDescent="0.25">
      <c r="AB328" s="381" t="str" cm="1">
        <f t="array" ref="AB328">IF(ISNUMBER(AA328), IFERROR(VALUE(RIGHT(AA328,LEN(AA328)-MIN(FIND({0;1;2;3;4;5;6;7;8;9},AA328&amp;"0123456789"))+1)),""), "")</f>
        <v/>
      </c>
    </row>
    <row r="329" spans="28:28" x14ac:dyDescent="0.25">
      <c r="AB329" s="381" t="str" cm="1">
        <f t="array" ref="AB329">IF(ISNUMBER(AA329), IFERROR(VALUE(RIGHT(AA329,LEN(AA329)-MIN(FIND({0;1;2;3;4;5;6;7;8;9},AA329&amp;"0123456789"))+1)),""), "")</f>
        <v/>
      </c>
    </row>
    <row r="330" spans="28:28" x14ac:dyDescent="0.25">
      <c r="AB330" s="381" t="str" cm="1">
        <f t="array" ref="AB330">IF(ISNUMBER(AA330), IFERROR(VALUE(RIGHT(AA330,LEN(AA330)-MIN(FIND({0;1;2;3;4;5;6;7;8;9},AA330&amp;"0123456789"))+1)),""), "")</f>
        <v/>
      </c>
    </row>
    <row r="331" spans="28:28" x14ac:dyDescent="0.25">
      <c r="AB331" s="381" t="str" cm="1">
        <f t="array" ref="AB331">IF(ISNUMBER(AA331), IFERROR(VALUE(RIGHT(AA331,LEN(AA331)-MIN(FIND({0;1;2;3;4;5;6;7;8;9},AA331&amp;"0123456789"))+1)),""), "")</f>
        <v/>
      </c>
    </row>
    <row r="332" spans="28:28" x14ac:dyDescent="0.25">
      <c r="AB332" s="381" t="str" cm="1">
        <f t="array" ref="AB332">IF(ISNUMBER(AA332), IFERROR(VALUE(RIGHT(AA332,LEN(AA332)-MIN(FIND({0;1;2;3;4;5;6;7;8;9},AA332&amp;"0123456789"))+1)),""), "")</f>
        <v/>
      </c>
    </row>
    <row r="333" spans="28:28" x14ac:dyDescent="0.25">
      <c r="AB333" s="381" t="str" cm="1">
        <f t="array" ref="AB333">IF(ISNUMBER(AA333), IFERROR(VALUE(RIGHT(AA333,LEN(AA333)-MIN(FIND({0;1;2;3;4;5;6;7;8;9},AA333&amp;"0123456789"))+1)),""), "")</f>
        <v/>
      </c>
    </row>
    <row r="334" spans="28:28" x14ac:dyDescent="0.25">
      <c r="AB334" s="381" t="str" cm="1">
        <f t="array" ref="AB334">IF(ISNUMBER(AA334), IFERROR(VALUE(RIGHT(AA334,LEN(AA334)-MIN(FIND({0;1;2;3;4;5;6;7;8;9},AA334&amp;"0123456789"))+1)),""), "")</f>
        <v/>
      </c>
    </row>
    <row r="335" spans="28:28" x14ac:dyDescent="0.25">
      <c r="AB335" s="381" t="str" cm="1">
        <f t="array" ref="AB335">IF(ISNUMBER(AA335), IFERROR(VALUE(RIGHT(AA335,LEN(AA335)-MIN(FIND({0;1;2;3;4;5;6;7;8;9},AA335&amp;"0123456789"))+1)),""), "")</f>
        <v/>
      </c>
    </row>
    <row r="336" spans="28:28" x14ac:dyDescent="0.25">
      <c r="AB336" s="381" t="str" cm="1">
        <f t="array" ref="AB336">IF(ISNUMBER(AA336), IFERROR(VALUE(RIGHT(AA336,LEN(AA336)-MIN(FIND({0;1;2;3;4;5;6;7;8;9},AA336&amp;"0123456789"))+1)),""), "")</f>
        <v/>
      </c>
    </row>
    <row r="337" spans="28:28" x14ac:dyDescent="0.25">
      <c r="AB337" s="381" t="str" cm="1">
        <f t="array" ref="AB337">IF(ISNUMBER(AA337), IFERROR(VALUE(RIGHT(AA337,LEN(AA337)-MIN(FIND({0;1;2;3;4;5;6;7;8;9},AA337&amp;"0123456789"))+1)),""), "")</f>
        <v/>
      </c>
    </row>
    <row r="338" spans="28:28" x14ac:dyDescent="0.25">
      <c r="AB338" s="381" t="str" cm="1">
        <f t="array" ref="AB338">IF(ISNUMBER(AA338), IFERROR(VALUE(RIGHT(AA338,LEN(AA338)-MIN(FIND({0;1;2;3;4;5;6;7;8;9},AA338&amp;"0123456789"))+1)),""), "")</f>
        <v/>
      </c>
    </row>
    <row r="339" spans="28:28" x14ac:dyDescent="0.25">
      <c r="AB339" s="381" t="str" cm="1">
        <f t="array" ref="AB339">IF(ISNUMBER(AA339), IFERROR(VALUE(RIGHT(AA339,LEN(AA339)-MIN(FIND({0;1;2;3;4;5;6;7;8;9},AA339&amp;"0123456789"))+1)),""), "")</f>
        <v/>
      </c>
    </row>
    <row r="340" spans="28:28" x14ac:dyDescent="0.25">
      <c r="AB340" s="381" t="str" cm="1">
        <f t="array" ref="AB340">IF(ISNUMBER(AA340), IFERROR(VALUE(RIGHT(AA340,LEN(AA340)-MIN(FIND({0;1;2;3;4;5;6;7;8;9},AA340&amp;"0123456789"))+1)),""), "")</f>
        <v/>
      </c>
    </row>
    <row r="341" spans="28:28" x14ac:dyDescent="0.25">
      <c r="AB341" s="381" t="str" cm="1">
        <f t="array" ref="AB341">IF(ISNUMBER(AA341), IFERROR(VALUE(RIGHT(AA341,LEN(AA341)-MIN(FIND({0;1;2;3;4;5;6;7;8;9},AA341&amp;"0123456789"))+1)),""), "")</f>
        <v/>
      </c>
    </row>
    <row r="342" spans="28:28" x14ac:dyDescent="0.25">
      <c r="AB342" s="381" t="str" cm="1">
        <f t="array" ref="AB342">IF(ISNUMBER(AA342), IFERROR(VALUE(RIGHT(AA342,LEN(AA342)-MIN(FIND({0;1;2;3;4;5;6;7;8;9},AA342&amp;"0123456789"))+1)),""), "")</f>
        <v/>
      </c>
    </row>
    <row r="343" spans="28:28" x14ac:dyDescent="0.25">
      <c r="AB343" s="381" t="str" cm="1">
        <f t="array" ref="AB343">IF(ISNUMBER(AA343), IFERROR(VALUE(RIGHT(AA343,LEN(AA343)-MIN(FIND({0;1;2;3;4;5;6;7;8;9},AA343&amp;"0123456789"))+1)),""), "")</f>
        <v/>
      </c>
    </row>
    <row r="344" spans="28:28" x14ac:dyDescent="0.25">
      <c r="AB344" s="381" t="str" cm="1">
        <f t="array" ref="AB344">IF(ISNUMBER(AA344), IFERROR(VALUE(RIGHT(AA344,LEN(AA344)-MIN(FIND({0;1;2;3;4;5;6;7;8;9},AA344&amp;"0123456789"))+1)),""), "")</f>
        <v/>
      </c>
    </row>
    <row r="345" spans="28:28" x14ac:dyDescent="0.25">
      <c r="AB345" s="381" t="str" cm="1">
        <f t="array" ref="AB345">IF(ISNUMBER(AA345), IFERROR(VALUE(RIGHT(AA345,LEN(AA345)-MIN(FIND({0;1;2;3;4;5;6;7;8;9},AA345&amp;"0123456789"))+1)),""), "")</f>
        <v/>
      </c>
    </row>
    <row r="346" spans="28:28" x14ac:dyDescent="0.25">
      <c r="AB346" s="381" t="str" cm="1">
        <f t="array" ref="AB346">IF(ISNUMBER(AA346), IFERROR(VALUE(RIGHT(AA346,LEN(AA346)-MIN(FIND({0;1;2;3;4;5;6;7;8;9},AA346&amp;"0123456789"))+1)),""), "")</f>
        <v/>
      </c>
    </row>
    <row r="347" spans="28:28" x14ac:dyDescent="0.25">
      <c r="AB347" s="381" t="str" cm="1">
        <f t="array" ref="AB347">IF(ISNUMBER(AA347), IFERROR(VALUE(RIGHT(AA347,LEN(AA347)-MIN(FIND({0;1;2;3;4;5;6;7;8;9},AA347&amp;"0123456789"))+1)),""), "")</f>
        <v/>
      </c>
    </row>
    <row r="348" spans="28:28" x14ac:dyDescent="0.25">
      <c r="AB348" s="381" t="str" cm="1">
        <f t="array" ref="AB348">IF(ISNUMBER(AA348), IFERROR(VALUE(RIGHT(AA348,LEN(AA348)-MIN(FIND({0;1;2;3;4;5;6;7;8;9},AA348&amp;"0123456789"))+1)),""), "")</f>
        <v/>
      </c>
    </row>
    <row r="349" spans="28:28" x14ac:dyDescent="0.25">
      <c r="AB349" s="381" t="str" cm="1">
        <f t="array" ref="AB349">IF(ISNUMBER(AA349), IFERROR(VALUE(RIGHT(AA349,LEN(AA349)-MIN(FIND({0;1;2;3;4;5;6;7;8;9},AA349&amp;"0123456789"))+1)),""), "")</f>
        <v/>
      </c>
    </row>
    <row r="350" spans="28:28" x14ac:dyDescent="0.25">
      <c r="AB350" s="381" t="str" cm="1">
        <f t="array" ref="AB350">IF(ISNUMBER(AA350), IFERROR(VALUE(RIGHT(AA350,LEN(AA350)-MIN(FIND({0;1;2;3;4;5;6;7;8;9},AA350&amp;"0123456789"))+1)),""), "")</f>
        <v/>
      </c>
    </row>
    <row r="351" spans="28:28" x14ac:dyDescent="0.25">
      <c r="AB351" s="381" t="str" cm="1">
        <f t="array" ref="AB351">IF(ISNUMBER(AA351), IFERROR(VALUE(RIGHT(AA351,LEN(AA351)-MIN(FIND({0;1;2;3;4;5;6;7;8;9},AA351&amp;"0123456789"))+1)),""), "")</f>
        <v/>
      </c>
    </row>
    <row r="352" spans="28:28" x14ac:dyDescent="0.25">
      <c r="AB352" s="381" t="str" cm="1">
        <f t="array" ref="AB352">IF(ISNUMBER(AA352), IFERROR(VALUE(RIGHT(AA352,LEN(AA352)-MIN(FIND({0;1;2;3;4;5;6;7;8;9},AA352&amp;"0123456789"))+1)),""), "")</f>
        <v/>
      </c>
    </row>
    <row r="353" spans="28:28" x14ac:dyDescent="0.25">
      <c r="AB353" s="381" t="str" cm="1">
        <f t="array" ref="AB353">IF(ISNUMBER(AA353), IFERROR(VALUE(RIGHT(AA353,LEN(AA353)-MIN(FIND({0;1;2;3;4;5;6;7;8;9},AA353&amp;"0123456789"))+1)),""), "")</f>
        <v/>
      </c>
    </row>
    <row r="354" spans="28:28" x14ac:dyDescent="0.25">
      <c r="AB354" s="381" t="str" cm="1">
        <f t="array" ref="AB354">IF(ISNUMBER(AA354), IFERROR(VALUE(RIGHT(AA354,LEN(AA354)-MIN(FIND({0;1;2;3;4;5;6;7;8;9},AA354&amp;"0123456789"))+1)),""), "")</f>
        <v/>
      </c>
    </row>
    <row r="355" spans="28:28" x14ac:dyDescent="0.25">
      <c r="AB355" s="381" t="str" cm="1">
        <f t="array" ref="AB355">IF(ISNUMBER(AA355), IFERROR(VALUE(RIGHT(AA355,LEN(AA355)-MIN(FIND({0;1;2;3;4;5;6;7;8;9},AA355&amp;"0123456789"))+1)),""), "")</f>
        <v/>
      </c>
    </row>
    <row r="356" spans="28:28" x14ac:dyDescent="0.25">
      <c r="AB356" s="381" t="str" cm="1">
        <f t="array" ref="AB356">IF(ISNUMBER(AA356), IFERROR(VALUE(RIGHT(AA356,LEN(AA356)-MIN(FIND({0;1;2;3;4;5;6;7;8;9},AA356&amp;"0123456789"))+1)),""), "")</f>
        <v/>
      </c>
    </row>
    <row r="357" spans="28:28" x14ac:dyDescent="0.25">
      <c r="AB357" s="381" t="str" cm="1">
        <f t="array" ref="AB357">IF(ISNUMBER(AA357), IFERROR(VALUE(RIGHT(AA357,LEN(AA357)-MIN(FIND({0;1;2;3;4;5;6;7;8;9},AA357&amp;"0123456789"))+1)),""), "")</f>
        <v/>
      </c>
    </row>
    <row r="358" spans="28:28" x14ac:dyDescent="0.25">
      <c r="AB358" s="381" t="str" cm="1">
        <f t="array" ref="AB358">IF(ISNUMBER(AA358), IFERROR(VALUE(RIGHT(AA358,LEN(AA358)-MIN(FIND({0;1;2;3;4;5;6;7;8;9},AA358&amp;"0123456789"))+1)),""), "")</f>
        <v/>
      </c>
    </row>
    <row r="359" spans="28:28" x14ac:dyDescent="0.25">
      <c r="AB359" s="381" t="str" cm="1">
        <f t="array" ref="AB359">IF(ISNUMBER(AA359), IFERROR(VALUE(RIGHT(AA359,LEN(AA359)-MIN(FIND({0;1;2;3;4;5;6;7;8;9},AA359&amp;"0123456789"))+1)),""), "")</f>
        <v/>
      </c>
    </row>
    <row r="360" spans="28:28" x14ac:dyDescent="0.25">
      <c r="AB360" s="381" t="str" cm="1">
        <f t="array" ref="AB360">IF(ISNUMBER(AA360), IFERROR(VALUE(RIGHT(AA360,LEN(AA360)-MIN(FIND({0;1;2;3;4;5;6;7;8;9},AA360&amp;"0123456789"))+1)),""), "")</f>
        <v/>
      </c>
    </row>
    <row r="361" spans="28:28" x14ac:dyDescent="0.25">
      <c r="AB361" s="381" t="str" cm="1">
        <f t="array" ref="AB361">IF(ISNUMBER(AA361), IFERROR(VALUE(RIGHT(AA361,LEN(AA361)-MIN(FIND({0;1;2;3;4;5;6;7;8;9},AA361&amp;"0123456789"))+1)),""), "")</f>
        <v/>
      </c>
    </row>
    <row r="362" spans="28:28" x14ac:dyDescent="0.25">
      <c r="AB362" s="381" t="str" cm="1">
        <f t="array" ref="AB362">IF(ISNUMBER(AA362), IFERROR(VALUE(RIGHT(AA362,LEN(AA362)-MIN(FIND({0;1;2;3;4;5;6;7;8;9},AA362&amp;"0123456789"))+1)),""), "")</f>
        <v/>
      </c>
    </row>
    <row r="363" spans="28:28" x14ac:dyDescent="0.25">
      <c r="AB363" s="381" t="str" cm="1">
        <f t="array" ref="AB363">IF(ISNUMBER(AA363), IFERROR(VALUE(RIGHT(AA363,LEN(AA363)-MIN(FIND({0;1;2;3;4;5;6;7;8;9},AA363&amp;"0123456789"))+1)),""), "")</f>
        <v/>
      </c>
    </row>
    <row r="364" spans="28:28" x14ac:dyDescent="0.25">
      <c r="AB364" s="381" t="str" cm="1">
        <f t="array" ref="AB364">IF(ISNUMBER(AA364), IFERROR(VALUE(RIGHT(AA364,LEN(AA364)-MIN(FIND({0;1;2;3;4;5;6;7;8;9},AA364&amp;"0123456789"))+1)),""), "")</f>
        <v/>
      </c>
    </row>
    <row r="365" spans="28:28" x14ac:dyDescent="0.25">
      <c r="AB365" s="381" t="str" cm="1">
        <f t="array" ref="AB365">IF(ISNUMBER(AA365), IFERROR(VALUE(RIGHT(AA365,LEN(AA365)-MIN(FIND({0;1;2;3;4;5;6;7;8;9},AA365&amp;"0123456789"))+1)),""), "")</f>
        <v/>
      </c>
    </row>
    <row r="366" spans="28:28" x14ac:dyDescent="0.25">
      <c r="AB366" s="381" t="str" cm="1">
        <f t="array" ref="AB366">IF(ISNUMBER(AA366), IFERROR(VALUE(RIGHT(AA366,LEN(AA366)-MIN(FIND({0;1;2;3;4;5;6;7;8;9},AA366&amp;"0123456789"))+1)),""), "")</f>
        <v/>
      </c>
    </row>
    <row r="367" spans="28:28" x14ac:dyDescent="0.25">
      <c r="AB367" s="381" t="str" cm="1">
        <f t="array" ref="AB367">IF(ISNUMBER(AA367), IFERROR(VALUE(RIGHT(AA367,LEN(AA367)-MIN(FIND({0;1;2;3;4;5;6;7;8;9},AA367&amp;"0123456789"))+1)),""), "")</f>
        <v/>
      </c>
    </row>
    <row r="368" spans="28:28" x14ac:dyDescent="0.25">
      <c r="AB368" s="381" t="str" cm="1">
        <f t="array" ref="AB368">IF(ISNUMBER(AA368), IFERROR(VALUE(RIGHT(AA368,LEN(AA368)-MIN(FIND({0;1;2;3;4;5;6;7;8;9},AA368&amp;"0123456789"))+1)),""), "")</f>
        <v/>
      </c>
    </row>
    <row r="369" spans="28:28" x14ac:dyDescent="0.25">
      <c r="AB369" s="381" t="str" cm="1">
        <f t="array" ref="AB369">IF(ISNUMBER(AA369), IFERROR(VALUE(RIGHT(AA369,LEN(AA369)-MIN(FIND({0;1;2;3;4;5;6;7;8;9},AA369&amp;"0123456789"))+1)),""), "")</f>
        <v/>
      </c>
    </row>
    <row r="370" spans="28:28" x14ac:dyDescent="0.25">
      <c r="AB370" s="381" t="str" cm="1">
        <f t="array" ref="AB370">IF(ISNUMBER(AA370), IFERROR(VALUE(RIGHT(AA370,LEN(AA370)-MIN(FIND({0;1;2;3;4;5;6;7;8;9},AA370&amp;"0123456789"))+1)),""), "")</f>
        <v/>
      </c>
    </row>
    <row r="371" spans="28:28" x14ac:dyDescent="0.25">
      <c r="AB371" s="381" t="str" cm="1">
        <f t="array" ref="AB371">IF(ISNUMBER(AA371), IFERROR(VALUE(RIGHT(AA371,LEN(AA371)-MIN(FIND({0;1;2;3;4;5;6;7;8;9},AA371&amp;"0123456789"))+1)),""), "")</f>
        <v/>
      </c>
    </row>
    <row r="372" spans="28:28" x14ac:dyDescent="0.25">
      <c r="AB372" s="381" t="str" cm="1">
        <f t="array" ref="AB372">IF(ISNUMBER(AA372), IFERROR(VALUE(RIGHT(AA372,LEN(AA372)-MIN(FIND({0;1;2;3;4;5;6;7;8;9},AA372&amp;"0123456789"))+1)),""), "")</f>
        <v/>
      </c>
    </row>
    <row r="373" spans="28:28" x14ac:dyDescent="0.25">
      <c r="AB373" s="381" t="str" cm="1">
        <f t="array" ref="AB373">IF(ISNUMBER(AA373), IFERROR(VALUE(RIGHT(AA373,LEN(AA373)-MIN(FIND({0;1;2;3;4;5;6;7;8;9},AA373&amp;"0123456789"))+1)),""), "")</f>
        <v/>
      </c>
    </row>
    <row r="374" spans="28:28" x14ac:dyDescent="0.25">
      <c r="AB374" s="381" t="str" cm="1">
        <f t="array" ref="AB374">IF(ISNUMBER(AA374), IFERROR(VALUE(RIGHT(AA374,LEN(AA374)-MIN(FIND({0;1;2;3;4;5;6;7;8;9},AA374&amp;"0123456789"))+1)),""), "")</f>
        <v/>
      </c>
    </row>
    <row r="375" spans="28:28" x14ac:dyDescent="0.25">
      <c r="AB375" s="381" t="str" cm="1">
        <f t="array" ref="AB375">IF(ISNUMBER(AA375), IFERROR(VALUE(RIGHT(AA375,LEN(AA375)-MIN(FIND({0;1;2;3;4;5;6;7;8;9},AA375&amp;"0123456789"))+1)),""), "")</f>
        <v/>
      </c>
    </row>
    <row r="376" spans="28:28" x14ac:dyDescent="0.25">
      <c r="AB376" s="381" t="str" cm="1">
        <f t="array" ref="AB376">IF(ISNUMBER(AA376), IFERROR(VALUE(RIGHT(AA376,LEN(AA376)-MIN(FIND({0;1;2;3;4;5;6;7;8;9},AA376&amp;"0123456789"))+1)),""), "")</f>
        <v/>
      </c>
    </row>
    <row r="377" spans="28:28" x14ac:dyDescent="0.25">
      <c r="AB377" s="381" t="str" cm="1">
        <f t="array" ref="AB377">IF(ISNUMBER(AA377), IFERROR(VALUE(RIGHT(AA377,LEN(AA377)-MIN(FIND({0;1;2;3;4;5;6;7;8;9},AA377&amp;"0123456789"))+1)),""), "")</f>
        <v/>
      </c>
    </row>
    <row r="378" spans="28:28" x14ac:dyDescent="0.25">
      <c r="AB378" s="381" t="str" cm="1">
        <f t="array" ref="AB378">IF(ISNUMBER(AA378), IFERROR(VALUE(RIGHT(AA378,LEN(AA378)-MIN(FIND({0;1;2;3;4;5;6;7;8;9},AA378&amp;"0123456789"))+1)),""), "")</f>
        <v/>
      </c>
    </row>
    <row r="379" spans="28:28" x14ac:dyDescent="0.25">
      <c r="AB379" s="381" t="str" cm="1">
        <f t="array" ref="AB379">IF(ISNUMBER(AA379), IFERROR(VALUE(RIGHT(AA379,LEN(AA379)-MIN(FIND({0;1;2;3;4;5;6;7;8;9},AA379&amp;"0123456789"))+1)),""), "")</f>
        <v/>
      </c>
    </row>
    <row r="380" spans="28:28" x14ac:dyDescent="0.25">
      <c r="AB380" s="381" t="str" cm="1">
        <f t="array" ref="AB380">IF(ISNUMBER(AA380), IFERROR(VALUE(RIGHT(AA380,LEN(AA380)-MIN(FIND({0;1;2;3;4;5;6;7;8;9},AA380&amp;"0123456789"))+1)),""), "")</f>
        <v/>
      </c>
    </row>
    <row r="381" spans="28:28" x14ac:dyDescent="0.25">
      <c r="AB381" s="381" t="str" cm="1">
        <f t="array" ref="AB381">IF(ISNUMBER(AA381), IFERROR(VALUE(RIGHT(AA381,LEN(AA381)-MIN(FIND({0;1;2;3;4;5;6;7;8;9},AA381&amp;"0123456789"))+1)),""), "")</f>
        <v/>
      </c>
    </row>
    <row r="382" spans="28:28" x14ac:dyDescent="0.25">
      <c r="AB382" s="381" t="str" cm="1">
        <f t="array" ref="AB382">IF(ISNUMBER(AA382), IFERROR(VALUE(RIGHT(AA382,LEN(AA382)-MIN(FIND({0;1;2;3;4;5;6;7;8;9},AA382&amp;"0123456789"))+1)),""), "")</f>
        <v/>
      </c>
    </row>
    <row r="383" spans="28:28" x14ac:dyDescent="0.25">
      <c r="AB383" s="381" t="str" cm="1">
        <f t="array" ref="AB383">IF(ISNUMBER(AA383), IFERROR(VALUE(RIGHT(AA383,LEN(AA383)-MIN(FIND({0;1;2;3;4;5;6;7;8;9},AA383&amp;"0123456789"))+1)),""), "")</f>
        <v/>
      </c>
    </row>
    <row r="384" spans="28:28" x14ac:dyDescent="0.25">
      <c r="AB384" s="381" t="str" cm="1">
        <f t="array" ref="AB384">IF(ISNUMBER(AA384), IFERROR(VALUE(RIGHT(AA384,LEN(AA384)-MIN(FIND({0;1;2;3;4;5;6;7;8;9},AA384&amp;"0123456789"))+1)),""), "")</f>
        <v/>
      </c>
    </row>
    <row r="385" spans="28:28" x14ac:dyDescent="0.25">
      <c r="AB385" s="381" t="str" cm="1">
        <f t="array" ref="AB385">IF(ISNUMBER(AA385), IFERROR(VALUE(RIGHT(AA385,LEN(AA385)-MIN(FIND({0;1;2;3;4;5;6;7;8;9},AA385&amp;"0123456789"))+1)),""), "")</f>
        <v/>
      </c>
    </row>
    <row r="386" spans="28:28" x14ac:dyDescent="0.25">
      <c r="AB386" s="381" t="str" cm="1">
        <f t="array" ref="AB386">IF(ISNUMBER(AA386), IFERROR(VALUE(RIGHT(AA386,LEN(AA386)-MIN(FIND({0;1;2;3;4;5;6;7;8;9},AA386&amp;"0123456789"))+1)),""), "")</f>
        <v/>
      </c>
    </row>
    <row r="387" spans="28:28" x14ac:dyDescent="0.25">
      <c r="AB387" s="381" t="str" cm="1">
        <f t="array" ref="AB387">IF(ISNUMBER(AA387), IFERROR(VALUE(RIGHT(AA387,LEN(AA387)-MIN(FIND({0;1;2;3;4;5;6;7;8;9},AA387&amp;"0123456789"))+1)),""), "")</f>
        <v/>
      </c>
    </row>
    <row r="388" spans="28:28" x14ac:dyDescent="0.25">
      <c r="AB388" s="381" t="str" cm="1">
        <f t="array" ref="AB388">IF(ISNUMBER(AA388), IFERROR(VALUE(RIGHT(AA388,LEN(AA388)-MIN(FIND({0;1;2;3;4;5;6;7;8;9},AA388&amp;"0123456789"))+1)),""), "")</f>
        <v/>
      </c>
    </row>
    <row r="389" spans="28:28" x14ac:dyDescent="0.25">
      <c r="AB389" s="381" t="str" cm="1">
        <f t="array" ref="AB389">IF(ISNUMBER(AA389), IFERROR(VALUE(RIGHT(AA389,LEN(AA389)-MIN(FIND({0;1;2;3;4;5;6;7;8;9},AA389&amp;"0123456789"))+1)),""), "")</f>
        <v/>
      </c>
    </row>
    <row r="390" spans="28:28" x14ac:dyDescent="0.25">
      <c r="AB390" s="381" t="str" cm="1">
        <f t="array" ref="AB390">IF(ISNUMBER(AA390), IFERROR(VALUE(RIGHT(AA390,LEN(AA390)-MIN(FIND({0;1;2;3;4;5;6;7;8;9},AA390&amp;"0123456789"))+1)),""), "")</f>
        <v/>
      </c>
    </row>
    <row r="391" spans="28:28" x14ac:dyDescent="0.25">
      <c r="AB391" s="381" t="str" cm="1">
        <f t="array" ref="AB391">IF(ISNUMBER(AA391), IFERROR(VALUE(RIGHT(AA391,LEN(AA391)-MIN(FIND({0;1;2;3;4;5;6;7;8;9},AA391&amp;"0123456789"))+1)),""), "")</f>
        <v/>
      </c>
    </row>
    <row r="392" spans="28:28" x14ac:dyDescent="0.25">
      <c r="AB392" s="381" t="str" cm="1">
        <f t="array" ref="AB392">IF(ISNUMBER(AA392), IFERROR(VALUE(RIGHT(AA392,LEN(AA392)-MIN(FIND({0;1;2;3;4;5;6;7;8;9},AA392&amp;"0123456789"))+1)),""), "")</f>
        <v/>
      </c>
    </row>
    <row r="393" spans="28:28" x14ac:dyDescent="0.25">
      <c r="AB393" s="381" t="str" cm="1">
        <f t="array" ref="AB393">IF(ISNUMBER(AA393), IFERROR(VALUE(RIGHT(AA393,LEN(AA393)-MIN(FIND({0;1;2;3;4;5;6;7;8;9},AA393&amp;"0123456789"))+1)),""), "")</f>
        <v/>
      </c>
    </row>
    <row r="394" spans="28:28" x14ac:dyDescent="0.25">
      <c r="AB394" s="381" t="str" cm="1">
        <f t="array" ref="AB394">IF(ISNUMBER(AA394), IFERROR(VALUE(RIGHT(AA394,LEN(AA394)-MIN(FIND({0;1;2;3;4;5;6;7;8;9},AA394&amp;"0123456789"))+1)),""), "")</f>
        <v/>
      </c>
    </row>
    <row r="395" spans="28:28" x14ac:dyDescent="0.25">
      <c r="AB395" s="381" t="str" cm="1">
        <f t="array" ref="AB395">IF(ISNUMBER(AA395), IFERROR(VALUE(RIGHT(AA395,LEN(AA395)-MIN(FIND({0;1;2;3;4;5;6;7;8;9},AA395&amp;"0123456789"))+1)),""), "")</f>
        <v/>
      </c>
    </row>
    <row r="396" spans="28:28" x14ac:dyDescent="0.25">
      <c r="AB396" s="381" t="str" cm="1">
        <f t="array" ref="AB396">IF(ISNUMBER(AA396), IFERROR(VALUE(RIGHT(AA396,LEN(AA396)-MIN(FIND({0;1;2;3;4;5;6;7;8;9},AA396&amp;"0123456789"))+1)),""), "")</f>
        <v/>
      </c>
    </row>
    <row r="397" spans="28:28" x14ac:dyDescent="0.25">
      <c r="AB397" s="381" t="str" cm="1">
        <f t="array" ref="AB397">IF(ISNUMBER(AA397), IFERROR(VALUE(RIGHT(AA397,LEN(AA397)-MIN(FIND({0;1;2;3;4;5;6;7;8;9},AA397&amp;"0123456789"))+1)),""), "")</f>
        <v/>
      </c>
    </row>
    <row r="398" spans="28:28" x14ac:dyDescent="0.25">
      <c r="AB398" s="381" t="str" cm="1">
        <f t="array" ref="AB398">IF(ISNUMBER(AA398), IFERROR(VALUE(RIGHT(AA398,LEN(AA398)-MIN(FIND({0;1;2;3;4;5;6;7;8;9},AA398&amp;"0123456789"))+1)),""), "")</f>
        <v/>
      </c>
    </row>
    <row r="399" spans="28:28" x14ac:dyDescent="0.25">
      <c r="AB399" s="381" t="str" cm="1">
        <f t="array" ref="AB399">IF(ISNUMBER(AA399), IFERROR(VALUE(RIGHT(AA399,LEN(AA399)-MIN(FIND({0;1;2;3;4;5;6;7;8;9},AA399&amp;"0123456789"))+1)),""), "")</f>
        <v/>
      </c>
    </row>
    <row r="400" spans="28:28" x14ac:dyDescent="0.25">
      <c r="AB400" s="381" t="str" cm="1">
        <f t="array" ref="AB400">IF(ISNUMBER(AA400), IFERROR(VALUE(RIGHT(AA400,LEN(AA400)-MIN(FIND({0;1;2;3;4;5;6;7;8;9},AA400&amp;"0123456789"))+1)),""), "")</f>
        <v/>
      </c>
    </row>
    <row r="401" spans="28:28" x14ac:dyDescent="0.25">
      <c r="AB401" s="381" t="str" cm="1">
        <f t="array" ref="AB401">IF(ISNUMBER(AA401), IFERROR(VALUE(RIGHT(AA401,LEN(AA401)-MIN(FIND({0;1;2;3;4;5;6;7;8;9},AA401&amp;"0123456789"))+1)),""), "")</f>
        <v/>
      </c>
    </row>
    <row r="402" spans="28:28" x14ac:dyDescent="0.25">
      <c r="AB402" s="381" t="str" cm="1">
        <f t="array" ref="AB402">IF(ISNUMBER(AA402), IFERROR(VALUE(RIGHT(AA402,LEN(AA402)-MIN(FIND({0;1;2;3;4;5;6;7;8;9},AA402&amp;"0123456789"))+1)),""), "")</f>
        <v/>
      </c>
    </row>
    <row r="403" spans="28:28" x14ac:dyDescent="0.25">
      <c r="AB403" s="381" t="str" cm="1">
        <f t="array" ref="AB403">IF(ISNUMBER(AA403), IFERROR(VALUE(RIGHT(AA403,LEN(AA403)-MIN(FIND({0;1;2;3;4;5;6;7;8;9},AA403&amp;"0123456789"))+1)),""), "")</f>
        <v/>
      </c>
    </row>
    <row r="404" spans="28:28" x14ac:dyDescent="0.25">
      <c r="AB404" s="381" t="str" cm="1">
        <f t="array" ref="AB404">IF(ISNUMBER(AA404), IFERROR(VALUE(RIGHT(AA404,LEN(AA404)-MIN(FIND({0;1;2;3;4;5;6;7;8;9},AA404&amp;"0123456789"))+1)),""), "")</f>
        <v/>
      </c>
    </row>
    <row r="405" spans="28:28" x14ac:dyDescent="0.25">
      <c r="AB405" s="381" t="str" cm="1">
        <f t="array" ref="AB405">IF(ISNUMBER(AA405), IFERROR(VALUE(RIGHT(AA405,LEN(AA405)-MIN(FIND({0;1;2;3;4;5;6;7;8;9},AA405&amp;"0123456789"))+1)),""), "")</f>
        <v/>
      </c>
    </row>
    <row r="406" spans="28:28" x14ac:dyDescent="0.25">
      <c r="AB406" s="381" t="str" cm="1">
        <f t="array" ref="AB406">IF(ISNUMBER(AA406), IFERROR(VALUE(RIGHT(AA406,LEN(AA406)-MIN(FIND({0;1;2;3;4;5;6;7;8;9},AA406&amp;"0123456789"))+1)),""), "")</f>
        <v/>
      </c>
    </row>
    <row r="407" spans="28:28" x14ac:dyDescent="0.25">
      <c r="AB407" s="381" t="str" cm="1">
        <f t="array" ref="AB407">IF(ISNUMBER(AA407), IFERROR(VALUE(RIGHT(AA407,LEN(AA407)-MIN(FIND({0;1;2;3;4;5;6;7;8;9},AA407&amp;"0123456789"))+1)),""), "")</f>
        <v/>
      </c>
    </row>
    <row r="408" spans="28:28" x14ac:dyDescent="0.25">
      <c r="AB408" s="381" t="str" cm="1">
        <f t="array" ref="AB408">IF(ISNUMBER(AA408), IFERROR(VALUE(RIGHT(AA408,LEN(AA408)-MIN(FIND({0;1;2;3;4;5;6;7;8;9},AA408&amp;"0123456789"))+1)),""), "")</f>
        <v/>
      </c>
    </row>
    <row r="409" spans="28:28" x14ac:dyDescent="0.25">
      <c r="AB409" s="381" t="str" cm="1">
        <f t="array" ref="AB409">IF(ISNUMBER(AA409), IFERROR(VALUE(RIGHT(AA409,LEN(AA409)-MIN(FIND({0;1;2;3;4;5;6;7;8;9},AA409&amp;"0123456789"))+1)),""), "")</f>
        <v/>
      </c>
    </row>
    <row r="410" spans="28:28" x14ac:dyDescent="0.25">
      <c r="AB410" s="381" t="str" cm="1">
        <f t="array" ref="AB410">IF(ISNUMBER(AA410), IFERROR(VALUE(RIGHT(AA410,LEN(AA410)-MIN(FIND({0;1;2;3;4;5;6;7;8;9},AA410&amp;"0123456789"))+1)),""), "")</f>
        <v/>
      </c>
    </row>
    <row r="411" spans="28:28" x14ac:dyDescent="0.25">
      <c r="AB411" s="381" t="str" cm="1">
        <f t="array" ref="AB411">IF(ISNUMBER(AA411), IFERROR(VALUE(RIGHT(AA411,LEN(AA411)-MIN(FIND({0;1;2;3;4;5;6;7;8;9},AA411&amp;"0123456789"))+1)),""), "")</f>
        <v/>
      </c>
    </row>
    <row r="412" spans="28:28" x14ac:dyDescent="0.25">
      <c r="AB412" s="381" t="str" cm="1">
        <f t="array" ref="AB412">IF(ISNUMBER(AA412), IFERROR(VALUE(RIGHT(AA412,LEN(AA412)-MIN(FIND({0;1;2;3;4;5;6;7;8;9},AA412&amp;"0123456789"))+1)),""), "")</f>
        <v/>
      </c>
    </row>
    <row r="413" spans="28:28" x14ac:dyDescent="0.25">
      <c r="AB413" s="381" t="str" cm="1">
        <f t="array" ref="AB413">IF(ISNUMBER(AA413), IFERROR(VALUE(RIGHT(AA413,LEN(AA413)-MIN(FIND({0;1;2;3;4;5;6;7;8;9},AA413&amp;"0123456789"))+1)),""), "")</f>
        <v/>
      </c>
    </row>
    <row r="414" spans="28:28" x14ac:dyDescent="0.25">
      <c r="AB414" s="381" t="str" cm="1">
        <f t="array" ref="AB414">IF(ISNUMBER(AA414), IFERROR(VALUE(RIGHT(AA414,LEN(AA414)-MIN(FIND({0;1;2;3;4;5;6;7;8;9},AA414&amp;"0123456789"))+1)),""), "")</f>
        <v/>
      </c>
    </row>
    <row r="415" spans="28:28" x14ac:dyDescent="0.25">
      <c r="AB415" s="381" t="str" cm="1">
        <f t="array" ref="AB415">IF(ISNUMBER(AA415), IFERROR(VALUE(RIGHT(AA415,LEN(AA415)-MIN(FIND({0;1;2;3;4;5;6;7;8;9},AA415&amp;"0123456789"))+1)),""), "")</f>
        <v/>
      </c>
    </row>
    <row r="416" spans="28:28" x14ac:dyDescent="0.25">
      <c r="AB416" s="381" t="str" cm="1">
        <f t="array" ref="AB416">IF(ISNUMBER(AA416), IFERROR(VALUE(RIGHT(AA416,LEN(AA416)-MIN(FIND({0;1;2;3;4;5;6;7;8;9},AA416&amp;"0123456789"))+1)),""), "")</f>
        <v/>
      </c>
    </row>
    <row r="417" spans="28:28" x14ac:dyDescent="0.25">
      <c r="AB417" s="381" t="str" cm="1">
        <f t="array" ref="AB417">IF(ISNUMBER(AA417), IFERROR(VALUE(RIGHT(AA417,LEN(AA417)-MIN(FIND({0;1;2;3;4;5;6;7;8;9},AA417&amp;"0123456789"))+1)),""), "")</f>
        <v/>
      </c>
    </row>
    <row r="418" spans="28:28" x14ac:dyDescent="0.25">
      <c r="AB418" s="381" t="str" cm="1">
        <f t="array" ref="AB418">IF(ISNUMBER(AA418), IFERROR(VALUE(RIGHT(AA418,LEN(AA418)-MIN(FIND({0;1;2;3;4;5;6;7;8;9},AA418&amp;"0123456789"))+1)),""), "")</f>
        <v/>
      </c>
    </row>
    <row r="419" spans="28:28" x14ac:dyDescent="0.25">
      <c r="AB419" s="381" t="str" cm="1">
        <f t="array" ref="AB419">IF(ISNUMBER(AA419), IFERROR(VALUE(RIGHT(AA419,LEN(AA419)-MIN(FIND({0;1;2;3;4;5;6;7;8;9},AA419&amp;"0123456789"))+1)),""), "")</f>
        <v/>
      </c>
    </row>
    <row r="420" spans="28:28" x14ac:dyDescent="0.25">
      <c r="AB420" s="381" t="str" cm="1">
        <f t="array" ref="AB420">IF(ISNUMBER(AA420), IFERROR(VALUE(RIGHT(AA420,LEN(AA420)-MIN(FIND({0;1;2;3;4;5;6;7;8;9},AA420&amp;"0123456789"))+1)),""), "")</f>
        <v/>
      </c>
    </row>
    <row r="421" spans="28:28" x14ac:dyDescent="0.25">
      <c r="AB421" s="381" t="str" cm="1">
        <f t="array" ref="AB421">IF(ISNUMBER(AA421), IFERROR(VALUE(RIGHT(AA421,LEN(AA421)-MIN(FIND({0;1;2;3;4;5;6;7;8;9},AA421&amp;"0123456789"))+1)),""), "")</f>
        <v/>
      </c>
    </row>
    <row r="422" spans="28:28" x14ac:dyDescent="0.25">
      <c r="AB422" s="381" t="str" cm="1">
        <f t="array" ref="AB422">IF(ISNUMBER(AA422), IFERROR(VALUE(RIGHT(AA422,LEN(AA422)-MIN(FIND({0;1;2;3;4;5;6;7;8;9},AA422&amp;"0123456789"))+1)),""), "")</f>
        <v/>
      </c>
    </row>
    <row r="423" spans="28:28" x14ac:dyDescent="0.25">
      <c r="AB423" s="381" t="str" cm="1">
        <f t="array" ref="AB423">IF(ISNUMBER(AA423), IFERROR(VALUE(RIGHT(AA423,LEN(AA423)-MIN(FIND({0;1;2;3;4;5;6;7;8;9},AA423&amp;"0123456789"))+1)),""), "")</f>
        <v/>
      </c>
    </row>
    <row r="424" spans="28:28" x14ac:dyDescent="0.25">
      <c r="AB424" s="381" t="str" cm="1">
        <f t="array" ref="AB424">IF(ISNUMBER(AA424), IFERROR(VALUE(RIGHT(AA424,LEN(AA424)-MIN(FIND({0;1;2;3;4;5;6;7;8;9},AA424&amp;"0123456789"))+1)),""), "")</f>
        <v/>
      </c>
    </row>
    <row r="425" spans="28:28" x14ac:dyDescent="0.25">
      <c r="AB425" s="381" t="str" cm="1">
        <f t="array" ref="AB425">IF(ISNUMBER(AA425), IFERROR(VALUE(RIGHT(AA425,LEN(AA425)-MIN(FIND({0;1;2;3;4;5;6;7;8;9},AA425&amp;"0123456789"))+1)),""), "")</f>
        <v/>
      </c>
    </row>
    <row r="426" spans="28:28" x14ac:dyDescent="0.25">
      <c r="AB426" s="381" t="str" cm="1">
        <f t="array" ref="AB426">IF(ISNUMBER(AA426), IFERROR(VALUE(RIGHT(AA426,LEN(AA426)-MIN(FIND({0;1;2;3;4;5;6;7;8;9},AA426&amp;"0123456789"))+1)),""), "")</f>
        <v/>
      </c>
    </row>
    <row r="427" spans="28:28" x14ac:dyDescent="0.25">
      <c r="AB427" s="381" t="str" cm="1">
        <f t="array" ref="AB427">IF(ISNUMBER(AA427), IFERROR(VALUE(RIGHT(AA427,LEN(AA427)-MIN(FIND({0;1;2;3;4;5;6;7;8;9},AA427&amp;"0123456789"))+1)),""), "")</f>
        <v/>
      </c>
    </row>
    <row r="428" spans="28:28" x14ac:dyDescent="0.25">
      <c r="AB428" s="381" t="str" cm="1">
        <f t="array" ref="AB428">IF(ISNUMBER(AA428), IFERROR(VALUE(RIGHT(AA428,LEN(AA428)-MIN(FIND({0;1;2;3;4;5;6;7;8;9},AA428&amp;"0123456789"))+1)),""), "")</f>
        <v/>
      </c>
    </row>
    <row r="429" spans="28:28" x14ac:dyDescent="0.25">
      <c r="AB429" s="381" t="str" cm="1">
        <f t="array" ref="AB429">IF(ISNUMBER(AA429), IFERROR(VALUE(RIGHT(AA429,LEN(AA429)-MIN(FIND({0;1;2;3;4;5;6;7;8;9},AA429&amp;"0123456789"))+1)),""), "")</f>
        <v/>
      </c>
    </row>
    <row r="430" spans="28:28" x14ac:dyDescent="0.25">
      <c r="AB430" s="381" t="str" cm="1">
        <f t="array" ref="AB430">IF(ISNUMBER(AA430), IFERROR(VALUE(RIGHT(AA430,LEN(AA430)-MIN(FIND({0;1;2;3;4;5;6;7;8;9},AA430&amp;"0123456789"))+1)),""), "")</f>
        <v/>
      </c>
    </row>
    <row r="431" spans="28:28" x14ac:dyDescent="0.25">
      <c r="AB431" s="381" t="str" cm="1">
        <f t="array" ref="AB431">IF(ISNUMBER(AA431), IFERROR(VALUE(RIGHT(AA431,LEN(AA431)-MIN(FIND({0;1;2;3;4;5;6;7;8;9},AA431&amp;"0123456789"))+1)),""), "")</f>
        <v/>
      </c>
    </row>
    <row r="432" spans="28:28" x14ac:dyDescent="0.25">
      <c r="AB432" s="381" t="str" cm="1">
        <f t="array" ref="AB432">IF(ISNUMBER(AA432), IFERROR(VALUE(RIGHT(AA432,LEN(AA432)-MIN(FIND({0;1;2;3;4;5;6;7;8;9},AA432&amp;"0123456789"))+1)),""), "")</f>
        <v/>
      </c>
    </row>
    <row r="433" spans="28:28" x14ac:dyDescent="0.25">
      <c r="AB433" s="381" t="str" cm="1">
        <f t="array" ref="AB433">IF(ISNUMBER(AA433), IFERROR(VALUE(RIGHT(AA433,LEN(AA433)-MIN(FIND({0;1;2;3;4;5;6;7;8;9},AA433&amp;"0123456789"))+1)),""), "")</f>
        <v/>
      </c>
    </row>
    <row r="434" spans="28:28" x14ac:dyDescent="0.25">
      <c r="AB434" s="381" t="str" cm="1">
        <f t="array" ref="AB434">IF(ISNUMBER(AA434), IFERROR(VALUE(RIGHT(AA434,LEN(AA434)-MIN(FIND({0;1;2;3;4;5;6;7;8;9},AA434&amp;"0123456789"))+1)),""), "")</f>
        <v/>
      </c>
    </row>
    <row r="435" spans="28:28" x14ac:dyDescent="0.25">
      <c r="AB435" s="381" t="str" cm="1">
        <f t="array" ref="AB435">IF(ISNUMBER(AA435), IFERROR(VALUE(RIGHT(AA435,LEN(AA435)-MIN(FIND({0;1;2;3;4;5;6;7;8;9},AA435&amp;"0123456789"))+1)),""), "")</f>
        <v/>
      </c>
    </row>
    <row r="436" spans="28:28" x14ac:dyDescent="0.25">
      <c r="AB436" s="381" t="str" cm="1">
        <f t="array" ref="AB436">IF(ISNUMBER(AA436), IFERROR(VALUE(RIGHT(AA436,LEN(AA436)-MIN(FIND({0;1;2;3;4;5;6;7;8;9},AA436&amp;"0123456789"))+1)),""), "")</f>
        <v/>
      </c>
    </row>
    <row r="437" spans="28:28" x14ac:dyDescent="0.25">
      <c r="AB437" s="381" t="str" cm="1">
        <f t="array" ref="AB437">IF(ISNUMBER(AA437), IFERROR(VALUE(RIGHT(AA437,LEN(AA437)-MIN(FIND({0;1;2;3;4;5;6;7;8;9},AA437&amp;"0123456789"))+1)),""), "")</f>
        <v/>
      </c>
    </row>
    <row r="438" spans="28:28" x14ac:dyDescent="0.25">
      <c r="AB438" s="381" t="str" cm="1">
        <f t="array" ref="AB438">IF(ISNUMBER(AA438), IFERROR(VALUE(RIGHT(AA438,LEN(AA438)-MIN(FIND({0;1;2;3;4;5;6;7;8;9},AA438&amp;"0123456789"))+1)),""), "")</f>
        <v/>
      </c>
    </row>
    <row r="439" spans="28:28" x14ac:dyDescent="0.25">
      <c r="AB439" s="381" t="str" cm="1">
        <f t="array" ref="AB439">IF(ISNUMBER(AA439), IFERROR(VALUE(RIGHT(AA439,LEN(AA439)-MIN(FIND({0;1;2;3;4;5;6;7;8;9},AA439&amp;"0123456789"))+1)),""), "")</f>
        <v/>
      </c>
    </row>
    <row r="440" spans="28:28" x14ac:dyDescent="0.25">
      <c r="AB440" s="381" t="str" cm="1">
        <f t="array" ref="AB440">IF(ISNUMBER(AA440), IFERROR(VALUE(RIGHT(AA440,LEN(AA440)-MIN(FIND({0;1;2;3;4;5;6;7;8;9},AA440&amp;"0123456789"))+1)),""), "")</f>
        <v/>
      </c>
    </row>
    <row r="441" spans="28:28" x14ac:dyDescent="0.25">
      <c r="AB441" s="381" t="str" cm="1">
        <f t="array" ref="AB441">IF(ISNUMBER(AA441), IFERROR(VALUE(RIGHT(AA441,LEN(AA441)-MIN(FIND({0;1;2;3;4;5;6;7;8;9},AA441&amp;"0123456789"))+1)),""), "")</f>
        <v/>
      </c>
    </row>
    <row r="442" spans="28:28" x14ac:dyDescent="0.25">
      <c r="AB442" s="381" t="str" cm="1">
        <f t="array" ref="AB442">IF(ISNUMBER(AA442), IFERROR(VALUE(RIGHT(AA442,LEN(AA442)-MIN(FIND({0;1;2;3;4;5;6;7;8;9},AA442&amp;"0123456789"))+1)),""), "")</f>
        <v/>
      </c>
    </row>
    <row r="443" spans="28:28" x14ac:dyDescent="0.25">
      <c r="AB443" s="381" t="str" cm="1">
        <f t="array" ref="AB443">IF(ISNUMBER(AA443), IFERROR(VALUE(RIGHT(AA443,LEN(AA443)-MIN(FIND({0;1;2;3;4;5;6;7;8;9},AA443&amp;"0123456789"))+1)),""), "")</f>
        <v/>
      </c>
    </row>
    <row r="444" spans="28:28" x14ac:dyDescent="0.25">
      <c r="AB444" s="381" t="str" cm="1">
        <f t="array" ref="AB444">IF(ISNUMBER(AA444), IFERROR(VALUE(RIGHT(AA444,LEN(AA444)-MIN(FIND({0;1;2;3;4;5;6;7;8;9},AA444&amp;"0123456789"))+1)),""), "")</f>
        <v/>
      </c>
    </row>
    <row r="445" spans="28:28" x14ac:dyDescent="0.25">
      <c r="AB445" s="381" t="str" cm="1">
        <f t="array" ref="AB445">IF(ISNUMBER(AA445), IFERROR(VALUE(RIGHT(AA445,LEN(AA445)-MIN(FIND({0;1;2;3;4;5;6;7;8;9},AA445&amp;"0123456789"))+1)),""), "")</f>
        <v/>
      </c>
    </row>
    <row r="446" spans="28:28" x14ac:dyDescent="0.25">
      <c r="AB446" s="381" t="str" cm="1">
        <f t="array" ref="AB446">IF(ISNUMBER(AA446), IFERROR(VALUE(RIGHT(AA446,LEN(AA446)-MIN(FIND({0;1;2;3;4;5;6;7;8;9},AA446&amp;"0123456789"))+1)),""), "")</f>
        <v/>
      </c>
    </row>
    <row r="447" spans="28:28" x14ac:dyDescent="0.25">
      <c r="AB447" s="381" t="str" cm="1">
        <f t="array" ref="AB447">IF(ISNUMBER(AA447), IFERROR(VALUE(RIGHT(AA447,LEN(AA447)-MIN(FIND({0;1;2;3;4;5;6;7;8;9},AA447&amp;"0123456789"))+1)),""), "")</f>
        <v/>
      </c>
    </row>
    <row r="448" spans="28:28" x14ac:dyDescent="0.25">
      <c r="AB448" s="381" t="str" cm="1">
        <f t="array" ref="AB448">IF(ISNUMBER(AA448), IFERROR(VALUE(RIGHT(AA448,LEN(AA448)-MIN(FIND({0;1;2;3;4;5;6;7;8;9},AA448&amp;"0123456789"))+1)),""), "")</f>
        <v/>
      </c>
    </row>
    <row r="449" spans="28:28" x14ac:dyDescent="0.25">
      <c r="AB449" s="381" t="str" cm="1">
        <f t="array" ref="AB449">IF(ISNUMBER(AA449), IFERROR(VALUE(RIGHT(AA449,LEN(AA449)-MIN(FIND({0;1;2;3;4;5;6;7;8;9},AA449&amp;"0123456789"))+1)),""), "")</f>
        <v/>
      </c>
    </row>
    <row r="450" spans="28:28" x14ac:dyDescent="0.25">
      <c r="AB450" s="381" t="str" cm="1">
        <f t="array" ref="AB450">IF(ISNUMBER(AA450), IFERROR(VALUE(RIGHT(AA450,LEN(AA450)-MIN(FIND({0;1;2;3;4;5;6;7;8;9},AA450&amp;"0123456789"))+1)),""), "")</f>
        <v/>
      </c>
    </row>
    <row r="451" spans="28:28" x14ac:dyDescent="0.25">
      <c r="AB451" s="381" t="str" cm="1">
        <f t="array" ref="AB451">IF(ISNUMBER(AA451), IFERROR(VALUE(RIGHT(AA451,LEN(AA451)-MIN(FIND({0;1;2;3;4;5;6;7;8;9},AA451&amp;"0123456789"))+1)),""), "")</f>
        <v/>
      </c>
    </row>
    <row r="452" spans="28:28" x14ac:dyDescent="0.25">
      <c r="AB452" s="381" t="str" cm="1">
        <f t="array" ref="AB452">IF(ISNUMBER(AA452), IFERROR(VALUE(RIGHT(AA452,LEN(AA452)-MIN(FIND({0;1;2;3;4;5;6;7;8;9},AA452&amp;"0123456789"))+1)),""), "")</f>
        <v/>
      </c>
    </row>
    <row r="453" spans="28:28" x14ac:dyDescent="0.25">
      <c r="AB453" s="381" t="str" cm="1">
        <f t="array" ref="AB453">IF(ISNUMBER(AA453), IFERROR(VALUE(RIGHT(AA453,LEN(AA453)-MIN(FIND({0;1;2;3;4;5;6;7;8;9},AA453&amp;"0123456789"))+1)),""), "")</f>
        <v/>
      </c>
    </row>
    <row r="454" spans="28:28" x14ac:dyDescent="0.25">
      <c r="AB454" s="381" t="str" cm="1">
        <f t="array" ref="AB454">IF(ISNUMBER(AA454), IFERROR(VALUE(RIGHT(AA454,LEN(AA454)-MIN(FIND({0;1;2;3;4;5;6;7;8;9},AA454&amp;"0123456789"))+1)),""), "")</f>
        <v/>
      </c>
    </row>
    <row r="455" spans="28:28" x14ac:dyDescent="0.25">
      <c r="AB455" s="381" t="str" cm="1">
        <f t="array" ref="AB455">IF(ISNUMBER(AA455), IFERROR(VALUE(RIGHT(AA455,LEN(AA455)-MIN(FIND({0;1;2;3;4;5;6;7;8;9},AA455&amp;"0123456789"))+1)),""), "")</f>
        <v/>
      </c>
    </row>
    <row r="456" spans="28:28" x14ac:dyDescent="0.25">
      <c r="AB456" s="381" t="str" cm="1">
        <f t="array" ref="AB456">IF(ISNUMBER(AA456), IFERROR(VALUE(RIGHT(AA456,LEN(AA456)-MIN(FIND({0;1;2;3;4;5;6;7;8;9},AA456&amp;"0123456789"))+1)),""), "")</f>
        <v/>
      </c>
    </row>
    <row r="457" spans="28:28" x14ac:dyDescent="0.25">
      <c r="AB457" s="381" t="str" cm="1">
        <f t="array" ref="AB457">IF(ISNUMBER(AA457), IFERROR(VALUE(RIGHT(AA457,LEN(AA457)-MIN(FIND({0;1;2;3;4;5;6;7;8;9},AA457&amp;"0123456789"))+1)),""), "")</f>
        <v/>
      </c>
    </row>
    <row r="458" spans="28:28" x14ac:dyDescent="0.25">
      <c r="AB458" s="381" t="str" cm="1">
        <f t="array" ref="AB458">IF(ISNUMBER(AA458), IFERROR(VALUE(RIGHT(AA458,LEN(AA458)-MIN(FIND({0;1;2;3;4;5;6;7;8;9},AA458&amp;"0123456789"))+1)),""), "")</f>
        <v/>
      </c>
    </row>
    <row r="459" spans="28:28" x14ac:dyDescent="0.25">
      <c r="AB459" s="381" t="str" cm="1">
        <f t="array" ref="AB459">IF(ISNUMBER(AA459), IFERROR(VALUE(RIGHT(AA459,LEN(AA459)-MIN(FIND({0;1;2;3;4;5;6;7;8;9},AA459&amp;"0123456789"))+1)),""), "")</f>
        <v/>
      </c>
    </row>
    <row r="460" spans="28:28" x14ac:dyDescent="0.25">
      <c r="AB460" s="381" t="str" cm="1">
        <f t="array" ref="AB460">IF(ISNUMBER(AA460), IFERROR(VALUE(RIGHT(AA460,LEN(AA460)-MIN(FIND({0;1;2;3;4;5;6;7;8;9},AA460&amp;"0123456789"))+1)),""), "")</f>
        <v/>
      </c>
    </row>
    <row r="461" spans="28:28" x14ac:dyDescent="0.25">
      <c r="AB461" s="381" t="str" cm="1">
        <f t="array" ref="AB461">IF(ISNUMBER(AA461), IFERROR(VALUE(RIGHT(AA461,LEN(AA461)-MIN(FIND({0;1;2;3;4;5;6;7;8;9},AA461&amp;"0123456789"))+1)),""), "")</f>
        <v/>
      </c>
    </row>
    <row r="462" spans="28:28" x14ac:dyDescent="0.25">
      <c r="AB462" s="381" t="str" cm="1">
        <f t="array" ref="AB462">IF(ISNUMBER(AA462), IFERROR(VALUE(RIGHT(AA462,LEN(AA462)-MIN(FIND({0;1;2;3;4;5;6;7;8;9},AA462&amp;"0123456789"))+1)),""), "")</f>
        <v/>
      </c>
    </row>
    <row r="463" spans="28:28" x14ac:dyDescent="0.25">
      <c r="AB463" s="381" t="str" cm="1">
        <f t="array" ref="AB463">IF(ISNUMBER(AA463), IFERROR(VALUE(RIGHT(AA463,LEN(AA463)-MIN(FIND({0;1;2;3;4;5;6;7;8;9},AA463&amp;"0123456789"))+1)),""), "")</f>
        <v/>
      </c>
    </row>
    <row r="464" spans="28:28" x14ac:dyDescent="0.25">
      <c r="AB464" s="381" t="str" cm="1">
        <f t="array" ref="AB464">IF(ISNUMBER(AA464), IFERROR(VALUE(RIGHT(AA464,LEN(AA464)-MIN(FIND({0;1;2;3;4;5;6;7;8;9},AA464&amp;"0123456789"))+1)),""), "")</f>
        <v/>
      </c>
    </row>
    <row r="465" spans="28:28" x14ac:dyDescent="0.25">
      <c r="AB465" s="381" t="str" cm="1">
        <f t="array" ref="AB465">IF(ISNUMBER(AA465), IFERROR(VALUE(RIGHT(AA465,LEN(AA465)-MIN(FIND({0;1;2;3;4;5;6;7;8;9},AA465&amp;"0123456789"))+1)),""), "")</f>
        <v/>
      </c>
    </row>
    <row r="466" spans="28:28" x14ac:dyDescent="0.25">
      <c r="AB466" s="381" t="str" cm="1">
        <f t="array" ref="AB466">IF(ISNUMBER(AA466), IFERROR(VALUE(RIGHT(AA466,LEN(AA466)-MIN(FIND({0;1;2;3;4;5;6;7;8;9},AA466&amp;"0123456789"))+1)),""), "")</f>
        <v/>
      </c>
    </row>
    <row r="467" spans="28:28" x14ac:dyDescent="0.25">
      <c r="AB467" s="381" t="str" cm="1">
        <f t="array" ref="AB467">IF(ISNUMBER(AA467), IFERROR(VALUE(RIGHT(AA467,LEN(AA467)-MIN(FIND({0;1;2;3;4;5;6;7;8;9},AA467&amp;"0123456789"))+1)),""), "")</f>
        <v/>
      </c>
    </row>
    <row r="468" spans="28:28" x14ac:dyDescent="0.25">
      <c r="AB468" s="381" t="str" cm="1">
        <f t="array" ref="AB468">IF(ISNUMBER(AA468), IFERROR(VALUE(RIGHT(AA468,LEN(AA468)-MIN(FIND({0;1;2;3;4;5;6;7;8;9},AA468&amp;"0123456789"))+1)),""), "")</f>
        <v/>
      </c>
    </row>
    <row r="469" spans="28:28" x14ac:dyDescent="0.25">
      <c r="AB469" s="381" t="str" cm="1">
        <f t="array" ref="AB469">IF(ISNUMBER(AA469), IFERROR(VALUE(RIGHT(AA469,LEN(AA469)-MIN(FIND({0;1;2;3;4;5;6;7;8;9},AA469&amp;"0123456789"))+1)),""), "")</f>
        <v/>
      </c>
    </row>
    <row r="470" spans="28:28" x14ac:dyDescent="0.25">
      <c r="AB470" s="381" t="str" cm="1">
        <f t="array" ref="AB470">IF(ISNUMBER(AA470), IFERROR(VALUE(RIGHT(AA470,LEN(AA470)-MIN(FIND({0;1;2;3;4;5;6;7;8;9},AA470&amp;"0123456789"))+1)),""), "")</f>
        <v/>
      </c>
    </row>
    <row r="471" spans="28:28" x14ac:dyDescent="0.25">
      <c r="AB471" s="381" t="str" cm="1">
        <f t="array" ref="AB471">IF(ISNUMBER(AA471), IFERROR(VALUE(RIGHT(AA471,LEN(AA471)-MIN(FIND({0;1;2;3;4;5;6;7;8;9},AA471&amp;"0123456789"))+1)),""), "")</f>
        <v/>
      </c>
    </row>
    <row r="472" spans="28:28" x14ac:dyDescent="0.25">
      <c r="AB472" s="381" t="str" cm="1">
        <f t="array" ref="AB472">IF(ISNUMBER(AA472), IFERROR(VALUE(RIGHT(AA472,LEN(AA472)-MIN(FIND({0;1;2;3;4;5;6;7;8;9},AA472&amp;"0123456789"))+1)),""), "")</f>
        <v/>
      </c>
    </row>
    <row r="473" spans="28:28" x14ac:dyDescent="0.25">
      <c r="AB473" s="381" t="str" cm="1">
        <f t="array" ref="AB473">IF(ISNUMBER(AA473), IFERROR(VALUE(RIGHT(AA473,LEN(AA473)-MIN(FIND({0;1;2;3;4;5;6;7;8;9},AA473&amp;"0123456789"))+1)),""), "")</f>
        <v/>
      </c>
    </row>
    <row r="474" spans="28:28" x14ac:dyDescent="0.25">
      <c r="AB474" s="381" t="str" cm="1">
        <f t="array" ref="AB474">IF(ISNUMBER(AA474), IFERROR(VALUE(RIGHT(AA474,LEN(AA474)-MIN(FIND({0;1;2;3;4;5;6;7;8;9},AA474&amp;"0123456789"))+1)),""), "")</f>
        <v/>
      </c>
    </row>
    <row r="475" spans="28:28" x14ac:dyDescent="0.25">
      <c r="AB475" s="381" t="str" cm="1">
        <f t="array" ref="AB475">IF(ISNUMBER(AA475), IFERROR(VALUE(RIGHT(AA475,LEN(AA475)-MIN(FIND({0;1;2;3;4;5;6;7;8;9},AA475&amp;"0123456789"))+1)),""), "")</f>
        <v/>
      </c>
    </row>
    <row r="476" spans="28:28" x14ac:dyDescent="0.25">
      <c r="AB476" s="381" t="str" cm="1">
        <f t="array" ref="AB476">IF(ISNUMBER(AA476), IFERROR(VALUE(RIGHT(AA476,LEN(AA476)-MIN(FIND({0;1;2;3;4;5;6;7;8;9},AA476&amp;"0123456789"))+1)),""), "")</f>
        <v/>
      </c>
    </row>
    <row r="477" spans="28:28" x14ac:dyDescent="0.25">
      <c r="AB477" s="381" t="str" cm="1">
        <f t="array" ref="AB477">IF(ISNUMBER(AA477), IFERROR(VALUE(RIGHT(AA477,LEN(AA477)-MIN(FIND({0;1;2;3;4;5;6;7;8;9},AA477&amp;"0123456789"))+1)),""), "")</f>
        <v/>
      </c>
    </row>
    <row r="478" spans="28:28" x14ac:dyDescent="0.25">
      <c r="AB478" s="381" t="str" cm="1">
        <f t="array" ref="AB478">IF(ISNUMBER(AA478), IFERROR(VALUE(RIGHT(AA478,LEN(AA478)-MIN(FIND({0;1;2;3;4;5;6;7;8;9},AA478&amp;"0123456789"))+1)),""), "")</f>
        <v/>
      </c>
    </row>
    <row r="479" spans="28:28" x14ac:dyDescent="0.25">
      <c r="AB479" s="381" t="str" cm="1">
        <f t="array" ref="AB479">IF(ISNUMBER(AA479), IFERROR(VALUE(RIGHT(AA479,LEN(AA479)-MIN(FIND({0;1;2;3;4;5;6;7;8;9},AA479&amp;"0123456789"))+1)),""), "")</f>
        <v/>
      </c>
    </row>
    <row r="480" spans="28:28" x14ac:dyDescent="0.25">
      <c r="AB480" s="381" t="str" cm="1">
        <f t="array" ref="AB480">IF(ISNUMBER(AA480), IFERROR(VALUE(RIGHT(AA480,LEN(AA480)-MIN(FIND({0;1;2;3;4;5;6;7;8;9},AA480&amp;"0123456789"))+1)),""), "")</f>
        <v/>
      </c>
    </row>
    <row r="481" spans="28:28" x14ac:dyDescent="0.25">
      <c r="AB481" s="381" t="str" cm="1">
        <f t="array" ref="AB481">IF(ISNUMBER(AA481), IFERROR(VALUE(RIGHT(AA481,LEN(AA481)-MIN(FIND({0;1;2;3;4;5;6;7;8;9},AA481&amp;"0123456789"))+1)),""), "")</f>
        <v/>
      </c>
    </row>
    <row r="482" spans="28:28" x14ac:dyDescent="0.25">
      <c r="AB482" s="381" t="str" cm="1">
        <f t="array" ref="AB482">IF(ISNUMBER(AA482), IFERROR(VALUE(RIGHT(AA482,LEN(AA482)-MIN(FIND({0;1;2;3;4;5;6;7;8;9},AA482&amp;"0123456789"))+1)),""), "")</f>
        <v/>
      </c>
    </row>
    <row r="483" spans="28:28" x14ac:dyDescent="0.25">
      <c r="AB483" s="381" t="str" cm="1">
        <f t="array" ref="AB483">IF(ISNUMBER(AA483), IFERROR(VALUE(RIGHT(AA483,LEN(AA483)-MIN(FIND({0;1;2;3;4;5;6;7;8;9},AA483&amp;"0123456789"))+1)),""), "")</f>
        <v/>
      </c>
    </row>
    <row r="484" spans="28:28" x14ac:dyDescent="0.25">
      <c r="AB484" s="381" t="str" cm="1">
        <f t="array" ref="AB484">IF(ISNUMBER(AA484), IFERROR(VALUE(RIGHT(AA484,LEN(AA484)-MIN(FIND({0;1;2;3;4;5;6;7;8;9},AA484&amp;"0123456789"))+1)),""), "")</f>
        <v/>
      </c>
    </row>
    <row r="485" spans="28:28" x14ac:dyDescent="0.25">
      <c r="AB485" s="381" t="str" cm="1">
        <f t="array" ref="AB485">IF(ISNUMBER(AA485), IFERROR(VALUE(RIGHT(AA485,LEN(AA485)-MIN(FIND({0;1;2;3;4;5;6;7;8;9},AA485&amp;"0123456789"))+1)),""), "")</f>
        <v/>
      </c>
    </row>
    <row r="486" spans="28:28" x14ac:dyDescent="0.25">
      <c r="AB486" s="381" t="str" cm="1">
        <f t="array" ref="AB486">IF(ISNUMBER(AA486), IFERROR(VALUE(RIGHT(AA486,LEN(AA486)-MIN(FIND({0;1;2;3;4;5;6;7;8;9},AA486&amp;"0123456789"))+1)),""), "")</f>
        <v/>
      </c>
    </row>
    <row r="487" spans="28:28" x14ac:dyDescent="0.25">
      <c r="AB487" s="381" t="str" cm="1">
        <f t="array" ref="AB487">IF(ISNUMBER(AA487), IFERROR(VALUE(RIGHT(AA487,LEN(AA487)-MIN(FIND({0;1;2;3;4;5;6;7;8;9},AA487&amp;"0123456789"))+1)),""), "")</f>
        <v/>
      </c>
    </row>
    <row r="488" spans="28:28" x14ac:dyDescent="0.25">
      <c r="AB488" s="381" t="str" cm="1">
        <f t="array" ref="AB488">IF(ISNUMBER(AA488), IFERROR(VALUE(RIGHT(AA488,LEN(AA488)-MIN(FIND({0;1;2;3;4;5;6;7;8;9},AA488&amp;"0123456789"))+1)),""), "")</f>
        <v/>
      </c>
    </row>
    <row r="489" spans="28:28" x14ac:dyDescent="0.25">
      <c r="AB489" s="381" t="str" cm="1">
        <f t="array" ref="AB489">IF(ISNUMBER(AA489), IFERROR(VALUE(RIGHT(AA489,LEN(AA489)-MIN(FIND({0;1;2;3;4;5;6;7;8;9},AA489&amp;"0123456789"))+1)),""), "")</f>
        <v/>
      </c>
    </row>
    <row r="490" spans="28:28" x14ac:dyDescent="0.25">
      <c r="AB490" s="381" t="str" cm="1">
        <f t="array" ref="AB490">IF(ISNUMBER(AA490), IFERROR(VALUE(RIGHT(AA490,LEN(AA490)-MIN(FIND({0;1;2;3;4;5;6;7;8;9},AA490&amp;"0123456789"))+1)),""), "")</f>
        <v/>
      </c>
    </row>
    <row r="491" spans="28:28" x14ac:dyDescent="0.25">
      <c r="AB491" s="381" t="str" cm="1">
        <f t="array" ref="AB491">IF(ISNUMBER(AA491), IFERROR(VALUE(RIGHT(AA491,LEN(AA491)-MIN(FIND({0;1;2;3;4;5;6;7;8;9},AA491&amp;"0123456789"))+1)),""), "")</f>
        <v/>
      </c>
    </row>
    <row r="492" spans="28:28" x14ac:dyDescent="0.25">
      <c r="AB492" s="381" t="str" cm="1">
        <f t="array" ref="AB492">IF(ISNUMBER(AA492), IFERROR(VALUE(RIGHT(AA492,LEN(AA492)-MIN(FIND({0;1;2;3;4;5;6;7;8;9},AA492&amp;"0123456789"))+1)),""), "")</f>
        <v/>
      </c>
    </row>
    <row r="493" spans="28:28" x14ac:dyDescent="0.25">
      <c r="AB493" s="381" t="str" cm="1">
        <f t="array" ref="AB493">IF(ISNUMBER(AA493), IFERROR(VALUE(RIGHT(AA493,LEN(AA493)-MIN(FIND({0;1;2;3;4;5;6;7;8;9},AA493&amp;"0123456789"))+1)),""), "")</f>
        <v/>
      </c>
    </row>
    <row r="494" spans="28:28" x14ac:dyDescent="0.25">
      <c r="AB494" s="381" t="str" cm="1">
        <f t="array" ref="AB494">IF(ISNUMBER(AA494), IFERROR(VALUE(RIGHT(AA494,LEN(AA494)-MIN(FIND({0;1;2;3;4;5;6;7;8;9},AA494&amp;"0123456789"))+1)),""), "")</f>
        <v/>
      </c>
    </row>
    <row r="495" spans="28:28" x14ac:dyDescent="0.25">
      <c r="AB495" s="381" t="str" cm="1">
        <f t="array" ref="AB495">IF(ISNUMBER(AA495), IFERROR(VALUE(RIGHT(AA495,LEN(AA495)-MIN(FIND({0;1;2;3;4;5;6;7;8;9},AA495&amp;"0123456789"))+1)),""), "")</f>
        <v/>
      </c>
    </row>
    <row r="496" spans="28:28" x14ac:dyDescent="0.25">
      <c r="AB496" s="381" t="str" cm="1">
        <f t="array" ref="AB496">IF(ISNUMBER(AA496), IFERROR(VALUE(RIGHT(AA496,LEN(AA496)-MIN(FIND({0;1;2;3;4;5;6;7;8;9},AA496&amp;"0123456789"))+1)),""), "")</f>
        <v/>
      </c>
    </row>
    <row r="497" spans="28:28" x14ac:dyDescent="0.25">
      <c r="AB497" s="381" t="str" cm="1">
        <f t="array" ref="AB497">IF(ISNUMBER(AA497), IFERROR(VALUE(RIGHT(AA497,LEN(AA497)-MIN(FIND({0;1;2;3;4;5;6;7;8;9},AA497&amp;"0123456789"))+1)),""), "")</f>
        <v/>
      </c>
    </row>
    <row r="498" spans="28:28" x14ac:dyDescent="0.25">
      <c r="AB498" s="381" t="str" cm="1">
        <f t="array" ref="AB498">IF(ISNUMBER(AA498), IFERROR(VALUE(RIGHT(AA498,LEN(AA498)-MIN(FIND({0;1;2;3;4;5;6;7;8;9},AA498&amp;"0123456789"))+1)),""), "")</f>
        <v/>
      </c>
    </row>
    <row r="499" spans="28:28" x14ac:dyDescent="0.25">
      <c r="AB499" s="381" t="str" cm="1">
        <f t="array" ref="AB499">IF(ISNUMBER(AA499), IFERROR(VALUE(RIGHT(AA499,LEN(AA499)-MIN(FIND({0;1;2;3;4;5;6;7;8;9},AA499&amp;"0123456789"))+1)),""), "")</f>
        <v/>
      </c>
    </row>
    <row r="500" spans="28:28" x14ac:dyDescent="0.25">
      <c r="AB500" s="381" t="str" cm="1">
        <f t="array" ref="AB500">IF(ISNUMBER(AA500), IFERROR(VALUE(RIGHT(AA500,LEN(AA500)-MIN(FIND({0;1;2;3;4;5;6;7;8;9},AA500&amp;"0123456789"))+1)),""), "")</f>
        <v/>
      </c>
    </row>
    <row r="501" spans="28:28" x14ac:dyDescent="0.25">
      <c r="AB501" s="381"/>
    </row>
    <row r="502" spans="28:28" x14ac:dyDescent="0.25">
      <c r="AB502" s="381"/>
    </row>
    <row r="503" spans="28:28" x14ac:dyDescent="0.25">
      <c r="AB503" s="381"/>
    </row>
    <row r="504" spans="28:28" x14ac:dyDescent="0.25">
      <c r="AB504" s="381"/>
    </row>
    <row r="505" spans="28:28" x14ac:dyDescent="0.25">
      <c r="AB505" s="381"/>
    </row>
    <row r="506" spans="28:28" x14ac:dyDescent="0.25">
      <c r="AB506" s="381"/>
    </row>
    <row r="507" spans="28:28" x14ac:dyDescent="0.25">
      <c r="AB507" s="381"/>
    </row>
    <row r="508" spans="28:28" x14ac:dyDescent="0.25">
      <c r="AB508" s="381"/>
    </row>
    <row r="509" spans="28:28" x14ac:dyDescent="0.25">
      <c r="AB509" s="381"/>
    </row>
    <row r="510" spans="28:28" x14ac:dyDescent="0.25">
      <c r="AB510" s="381"/>
    </row>
    <row r="511" spans="28:28" x14ac:dyDescent="0.25">
      <c r="AB511" s="381"/>
    </row>
    <row r="512" spans="28:28" x14ac:dyDescent="0.25">
      <c r="AB512" s="381"/>
    </row>
    <row r="513" spans="28:28" x14ac:dyDescent="0.25">
      <c r="AB513" s="381"/>
    </row>
    <row r="514" spans="28:28" x14ac:dyDescent="0.25">
      <c r="AB514" s="381"/>
    </row>
    <row r="515" spans="28:28" x14ac:dyDescent="0.25">
      <c r="AB515" s="381"/>
    </row>
    <row r="516" spans="28:28" x14ac:dyDescent="0.25">
      <c r="AB516" s="381"/>
    </row>
    <row r="517" spans="28:28" x14ac:dyDescent="0.25">
      <c r="AB517" s="381"/>
    </row>
    <row r="518" spans="28:28" x14ac:dyDescent="0.25">
      <c r="AB518" s="381"/>
    </row>
    <row r="519" spans="28:28" x14ac:dyDescent="0.25">
      <c r="AB519" s="381"/>
    </row>
    <row r="520" spans="28:28" x14ac:dyDescent="0.25">
      <c r="AB520" s="381"/>
    </row>
    <row r="521" spans="28:28" x14ac:dyDescent="0.25">
      <c r="AB521" s="381"/>
    </row>
    <row r="522" spans="28:28" x14ac:dyDescent="0.25">
      <c r="AB522" s="381"/>
    </row>
    <row r="523" spans="28:28" x14ac:dyDescent="0.25">
      <c r="AB523" s="381"/>
    </row>
    <row r="524" spans="28:28" x14ac:dyDescent="0.25">
      <c r="AB524" s="381"/>
    </row>
    <row r="525" spans="28:28" x14ac:dyDescent="0.25">
      <c r="AB525" s="381"/>
    </row>
    <row r="526" spans="28:28" x14ac:dyDescent="0.25">
      <c r="AB526" s="381"/>
    </row>
    <row r="527" spans="28:28" x14ac:dyDescent="0.25">
      <c r="AB527" s="381"/>
    </row>
    <row r="528" spans="28:28" x14ac:dyDescent="0.25">
      <c r="AB528" s="381"/>
    </row>
    <row r="529" spans="28:28" x14ac:dyDescent="0.25">
      <c r="AB529" s="381"/>
    </row>
    <row r="530" spans="28:28" x14ac:dyDescent="0.25">
      <c r="AB530" s="381"/>
    </row>
    <row r="531" spans="28:28" x14ac:dyDescent="0.25">
      <c r="AB531" s="381"/>
    </row>
    <row r="532" spans="28:28" x14ac:dyDescent="0.25">
      <c r="AB532" s="381"/>
    </row>
    <row r="533" spans="28:28" x14ac:dyDescent="0.25">
      <c r="AB533" s="381"/>
    </row>
    <row r="534" spans="28:28" x14ac:dyDescent="0.25">
      <c r="AB534" s="381"/>
    </row>
    <row r="535" spans="28:28" x14ac:dyDescent="0.25">
      <c r="AB535" s="381"/>
    </row>
    <row r="536" spans="28:28" x14ac:dyDescent="0.25">
      <c r="AB536" s="381"/>
    </row>
    <row r="537" spans="28:28" x14ac:dyDescent="0.25">
      <c r="AB537" s="381"/>
    </row>
    <row r="538" spans="28:28" x14ac:dyDescent="0.25">
      <c r="AB538" s="381"/>
    </row>
    <row r="539" spans="28:28" x14ac:dyDescent="0.25">
      <c r="AB539" s="381"/>
    </row>
    <row r="540" spans="28:28" x14ac:dyDescent="0.25">
      <c r="AB540" s="381"/>
    </row>
    <row r="541" spans="28:28" x14ac:dyDescent="0.25">
      <c r="AB541" s="381"/>
    </row>
    <row r="542" spans="28:28" x14ac:dyDescent="0.25">
      <c r="AB542" s="381"/>
    </row>
    <row r="543" spans="28:28" x14ac:dyDescent="0.25">
      <c r="AB543" s="381"/>
    </row>
    <row r="544" spans="28:28" x14ac:dyDescent="0.25">
      <c r="AB544" s="381"/>
    </row>
    <row r="545" spans="28:28" x14ac:dyDescent="0.25">
      <c r="AB545" s="381"/>
    </row>
    <row r="546" spans="28:28" x14ac:dyDescent="0.25">
      <c r="AB546" s="381"/>
    </row>
    <row r="547" spans="28:28" x14ac:dyDescent="0.25">
      <c r="AB547" s="381"/>
    </row>
    <row r="548" spans="28:28" x14ac:dyDescent="0.25">
      <c r="AB548" s="381"/>
    </row>
    <row r="549" spans="28:28" x14ac:dyDescent="0.25">
      <c r="AB549" s="381"/>
    </row>
    <row r="550" spans="28:28" x14ac:dyDescent="0.25">
      <c r="AB550" s="381"/>
    </row>
    <row r="551" spans="28:28" x14ac:dyDescent="0.25">
      <c r="AB551" s="381"/>
    </row>
    <row r="552" spans="28:28" x14ac:dyDescent="0.25">
      <c r="AB552" s="381"/>
    </row>
    <row r="553" spans="28:28" x14ac:dyDescent="0.25">
      <c r="AB553" s="381"/>
    </row>
    <row r="554" spans="28:28" x14ac:dyDescent="0.25">
      <c r="AB554" s="381"/>
    </row>
    <row r="555" spans="28:28" x14ac:dyDescent="0.25">
      <c r="AB555" s="381"/>
    </row>
    <row r="556" spans="28:28" x14ac:dyDescent="0.25">
      <c r="AB556" s="381"/>
    </row>
    <row r="557" spans="28:28" x14ac:dyDescent="0.25">
      <c r="AB557" s="381"/>
    </row>
    <row r="558" spans="28:28" x14ac:dyDescent="0.25">
      <c r="AB558" s="381"/>
    </row>
    <row r="559" spans="28:28" x14ac:dyDescent="0.25">
      <c r="AB559" s="381"/>
    </row>
    <row r="560" spans="28:28" x14ac:dyDescent="0.25">
      <c r="AB560" s="381"/>
    </row>
    <row r="561" spans="28:28" x14ac:dyDescent="0.25">
      <c r="AB561" s="381"/>
    </row>
    <row r="562" spans="28:28" x14ac:dyDescent="0.25">
      <c r="AB562" s="381"/>
    </row>
    <row r="563" spans="28:28" x14ac:dyDescent="0.25">
      <c r="AB563" s="381"/>
    </row>
    <row r="564" spans="28:28" x14ac:dyDescent="0.25">
      <c r="AB564" s="381"/>
    </row>
    <row r="565" spans="28:28" x14ac:dyDescent="0.25">
      <c r="AB565" s="381"/>
    </row>
    <row r="566" spans="28:28" x14ac:dyDescent="0.25">
      <c r="AB566" s="381"/>
    </row>
    <row r="567" spans="28:28" x14ac:dyDescent="0.25">
      <c r="AB567" s="381"/>
    </row>
    <row r="568" spans="28:28" x14ac:dyDescent="0.25">
      <c r="AB568" s="381"/>
    </row>
    <row r="569" spans="28:28" x14ac:dyDescent="0.25">
      <c r="AB569" s="381"/>
    </row>
    <row r="570" spans="28:28" x14ac:dyDescent="0.25">
      <c r="AB570" s="381"/>
    </row>
    <row r="571" spans="28:28" x14ac:dyDescent="0.25">
      <c r="AB571" s="381"/>
    </row>
    <row r="572" spans="28:28" x14ac:dyDescent="0.25">
      <c r="AB572" s="381"/>
    </row>
    <row r="573" spans="28:28" x14ac:dyDescent="0.25">
      <c r="AB573" s="381"/>
    </row>
    <row r="574" spans="28:28" x14ac:dyDescent="0.25">
      <c r="AB574" s="381"/>
    </row>
    <row r="575" spans="28:28" x14ac:dyDescent="0.25">
      <c r="AB575" s="381"/>
    </row>
    <row r="576" spans="28:28" x14ac:dyDescent="0.25">
      <c r="AB576" s="381"/>
    </row>
    <row r="577" spans="28:28" x14ac:dyDescent="0.25">
      <c r="AB577" s="381"/>
    </row>
    <row r="578" spans="28:28" x14ac:dyDescent="0.25">
      <c r="AB578" s="381"/>
    </row>
    <row r="579" spans="28:28" x14ac:dyDescent="0.25">
      <c r="AB579" s="381"/>
    </row>
    <row r="580" spans="28:28" x14ac:dyDescent="0.25">
      <c r="AB580" s="381"/>
    </row>
    <row r="581" spans="28:28" x14ac:dyDescent="0.25">
      <c r="AB581" s="381"/>
    </row>
    <row r="582" spans="28:28" x14ac:dyDescent="0.25">
      <c r="AB582" s="381"/>
    </row>
    <row r="583" spans="28:28" x14ac:dyDescent="0.25">
      <c r="AB583" s="381"/>
    </row>
    <row r="584" spans="28:28" x14ac:dyDescent="0.25">
      <c r="AB584" s="381"/>
    </row>
    <row r="585" spans="28:28" x14ac:dyDescent="0.25">
      <c r="AB585" s="381"/>
    </row>
    <row r="586" spans="28:28" x14ac:dyDescent="0.25">
      <c r="AB586" s="381"/>
    </row>
    <row r="587" spans="28:28" x14ac:dyDescent="0.25">
      <c r="AB587" s="381"/>
    </row>
    <row r="588" spans="28:28" x14ac:dyDescent="0.25">
      <c r="AB588" s="381"/>
    </row>
    <row r="589" spans="28:28" x14ac:dyDescent="0.25">
      <c r="AB589" s="381"/>
    </row>
    <row r="590" spans="28:28" x14ac:dyDescent="0.25">
      <c r="AB590" s="381"/>
    </row>
    <row r="591" spans="28:28" x14ac:dyDescent="0.25">
      <c r="AB591" s="381"/>
    </row>
    <row r="592" spans="28:28" x14ac:dyDescent="0.25">
      <c r="AB592" s="381"/>
    </row>
    <row r="593" spans="28:28" x14ac:dyDescent="0.25">
      <c r="AB593" s="381"/>
    </row>
    <row r="594" spans="28:28" x14ac:dyDescent="0.25">
      <c r="AB594" s="381"/>
    </row>
    <row r="595" spans="28:28" x14ac:dyDescent="0.25">
      <c r="AB595" s="381"/>
    </row>
    <row r="596" spans="28:28" x14ac:dyDescent="0.25">
      <c r="AB596" s="381"/>
    </row>
    <row r="597" spans="28:28" x14ac:dyDescent="0.25">
      <c r="AB597" s="381"/>
    </row>
    <row r="598" spans="28:28" x14ac:dyDescent="0.25">
      <c r="AB598" s="381"/>
    </row>
    <row r="599" spans="28:28" x14ac:dyDescent="0.25">
      <c r="AB599" s="381"/>
    </row>
    <row r="600" spans="28:28" x14ac:dyDescent="0.25">
      <c r="AB600" s="381"/>
    </row>
    <row r="601" spans="28:28" x14ac:dyDescent="0.25">
      <c r="AB601" s="381"/>
    </row>
    <row r="602" spans="28:28" x14ac:dyDescent="0.25">
      <c r="AB602" s="381"/>
    </row>
    <row r="603" spans="28:28" x14ac:dyDescent="0.25">
      <c r="AB603" s="381"/>
    </row>
    <row r="604" spans="28:28" x14ac:dyDescent="0.25">
      <c r="AB604" s="381"/>
    </row>
    <row r="605" spans="28:28" x14ac:dyDescent="0.25">
      <c r="AB605" s="381"/>
    </row>
    <row r="606" spans="28:28" x14ac:dyDescent="0.25">
      <c r="AB606" s="381"/>
    </row>
    <row r="607" spans="28:28" x14ac:dyDescent="0.25">
      <c r="AB607" s="381"/>
    </row>
    <row r="608" spans="28:28" x14ac:dyDescent="0.25">
      <c r="AB608" s="381"/>
    </row>
    <row r="609" spans="28:28" x14ac:dyDescent="0.25">
      <c r="AB609" s="381"/>
    </row>
    <row r="610" spans="28:28" x14ac:dyDescent="0.25">
      <c r="AB610" s="381"/>
    </row>
    <row r="611" spans="28:28" x14ac:dyDescent="0.25">
      <c r="AB611" s="381"/>
    </row>
    <row r="612" spans="28:28" x14ac:dyDescent="0.25">
      <c r="AB612" s="381"/>
    </row>
    <row r="613" spans="28:28" x14ac:dyDescent="0.25">
      <c r="AB613" s="381"/>
    </row>
    <row r="614" spans="28:28" x14ac:dyDescent="0.25">
      <c r="AB614" s="381"/>
    </row>
    <row r="615" spans="28:28" x14ac:dyDescent="0.25">
      <c r="AB615" s="381"/>
    </row>
    <row r="616" spans="28:28" x14ac:dyDescent="0.25">
      <c r="AB616" s="381"/>
    </row>
    <row r="617" spans="28:28" x14ac:dyDescent="0.25">
      <c r="AB617" s="381"/>
    </row>
    <row r="618" spans="28:28" x14ac:dyDescent="0.25">
      <c r="AB618" s="381"/>
    </row>
    <row r="619" spans="28:28" x14ac:dyDescent="0.25">
      <c r="AB619" s="381"/>
    </row>
    <row r="620" spans="28:28" x14ac:dyDescent="0.25">
      <c r="AB620" s="381"/>
    </row>
    <row r="621" spans="28:28" x14ac:dyDescent="0.25">
      <c r="AB621" s="381"/>
    </row>
    <row r="622" spans="28:28" x14ac:dyDescent="0.25">
      <c r="AB622" s="381"/>
    </row>
    <row r="623" spans="28:28" x14ac:dyDescent="0.25">
      <c r="AB623" s="381"/>
    </row>
    <row r="624" spans="28:28" x14ac:dyDescent="0.25">
      <c r="AB624" s="381"/>
    </row>
    <row r="625" spans="28:28" x14ac:dyDescent="0.25">
      <c r="AB625" s="381"/>
    </row>
    <row r="626" spans="28:28" x14ac:dyDescent="0.25">
      <c r="AB626" s="381"/>
    </row>
    <row r="627" spans="28:28" x14ac:dyDescent="0.25">
      <c r="AB627" s="381"/>
    </row>
    <row r="628" spans="28:28" x14ac:dyDescent="0.25">
      <c r="AB628" s="381"/>
    </row>
    <row r="629" spans="28:28" x14ac:dyDescent="0.25">
      <c r="AB629" s="381"/>
    </row>
    <row r="630" spans="28:28" x14ac:dyDescent="0.25">
      <c r="AB630" s="381"/>
    </row>
    <row r="631" spans="28:28" x14ac:dyDescent="0.25">
      <c r="AB631" s="381"/>
    </row>
    <row r="632" spans="28:28" x14ac:dyDescent="0.25">
      <c r="AB632" s="381"/>
    </row>
    <row r="633" spans="28:28" x14ac:dyDescent="0.25">
      <c r="AB633" s="381"/>
    </row>
    <row r="634" spans="28:28" x14ac:dyDescent="0.25">
      <c r="AB634" s="381"/>
    </row>
    <row r="635" spans="28:28" x14ac:dyDescent="0.25">
      <c r="AB635" s="381"/>
    </row>
    <row r="636" spans="28:28" x14ac:dyDescent="0.25">
      <c r="AB636" s="381"/>
    </row>
    <row r="637" spans="28:28" x14ac:dyDescent="0.25">
      <c r="AB637" s="381"/>
    </row>
    <row r="638" spans="28:28" x14ac:dyDescent="0.25">
      <c r="AB638" s="381"/>
    </row>
    <row r="639" spans="28:28" x14ac:dyDescent="0.25">
      <c r="AB639" s="381"/>
    </row>
    <row r="640" spans="28:28" x14ac:dyDescent="0.25">
      <c r="AB640" s="381"/>
    </row>
    <row r="641" spans="28:28" x14ac:dyDescent="0.25">
      <c r="AB641" s="381"/>
    </row>
    <row r="642" spans="28:28" x14ac:dyDescent="0.25">
      <c r="AB642" s="381"/>
    </row>
    <row r="643" spans="28:28" x14ac:dyDescent="0.25">
      <c r="AB643" s="381"/>
    </row>
    <row r="644" spans="28:28" x14ac:dyDescent="0.25">
      <c r="AB644" s="381"/>
    </row>
    <row r="645" spans="28:28" x14ac:dyDescent="0.25">
      <c r="AB645" s="381"/>
    </row>
    <row r="646" spans="28:28" x14ac:dyDescent="0.25">
      <c r="AB646" s="381"/>
    </row>
    <row r="647" spans="28:28" x14ac:dyDescent="0.25">
      <c r="AB647" s="381"/>
    </row>
    <row r="648" spans="28:28" x14ac:dyDescent="0.25">
      <c r="AB648" s="381"/>
    </row>
    <row r="649" spans="28:28" x14ac:dyDescent="0.25">
      <c r="AB649" s="381"/>
    </row>
    <row r="650" spans="28:28" x14ac:dyDescent="0.25">
      <c r="AB650" s="381"/>
    </row>
    <row r="651" spans="28:28" x14ac:dyDescent="0.25">
      <c r="AB651" s="381"/>
    </row>
    <row r="652" spans="28:28" x14ac:dyDescent="0.25">
      <c r="AB652" s="381"/>
    </row>
    <row r="653" spans="28:28" x14ac:dyDescent="0.25">
      <c r="AB653" s="381"/>
    </row>
    <row r="654" spans="28:28" x14ac:dyDescent="0.25">
      <c r="AB654" s="381"/>
    </row>
    <row r="655" spans="28:28" x14ac:dyDescent="0.25">
      <c r="AB655" s="381"/>
    </row>
    <row r="656" spans="28:28" x14ac:dyDescent="0.25">
      <c r="AB656" s="381"/>
    </row>
    <row r="657" spans="28:28" x14ac:dyDescent="0.25">
      <c r="AB657" s="381"/>
    </row>
    <row r="658" spans="28:28" x14ac:dyDescent="0.25">
      <c r="AB658" s="381"/>
    </row>
    <row r="659" spans="28:28" x14ac:dyDescent="0.25">
      <c r="AB659" s="381"/>
    </row>
    <row r="660" spans="28:28" x14ac:dyDescent="0.25">
      <c r="AB660" s="381"/>
    </row>
    <row r="661" spans="28:28" x14ac:dyDescent="0.25">
      <c r="AB661" s="381"/>
    </row>
    <row r="662" spans="28:28" x14ac:dyDescent="0.25">
      <c r="AB662" s="381"/>
    </row>
    <row r="663" spans="28:28" x14ac:dyDescent="0.25">
      <c r="AB663" s="381"/>
    </row>
    <row r="664" spans="28:28" x14ac:dyDescent="0.25">
      <c r="AB664" s="381"/>
    </row>
    <row r="665" spans="28:28" x14ac:dyDescent="0.25">
      <c r="AB665" s="381"/>
    </row>
    <row r="666" spans="28:28" x14ac:dyDescent="0.25">
      <c r="AB666" s="381"/>
    </row>
    <row r="667" spans="28:28" x14ac:dyDescent="0.25">
      <c r="AB667" s="381"/>
    </row>
    <row r="668" spans="28:28" x14ac:dyDescent="0.25">
      <c r="AB668" s="381"/>
    </row>
    <row r="669" spans="28:28" x14ac:dyDescent="0.25">
      <c r="AB669" s="381"/>
    </row>
    <row r="670" spans="28:28" x14ac:dyDescent="0.25">
      <c r="AB670" s="381"/>
    </row>
    <row r="671" spans="28:28" x14ac:dyDescent="0.25">
      <c r="AB671" s="381"/>
    </row>
    <row r="672" spans="28:28" x14ac:dyDescent="0.25">
      <c r="AB672" s="381"/>
    </row>
    <row r="673" spans="28:28" x14ac:dyDescent="0.25">
      <c r="AB673" s="381"/>
    </row>
    <row r="674" spans="28:28" x14ac:dyDescent="0.25">
      <c r="AB674" s="381"/>
    </row>
    <row r="675" spans="28:28" x14ac:dyDescent="0.25">
      <c r="AB675" s="381"/>
    </row>
    <row r="676" spans="28:28" x14ac:dyDescent="0.25">
      <c r="AB676" s="381"/>
    </row>
    <row r="677" spans="28:28" x14ac:dyDescent="0.25">
      <c r="AB677" s="381"/>
    </row>
    <row r="678" spans="28:28" x14ac:dyDescent="0.25">
      <c r="AB678" s="381"/>
    </row>
    <row r="679" spans="28:28" x14ac:dyDescent="0.25">
      <c r="AB679" s="381"/>
    </row>
    <row r="680" spans="28:28" x14ac:dyDescent="0.25">
      <c r="AB680" s="381"/>
    </row>
    <row r="681" spans="28:28" x14ac:dyDescent="0.25">
      <c r="AB681" s="381"/>
    </row>
    <row r="682" spans="28:28" x14ac:dyDescent="0.25">
      <c r="AB682" s="381"/>
    </row>
    <row r="683" spans="28:28" x14ac:dyDescent="0.25">
      <c r="AB683" s="381"/>
    </row>
    <row r="684" spans="28:28" x14ac:dyDescent="0.25">
      <c r="AB684" s="381"/>
    </row>
    <row r="685" spans="28:28" x14ac:dyDescent="0.25">
      <c r="AB685" s="381"/>
    </row>
    <row r="686" spans="28:28" x14ac:dyDescent="0.25">
      <c r="AB686" s="381"/>
    </row>
    <row r="687" spans="28:28" x14ac:dyDescent="0.25">
      <c r="AB687" s="381"/>
    </row>
    <row r="688" spans="28:28" x14ac:dyDescent="0.25">
      <c r="AB688" s="381"/>
    </row>
    <row r="689" spans="28:28" x14ac:dyDescent="0.25">
      <c r="AB689" s="381"/>
    </row>
    <row r="690" spans="28:28" x14ac:dyDescent="0.25">
      <c r="AB690" s="381"/>
    </row>
    <row r="691" spans="28:28" x14ac:dyDescent="0.25">
      <c r="AB691" s="381"/>
    </row>
    <row r="692" spans="28:28" x14ac:dyDescent="0.25">
      <c r="AB692" s="381"/>
    </row>
    <row r="693" spans="28:28" x14ac:dyDescent="0.25">
      <c r="AB693" s="381"/>
    </row>
    <row r="694" spans="28:28" x14ac:dyDescent="0.25">
      <c r="AB694" s="381"/>
    </row>
    <row r="695" spans="28:28" x14ac:dyDescent="0.25">
      <c r="AB695" s="381"/>
    </row>
    <row r="696" spans="28:28" x14ac:dyDescent="0.25">
      <c r="AB696" s="381"/>
    </row>
    <row r="697" spans="28:28" x14ac:dyDescent="0.25">
      <c r="AB697" s="381"/>
    </row>
    <row r="698" spans="28:28" x14ac:dyDescent="0.25">
      <c r="AB698" s="381"/>
    </row>
    <row r="699" spans="28:28" x14ac:dyDescent="0.25">
      <c r="AB699" s="381"/>
    </row>
    <row r="700" spans="28:28" x14ac:dyDescent="0.25">
      <c r="AB700" s="381"/>
    </row>
    <row r="701" spans="28:28" x14ac:dyDescent="0.25">
      <c r="AB701" s="381"/>
    </row>
    <row r="702" spans="28:28" x14ac:dyDescent="0.25">
      <c r="AB702" s="381"/>
    </row>
    <row r="703" spans="28:28" x14ac:dyDescent="0.25">
      <c r="AB703" s="381"/>
    </row>
    <row r="704" spans="28:28" x14ac:dyDescent="0.25">
      <c r="AB704" s="381"/>
    </row>
    <row r="705" spans="28:28" x14ac:dyDescent="0.25">
      <c r="AB705" s="381"/>
    </row>
    <row r="706" spans="28:28" x14ac:dyDescent="0.25">
      <c r="AB706" s="381"/>
    </row>
    <row r="707" spans="28:28" x14ac:dyDescent="0.25">
      <c r="AB707" s="381"/>
    </row>
    <row r="708" spans="28:28" x14ac:dyDescent="0.25">
      <c r="AB708" s="381"/>
    </row>
    <row r="709" spans="28:28" x14ac:dyDescent="0.25">
      <c r="AB709" s="381"/>
    </row>
    <row r="710" spans="28:28" x14ac:dyDescent="0.25">
      <c r="AB710" s="381"/>
    </row>
    <row r="711" spans="28:28" x14ac:dyDescent="0.25">
      <c r="AB711" s="381"/>
    </row>
    <row r="712" spans="28:28" x14ac:dyDescent="0.25">
      <c r="AB712" s="381"/>
    </row>
    <row r="713" spans="28:28" x14ac:dyDescent="0.25">
      <c r="AB713" s="381"/>
    </row>
    <row r="714" spans="28:28" x14ac:dyDescent="0.25">
      <c r="AB714" s="381"/>
    </row>
    <row r="715" spans="28:28" x14ac:dyDescent="0.25">
      <c r="AB715" s="381"/>
    </row>
    <row r="716" spans="28:28" x14ac:dyDescent="0.25">
      <c r="AB716" s="381"/>
    </row>
    <row r="717" spans="28:28" x14ac:dyDescent="0.25">
      <c r="AB717" s="381"/>
    </row>
    <row r="718" spans="28:28" x14ac:dyDescent="0.25">
      <c r="AB718" s="381"/>
    </row>
    <row r="719" spans="28:28" x14ac:dyDescent="0.25">
      <c r="AB719" s="381"/>
    </row>
    <row r="720" spans="28:28" x14ac:dyDescent="0.25">
      <c r="AB720" s="381"/>
    </row>
    <row r="721" spans="28:28" x14ac:dyDescent="0.25">
      <c r="AB721" s="381"/>
    </row>
    <row r="722" spans="28:28" x14ac:dyDescent="0.25">
      <c r="AB722" s="381"/>
    </row>
    <row r="723" spans="28:28" x14ac:dyDescent="0.25">
      <c r="AB723" s="381"/>
    </row>
    <row r="724" spans="28:28" x14ac:dyDescent="0.25">
      <c r="AB724" s="381"/>
    </row>
    <row r="725" spans="28:28" x14ac:dyDescent="0.25">
      <c r="AB725" s="381"/>
    </row>
    <row r="726" spans="28:28" x14ac:dyDescent="0.25">
      <c r="AB726" s="381"/>
    </row>
    <row r="727" spans="28:28" x14ac:dyDescent="0.25">
      <c r="AB727" s="381"/>
    </row>
    <row r="728" spans="28:28" x14ac:dyDescent="0.25">
      <c r="AB728" s="381"/>
    </row>
    <row r="729" spans="28:28" x14ac:dyDescent="0.25">
      <c r="AB729" s="381"/>
    </row>
    <row r="730" spans="28:28" x14ac:dyDescent="0.25">
      <c r="AB730" s="381"/>
    </row>
    <row r="731" spans="28:28" x14ac:dyDescent="0.25">
      <c r="AB731" s="381"/>
    </row>
    <row r="732" spans="28:28" x14ac:dyDescent="0.25">
      <c r="AB732" s="381"/>
    </row>
    <row r="733" spans="28:28" x14ac:dyDescent="0.25">
      <c r="AB733" s="381"/>
    </row>
    <row r="734" spans="28:28" x14ac:dyDescent="0.25">
      <c r="AB734" s="381"/>
    </row>
    <row r="735" spans="28:28" x14ac:dyDescent="0.25">
      <c r="AB735" s="381"/>
    </row>
    <row r="736" spans="28:28" x14ac:dyDescent="0.25">
      <c r="AB736" s="381"/>
    </row>
    <row r="737" spans="28:28" x14ac:dyDescent="0.25">
      <c r="AB737" s="381"/>
    </row>
    <row r="738" spans="28:28" x14ac:dyDescent="0.25">
      <c r="AB738" s="381"/>
    </row>
    <row r="739" spans="28:28" x14ac:dyDescent="0.25">
      <c r="AB739" s="381"/>
    </row>
    <row r="740" spans="28:28" x14ac:dyDescent="0.25">
      <c r="AB740" s="381"/>
    </row>
    <row r="741" spans="28:28" x14ac:dyDescent="0.25">
      <c r="AB741" s="381"/>
    </row>
    <row r="742" spans="28:28" x14ac:dyDescent="0.25">
      <c r="AB742" s="381"/>
    </row>
    <row r="743" spans="28:28" x14ac:dyDescent="0.25">
      <c r="AB743" s="381"/>
    </row>
    <row r="744" spans="28:28" x14ac:dyDescent="0.25">
      <c r="AB744" s="381"/>
    </row>
    <row r="745" spans="28:28" x14ac:dyDescent="0.25">
      <c r="AB745" s="381"/>
    </row>
    <row r="746" spans="28:28" x14ac:dyDescent="0.25">
      <c r="AB746" s="381"/>
    </row>
    <row r="747" spans="28:28" x14ac:dyDescent="0.25">
      <c r="AB747" s="381"/>
    </row>
    <row r="748" spans="28:28" x14ac:dyDescent="0.25">
      <c r="AB748" s="381"/>
    </row>
    <row r="749" spans="28:28" x14ac:dyDescent="0.25">
      <c r="AB749" s="381"/>
    </row>
    <row r="750" spans="28:28" x14ac:dyDescent="0.25">
      <c r="AB750" s="381"/>
    </row>
    <row r="751" spans="28:28" x14ac:dyDescent="0.25">
      <c r="AB751" s="381"/>
    </row>
    <row r="752" spans="28:28" x14ac:dyDescent="0.25">
      <c r="AB752" s="381"/>
    </row>
    <row r="753" spans="28:28" x14ac:dyDescent="0.25">
      <c r="AB753" s="381"/>
    </row>
    <row r="754" spans="28:28" x14ac:dyDescent="0.25">
      <c r="AB754" s="381"/>
    </row>
    <row r="755" spans="28:28" x14ac:dyDescent="0.25">
      <c r="AB755" s="381"/>
    </row>
    <row r="756" spans="28:28" x14ac:dyDescent="0.25">
      <c r="AB756" s="381"/>
    </row>
    <row r="757" spans="28:28" x14ac:dyDescent="0.25">
      <c r="AB757" s="381"/>
    </row>
    <row r="758" spans="28:28" x14ac:dyDescent="0.25">
      <c r="AB758" s="381"/>
    </row>
    <row r="759" spans="28:28" x14ac:dyDescent="0.25">
      <c r="AB759" s="381"/>
    </row>
    <row r="760" spans="28:28" x14ac:dyDescent="0.25">
      <c r="AB760" s="381"/>
    </row>
    <row r="761" spans="28:28" x14ac:dyDescent="0.25">
      <c r="AB761" s="381"/>
    </row>
    <row r="762" spans="28:28" x14ac:dyDescent="0.25">
      <c r="AB762" s="381"/>
    </row>
    <row r="763" spans="28:28" x14ac:dyDescent="0.25">
      <c r="AB763" s="381"/>
    </row>
    <row r="764" spans="28:28" x14ac:dyDescent="0.25">
      <c r="AB764" s="381"/>
    </row>
    <row r="765" spans="28:28" x14ac:dyDescent="0.25">
      <c r="AB765" s="381"/>
    </row>
    <row r="766" spans="28:28" x14ac:dyDescent="0.25">
      <c r="AB766" s="381"/>
    </row>
    <row r="767" spans="28:28" x14ac:dyDescent="0.25">
      <c r="AB767" s="381"/>
    </row>
    <row r="768" spans="28:28" x14ac:dyDescent="0.25">
      <c r="AB768" s="381"/>
    </row>
    <row r="769" spans="28:28" x14ac:dyDescent="0.25">
      <c r="AB769" s="381"/>
    </row>
    <row r="770" spans="28:28" x14ac:dyDescent="0.25">
      <c r="AB770" s="381"/>
    </row>
    <row r="771" spans="28:28" x14ac:dyDescent="0.25">
      <c r="AB771" s="381"/>
    </row>
    <row r="772" spans="28:28" x14ac:dyDescent="0.25">
      <c r="AB772" s="381"/>
    </row>
    <row r="773" spans="28:28" x14ac:dyDescent="0.25">
      <c r="AB773" s="381"/>
    </row>
    <row r="774" spans="28:28" x14ac:dyDescent="0.25">
      <c r="AB774" s="381"/>
    </row>
    <row r="775" spans="28:28" x14ac:dyDescent="0.25">
      <c r="AB775" s="381"/>
    </row>
    <row r="776" spans="28:28" x14ac:dyDescent="0.25">
      <c r="AB776" s="381"/>
    </row>
    <row r="777" spans="28:28" x14ac:dyDescent="0.25">
      <c r="AB777" s="381"/>
    </row>
    <row r="778" spans="28:28" x14ac:dyDescent="0.25">
      <c r="AB778" s="381"/>
    </row>
    <row r="779" spans="28:28" x14ac:dyDescent="0.25">
      <c r="AB779" s="381"/>
    </row>
    <row r="780" spans="28:28" x14ac:dyDescent="0.25">
      <c r="AB780" s="381"/>
    </row>
    <row r="781" spans="28:28" x14ac:dyDescent="0.25">
      <c r="AB781" s="381"/>
    </row>
    <row r="782" spans="28:28" x14ac:dyDescent="0.25">
      <c r="AB782" s="381"/>
    </row>
    <row r="783" spans="28:28" x14ac:dyDescent="0.25">
      <c r="AB783" s="381"/>
    </row>
    <row r="784" spans="28:28" x14ac:dyDescent="0.25">
      <c r="AB784" s="381"/>
    </row>
    <row r="785" spans="28:28" x14ac:dyDescent="0.25">
      <c r="AB785" s="381"/>
    </row>
    <row r="786" spans="28:28" x14ac:dyDescent="0.25">
      <c r="AB786" s="381"/>
    </row>
    <row r="787" spans="28:28" x14ac:dyDescent="0.25">
      <c r="AB787" s="381"/>
    </row>
    <row r="788" spans="28:28" x14ac:dyDescent="0.25">
      <c r="AB788" s="381"/>
    </row>
    <row r="789" spans="28:28" x14ac:dyDescent="0.25">
      <c r="AB789" s="381"/>
    </row>
    <row r="790" spans="28:28" x14ac:dyDescent="0.25">
      <c r="AB790" s="381"/>
    </row>
    <row r="791" spans="28:28" x14ac:dyDescent="0.25">
      <c r="AB791" s="381"/>
    </row>
    <row r="792" spans="28:28" x14ac:dyDescent="0.25">
      <c r="AB792" s="381"/>
    </row>
    <row r="793" spans="28:28" x14ac:dyDescent="0.25">
      <c r="AB793" s="381"/>
    </row>
    <row r="794" spans="28:28" x14ac:dyDescent="0.25">
      <c r="AB794" s="381"/>
    </row>
    <row r="795" spans="28:28" x14ac:dyDescent="0.25">
      <c r="AB795" s="381"/>
    </row>
    <row r="796" spans="28:28" x14ac:dyDescent="0.25">
      <c r="AB796" s="381"/>
    </row>
    <row r="797" spans="28:28" x14ac:dyDescent="0.25">
      <c r="AB797" s="381"/>
    </row>
    <row r="798" spans="28:28" x14ac:dyDescent="0.25">
      <c r="AB798" s="381"/>
    </row>
    <row r="799" spans="28:28" x14ac:dyDescent="0.25">
      <c r="AB799" s="381"/>
    </row>
    <row r="800" spans="28:28" x14ac:dyDescent="0.25">
      <c r="AB800" s="381"/>
    </row>
    <row r="801" spans="28:28" x14ac:dyDescent="0.25">
      <c r="AB801" s="381"/>
    </row>
    <row r="802" spans="28:28" x14ac:dyDescent="0.25">
      <c r="AB802" s="381"/>
    </row>
    <row r="803" spans="28:28" x14ac:dyDescent="0.25">
      <c r="AB803" s="381"/>
    </row>
    <row r="804" spans="28:28" x14ac:dyDescent="0.25">
      <c r="AB804" s="381"/>
    </row>
    <row r="805" spans="28:28" x14ac:dyDescent="0.25">
      <c r="AB805" s="381"/>
    </row>
    <row r="806" spans="28:28" x14ac:dyDescent="0.25">
      <c r="AB806" s="381"/>
    </row>
    <row r="807" spans="28:28" x14ac:dyDescent="0.25">
      <c r="AB807" s="381"/>
    </row>
    <row r="808" spans="28:28" x14ac:dyDescent="0.25">
      <c r="AB808" s="381"/>
    </row>
    <row r="809" spans="28:28" x14ac:dyDescent="0.25">
      <c r="AB809" s="381"/>
    </row>
    <row r="810" spans="28:28" x14ac:dyDescent="0.25">
      <c r="AB810" s="381"/>
    </row>
    <row r="811" spans="28:28" x14ac:dyDescent="0.25">
      <c r="AB811" s="381"/>
    </row>
    <row r="812" spans="28:28" x14ac:dyDescent="0.25">
      <c r="AB812" s="381"/>
    </row>
    <row r="813" spans="28:28" x14ac:dyDescent="0.25">
      <c r="AB813" s="381"/>
    </row>
    <row r="814" spans="28:28" x14ac:dyDescent="0.25">
      <c r="AB814" s="381"/>
    </row>
    <row r="815" spans="28:28" x14ac:dyDescent="0.25">
      <c r="AB815" s="381"/>
    </row>
    <row r="816" spans="28:28" x14ac:dyDescent="0.25">
      <c r="AB816" s="381"/>
    </row>
    <row r="817" spans="28:28" x14ac:dyDescent="0.25">
      <c r="AB817" s="381"/>
    </row>
    <row r="818" spans="28:28" x14ac:dyDescent="0.25">
      <c r="AB818" s="381"/>
    </row>
    <row r="819" spans="28:28" x14ac:dyDescent="0.25">
      <c r="AB819" s="381"/>
    </row>
    <row r="820" spans="28:28" x14ac:dyDescent="0.25">
      <c r="AB820" s="381"/>
    </row>
    <row r="821" spans="28:28" x14ac:dyDescent="0.25">
      <c r="AB821" s="381"/>
    </row>
    <row r="822" spans="28:28" x14ac:dyDescent="0.25">
      <c r="AB822" s="381"/>
    </row>
    <row r="823" spans="28:28" x14ac:dyDescent="0.25">
      <c r="AB823" s="381"/>
    </row>
    <row r="824" spans="28:28" x14ac:dyDescent="0.25">
      <c r="AB824" s="381"/>
    </row>
    <row r="825" spans="28:28" x14ac:dyDescent="0.25">
      <c r="AB825" s="381"/>
    </row>
    <row r="826" spans="28:28" x14ac:dyDescent="0.25">
      <c r="AB826" s="381"/>
    </row>
    <row r="827" spans="28:28" x14ac:dyDescent="0.25">
      <c r="AB827" s="381"/>
    </row>
    <row r="828" spans="28:28" x14ac:dyDescent="0.25">
      <c r="AB828" s="381"/>
    </row>
    <row r="829" spans="28:28" x14ac:dyDescent="0.25">
      <c r="AB829" s="381"/>
    </row>
    <row r="830" spans="28:28" x14ac:dyDescent="0.25">
      <c r="AB830" s="381"/>
    </row>
    <row r="831" spans="28:28" x14ac:dyDescent="0.25">
      <c r="AB831" s="381"/>
    </row>
    <row r="832" spans="28:28" x14ac:dyDescent="0.25">
      <c r="AB832" s="381"/>
    </row>
    <row r="833" spans="28:28" x14ac:dyDescent="0.25">
      <c r="AB833" s="381"/>
    </row>
    <row r="834" spans="28:28" x14ac:dyDescent="0.25">
      <c r="AB834" s="381"/>
    </row>
    <row r="835" spans="28:28" x14ac:dyDescent="0.25">
      <c r="AB835" s="381"/>
    </row>
    <row r="836" spans="28:28" x14ac:dyDescent="0.25">
      <c r="AB836" s="381"/>
    </row>
    <row r="837" spans="28:28" x14ac:dyDescent="0.25">
      <c r="AB837" s="381"/>
    </row>
    <row r="838" spans="28:28" x14ac:dyDescent="0.25">
      <c r="AB838" s="381"/>
    </row>
    <row r="839" spans="28:28" x14ac:dyDescent="0.25">
      <c r="AB839" s="381"/>
    </row>
    <row r="840" spans="28:28" x14ac:dyDescent="0.25">
      <c r="AB840" s="381"/>
    </row>
    <row r="841" spans="28:28" x14ac:dyDescent="0.25">
      <c r="AB841" s="381"/>
    </row>
    <row r="842" spans="28:28" x14ac:dyDescent="0.25">
      <c r="AB842" s="381"/>
    </row>
    <row r="843" spans="28:28" x14ac:dyDescent="0.25">
      <c r="AB843" s="381"/>
    </row>
    <row r="844" spans="28:28" x14ac:dyDescent="0.25">
      <c r="AB844" s="381"/>
    </row>
    <row r="845" spans="28:28" x14ac:dyDescent="0.25">
      <c r="AB845" s="381"/>
    </row>
    <row r="846" spans="28:28" x14ac:dyDescent="0.25">
      <c r="AB846" s="381"/>
    </row>
    <row r="847" spans="28:28" x14ac:dyDescent="0.25">
      <c r="AB847" s="381"/>
    </row>
    <row r="848" spans="28:28" x14ac:dyDescent="0.25">
      <c r="AB848" s="381"/>
    </row>
    <row r="849" spans="28:28" x14ac:dyDescent="0.25">
      <c r="AB849" s="381"/>
    </row>
    <row r="850" spans="28:28" x14ac:dyDescent="0.25">
      <c r="AB850" s="381"/>
    </row>
    <row r="851" spans="28:28" x14ac:dyDescent="0.25">
      <c r="AB851" s="381"/>
    </row>
    <row r="852" spans="28:28" x14ac:dyDescent="0.25">
      <c r="AB852" s="381"/>
    </row>
    <row r="853" spans="28:28" x14ac:dyDescent="0.25">
      <c r="AB853" s="381"/>
    </row>
    <row r="854" spans="28:28" x14ac:dyDescent="0.25">
      <c r="AB854" s="381"/>
    </row>
    <row r="855" spans="28:28" x14ac:dyDescent="0.25">
      <c r="AB855" s="381"/>
    </row>
    <row r="856" spans="28:28" x14ac:dyDescent="0.25">
      <c r="AB856" s="381"/>
    </row>
    <row r="857" spans="28:28" x14ac:dyDescent="0.25">
      <c r="AB857" s="381"/>
    </row>
    <row r="858" spans="28:28" x14ac:dyDescent="0.25">
      <c r="AB858" s="381"/>
    </row>
    <row r="859" spans="28:28" x14ac:dyDescent="0.25">
      <c r="AB859" s="381"/>
    </row>
    <row r="860" spans="28:28" x14ac:dyDescent="0.25">
      <c r="AB860" s="381"/>
    </row>
    <row r="861" spans="28:28" x14ac:dyDescent="0.25">
      <c r="AB861" s="381"/>
    </row>
    <row r="862" spans="28:28" x14ac:dyDescent="0.25">
      <c r="AB862" s="381"/>
    </row>
    <row r="863" spans="28:28" x14ac:dyDescent="0.25">
      <c r="AB863" s="381"/>
    </row>
    <row r="864" spans="28:28" x14ac:dyDescent="0.25">
      <c r="AB864" s="381"/>
    </row>
    <row r="865" spans="28:28" x14ac:dyDescent="0.25">
      <c r="AB865" s="381"/>
    </row>
    <row r="866" spans="28:28" x14ac:dyDescent="0.25">
      <c r="AB866" s="381"/>
    </row>
    <row r="867" spans="28:28" x14ac:dyDescent="0.25">
      <c r="AB867" s="381"/>
    </row>
    <row r="868" spans="28:28" x14ac:dyDescent="0.25">
      <c r="AB868" s="381"/>
    </row>
    <row r="869" spans="28:28" x14ac:dyDescent="0.25">
      <c r="AB869" s="381"/>
    </row>
    <row r="870" spans="28:28" x14ac:dyDescent="0.25">
      <c r="AB870" s="381"/>
    </row>
    <row r="871" spans="28:28" x14ac:dyDescent="0.25">
      <c r="AB871" s="381"/>
    </row>
    <row r="872" spans="28:28" x14ac:dyDescent="0.25">
      <c r="AB872" s="381"/>
    </row>
    <row r="873" spans="28:28" x14ac:dyDescent="0.25">
      <c r="AB873" s="381"/>
    </row>
    <row r="874" spans="28:28" x14ac:dyDescent="0.25">
      <c r="AB874" s="381"/>
    </row>
    <row r="875" spans="28:28" x14ac:dyDescent="0.25">
      <c r="AB875" s="381"/>
    </row>
    <row r="876" spans="28:28" x14ac:dyDescent="0.25">
      <c r="AB876" s="381"/>
    </row>
    <row r="877" spans="28:28" x14ac:dyDescent="0.25">
      <c r="AB877" s="381"/>
    </row>
    <row r="878" spans="28:28" x14ac:dyDescent="0.25">
      <c r="AB878" s="381"/>
    </row>
    <row r="879" spans="28:28" x14ac:dyDescent="0.25">
      <c r="AB879" s="381"/>
    </row>
    <row r="880" spans="28:28" x14ac:dyDescent="0.25">
      <c r="AB880" s="381"/>
    </row>
    <row r="881" spans="28:28" x14ac:dyDescent="0.25">
      <c r="AB881" s="381"/>
    </row>
    <row r="882" spans="28:28" x14ac:dyDescent="0.25">
      <c r="AB882" s="381"/>
    </row>
    <row r="883" spans="28:28" x14ac:dyDescent="0.25">
      <c r="AB883" s="381"/>
    </row>
    <row r="884" spans="28:28" x14ac:dyDescent="0.25">
      <c r="AB884" s="381"/>
    </row>
    <row r="885" spans="28:28" x14ac:dyDescent="0.25">
      <c r="AB885" s="381"/>
    </row>
    <row r="886" spans="28:28" x14ac:dyDescent="0.25">
      <c r="AB886" s="381"/>
    </row>
    <row r="887" spans="28:28" x14ac:dyDescent="0.25">
      <c r="AB887" s="381"/>
    </row>
    <row r="888" spans="28:28" x14ac:dyDescent="0.25">
      <c r="AB888" s="381"/>
    </row>
    <row r="889" spans="28:28" x14ac:dyDescent="0.25">
      <c r="AB889" s="381"/>
    </row>
    <row r="890" spans="28:28" x14ac:dyDescent="0.25">
      <c r="AB890" s="381"/>
    </row>
    <row r="891" spans="28:28" x14ac:dyDescent="0.25">
      <c r="AB891" s="381"/>
    </row>
    <row r="892" spans="28:28" x14ac:dyDescent="0.25">
      <c r="AB892" s="381"/>
    </row>
    <row r="893" spans="28:28" x14ac:dyDescent="0.25">
      <c r="AB893" s="381"/>
    </row>
    <row r="894" spans="28:28" x14ac:dyDescent="0.25">
      <c r="AB894" s="381"/>
    </row>
    <row r="895" spans="28:28" x14ac:dyDescent="0.25">
      <c r="AB895" s="381"/>
    </row>
    <row r="896" spans="28:28" x14ac:dyDescent="0.25">
      <c r="AB896" s="381"/>
    </row>
    <row r="897" spans="28:28" x14ac:dyDescent="0.25">
      <c r="AB897" s="381"/>
    </row>
    <row r="898" spans="28:28" x14ac:dyDescent="0.25">
      <c r="AB898" s="381"/>
    </row>
    <row r="899" spans="28:28" x14ac:dyDescent="0.25">
      <c r="AB899" s="381"/>
    </row>
    <row r="900" spans="28:28" x14ac:dyDescent="0.25">
      <c r="AB900" s="381"/>
    </row>
    <row r="901" spans="28:28" x14ac:dyDescent="0.25">
      <c r="AB901" s="381"/>
    </row>
    <row r="902" spans="28:28" x14ac:dyDescent="0.25">
      <c r="AB902" s="381"/>
    </row>
    <row r="903" spans="28:28" x14ac:dyDescent="0.25">
      <c r="AB903" s="381"/>
    </row>
    <row r="904" spans="28:28" x14ac:dyDescent="0.25">
      <c r="AB904" s="381"/>
    </row>
    <row r="905" spans="28:28" x14ac:dyDescent="0.25">
      <c r="AB905" s="381"/>
    </row>
    <row r="906" spans="28:28" x14ac:dyDescent="0.25">
      <c r="AB906" s="381"/>
    </row>
    <row r="907" spans="28:28" x14ac:dyDescent="0.25">
      <c r="AB907" s="381"/>
    </row>
    <row r="908" spans="28:28" x14ac:dyDescent="0.25">
      <c r="AB908" s="381"/>
    </row>
    <row r="909" spans="28:28" x14ac:dyDescent="0.25">
      <c r="AB909" s="381"/>
    </row>
    <row r="910" spans="28:28" x14ac:dyDescent="0.25">
      <c r="AB910" s="381"/>
    </row>
    <row r="911" spans="28:28" x14ac:dyDescent="0.25">
      <c r="AB911" s="381"/>
    </row>
    <row r="912" spans="28:28" x14ac:dyDescent="0.25">
      <c r="AB912" s="381"/>
    </row>
    <row r="913" spans="28:28" x14ac:dyDescent="0.25">
      <c r="AB913" s="381"/>
    </row>
    <row r="914" spans="28:28" x14ac:dyDescent="0.25">
      <c r="AB914" s="381"/>
    </row>
    <row r="915" spans="28:28" x14ac:dyDescent="0.25">
      <c r="AB915" s="381"/>
    </row>
    <row r="916" spans="28:28" x14ac:dyDescent="0.25">
      <c r="AB916" s="381"/>
    </row>
    <row r="917" spans="28:28" x14ac:dyDescent="0.25">
      <c r="AB917" s="381"/>
    </row>
    <row r="918" spans="28:28" x14ac:dyDescent="0.25">
      <c r="AB918" s="381"/>
    </row>
    <row r="919" spans="28:28" x14ac:dyDescent="0.25">
      <c r="AB919" s="381"/>
    </row>
    <row r="920" spans="28:28" x14ac:dyDescent="0.25">
      <c r="AB920" s="381"/>
    </row>
    <row r="921" spans="28:28" x14ac:dyDescent="0.25">
      <c r="AB921" s="381"/>
    </row>
    <row r="922" spans="28:28" x14ac:dyDescent="0.25">
      <c r="AB922" s="381"/>
    </row>
    <row r="923" spans="28:28" x14ac:dyDescent="0.25">
      <c r="AB923" s="381"/>
    </row>
    <row r="924" spans="28:28" x14ac:dyDescent="0.25">
      <c r="AB924" s="381"/>
    </row>
    <row r="925" spans="28:28" x14ac:dyDescent="0.25">
      <c r="AB925" s="381"/>
    </row>
    <row r="926" spans="28:28" x14ac:dyDescent="0.25">
      <c r="AB926" s="381"/>
    </row>
    <row r="927" spans="28:28" x14ac:dyDescent="0.25">
      <c r="AB927" s="381"/>
    </row>
    <row r="928" spans="28:28" x14ac:dyDescent="0.25">
      <c r="AB928" s="381"/>
    </row>
    <row r="929" spans="28:28" x14ac:dyDescent="0.25">
      <c r="AB929" s="381"/>
    </row>
    <row r="930" spans="28:28" x14ac:dyDescent="0.25">
      <c r="AB930" s="381"/>
    </row>
    <row r="931" spans="28:28" x14ac:dyDescent="0.25">
      <c r="AB931" s="381"/>
    </row>
    <row r="932" spans="28:28" x14ac:dyDescent="0.25">
      <c r="AB932" s="381"/>
    </row>
    <row r="933" spans="28:28" x14ac:dyDescent="0.25">
      <c r="AB933" s="381"/>
    </row>
    <row r="934" spans="28:28" x14ac:dyDescent="0.25">
      <c r="AB934" s="381"/>
    </row>
    <row r="935" spans="28:28" x14ac:dyDescent="0.25">
      <c r="AB935" s="381"/>
    </row>
    <row r="936" spans="28:28" x14ac:dyDescent="0.25">
      <c r="AB936" s="381"/>
    </row>
    <row r="937" spans="28:28" x14ac:dyDescent="0.25">
      <c r="AB937" s="381"/>
    </row>
    <row r="938" spans="28:28" x14ac:dyDescent="0.25">
      <c r="AB938" s="381"/>
    </row>
    <row r="939" spans="28:28" x14ac:dyDescent="0.25">
      <c r="AB939" s="381"/>
    </row>
    <row r="940" spans="28:28" x14ac:dyDescent="0.25">
      <c r="AB940" s="381"/>
    </row>
    <row r="941" spans="28:28" x14ac:dyDescent="0.25">
      <c r="AB941" s="381"/>
    </row>
    <row r="942" spans="28:28" x14ac:dyDescent="0.25">
      <c r="AB942" s="381"/>
    </row>
    <row r="943" spans="28:28" x14ac:dyDescent="0.25">
      <c r="AB943" s="381"/>
    </row>
    <row r="944" spans="28:28" x14ac:dyDescent="0.25">
      <c r="AB944" s="381"/>
    </row>
    <row r="945" spans="28:28" x14ac:dyDescent="0.25">
      <c r="AB945" s="381"/>
    </row>
    <row r="946" spans="28:28" x14ac:dyDescent="0.25">
      <c r="AB946" s="381"/>
    </row>
    <row r="947" spans="28:28" x14ac:dyDescent="0.25">
      <c r="AB947" s="381"/>
    </row>
    <row r="948" spans="28:28" x14ac:dyDescent="0.25">
      <c r="AB948" s="381"/>
    </row>
    <row r="949" spans="28:28" x14ac:dyDescent="0.25">
      <c r="AB949" s="381"/>
    </row>
    <row r="950" spans="28:28" x14ac:dyDescent="0.25">
      <c r="AB950" s="381"/>
    </row>
    <row r="951" spans="28:28" x14ac:dyDescent="0.25">
      <c r="AB951" s="381"/>
    </row>
    <row r="952" spans="28:28" x14ac:dyDescent="0.25">
      <c r="AB952" s="381"/>
    </row>
    <row r="953" spans="28:28" x14ac:dyDescent="0.25">
      <c r="AB953" s="381"/>
    </row>
    <row r="954" spans="28:28" x14ac:dyDescent="0.25">
      <c r="AB954" s="381"/>
    </row>
    <row r="955" spans="28:28" x14ac:dyDescent="0.25">
      <c r="AB955" s="381"/>
    </row>
    <row r="956" spans="28:28" x14ac:dyDescent="0.25">
      <c r="AB956" s="381"/>
    </row>
    <row r="957" spans="28:28" x14ac:dyDescent="0.25">
      <c r="AB957" s="381"/>
    </row>
    <row r="958" spans="28:28" x14ac:dyDescent="0.25">
      <c r="AB958" s="381"/>
    </row>
    <row r="959" spans="28:28" x14ac:dyDescent="0.25">
      <c r="AB959" s="381"/>
    </row>
    <row r="960" spans="28:28" x14ac:dyDescent="0.25">
      <c r="AB960" s="381"/>
    </row>
    <row r="961" spans="28:28" x14ac:dyDescent="0.25">
      <c r="AB961" s="381"/>
    </row>
    <row r="962" spans="28:28" x14ac:dyDescent="0.25">
      <c r="AB962" s="381"/>
    </row>
    <row r="963" spans="28:28" x14ac:dyDescent="0.25">
      <c r="AB963" s="381"/>
    </row>
    <row r="964" spans="28:28" x14ac:dyDescent="0.25">
      <c r="AB964" s="381"/>
    </row>
    <row r="965" spans="28:28" x14ac:dyDescent="0.25">
      <c r="AB965" s="381"/>
    </row>
    <row r="966" spans="28:28" x14ac:dyDescent="0.25">
      <c r="AB966" s="381"/>
    </row>
    <row r="967" spans="28:28" x14ac:dyDescent="0.25">
      <c r="AB967" s="381"/>
    </row>
    <row r="968" spans="28:28" x14ac:dyDescent="0.25">
      <c r="AB968" s="381"/>
    </row>
    <row r="969" spans="28:28" x14ac:dyDescent="0.25">
      <c r="AB969" s="381"/>
    </row>
    <row r="970" spans="28:28" x14ac:dyDescent="0.25">
      <c r="AB970" s="381"/>
    </row>
    <row r="971" spans="28:28" x14ac:dyDescent="0.25">
      <c r="AB971" s="381"/>
    </row>
    <row r="972" spans="28:28" x14ac:dyDescent="0.25">
      <c r="AB972" s="381"/>
    </row>
    <row r="973" spans="28:28" x14ac:dyDescent="0.25">
      <c r="AB973" s="381"/>
    </row>
    <row r="974" spans="28:28" x14ac:dyDescent="0.25">
      <c r="AB974" s="381"/>
    </row>
    <row r="975" spans="28:28" x14ac:dyDescent="0.25">
      <c r="AB975" s="381"/>
    </row>
    <row r="976" spans="28:28" x14ac:dyDescent="0.25">
      <c r="AB976" s="381"/>
    </row>
    <row r="977" spans="28:28" x14ac:dyDescent="0.25">
      <c r="AB977" s="381"/>
    </row>
    <row r="978" spans="28:28" x14ac:dyDescent="0.25">
      <c r="AB978" s="381"/>
    </row>
    <row r="979" spans="28:28" x14ac:dyDescent="0.25">
      <c r="AB979" s="381"/>
    </row>
    <row r="980" spans="28:28" x14ac:dyDescent="0.25">
      <c r="AB980" s="381"/>
    </row>
    <row r="981" spans="28:28" x14ac:dyDescent="0.25">
      <c r="AB981" s="381"/>
    </row>
    <row r="982" spans="28:28" x14ac:dyDescent="0.25">
      <c r="AB982" s="381"/>
    </row>
    <row r="983" spans="28:28" x14ac:dyDescent="0.25">
      <c r="AB983" s="381"/>
    </row>
    <row r="984" spans="28:28" x14ac:dyDescent="0.25">
      <c r="AB984" s="381"/>
    </row>
    <row r="985" spans="28:28" x14ac:dyDescent="0.25">
      <c r="AB985" s="381"/>
    </row>
    <row r="986" spans="28:28" x14ac:dyDescent="0.25">
      <c r="AB986" s="381"/>
    </row>
    <row r="987" spans="28:28" x14ac:dyDescent="0.25">
      <c r="AB987" s="381"/>
    </row>
    <row r="988" spans="28:28" x14ac:dyDescent="0.25">
      <c r="AB988" s="381"/>
    </row>
    <row r="989" spans="28:28" x14ac:dyDescent="0.25">
      <c r="AB989" s="381"/>
    </row>
    <row r="990" spans="28:28" x14ac:dyDescent="0.25">
      <c r="AB990" s="381"/>
    </row>
    <row r="991" spans="28:28" x14ac:dyDescent="0.25">
      <c r="AB991" s="381"/>
    </row>
    <row r="992" spans="28:28" x14ac:dyDescent="0.25">
      <c r="AB992" s="381"/>
    </row>
    <row r="993" spans="28:28" x14ac:dyDescent="0.25">
      <c r="AB993" s="381"/>
    </row>
    <row r="994" spans="28:28" x14ac:dyDescent="0.25">
      <c r="AB994" s="381"/>
    </row>
    <row r="995" spans="28:28" x14ac:dyDescent="0.25">
      <c r="AB995" s="381"/>
    </row>
    <row r="996" spans="28:28" x14ac:dyDescent="0.25">
      <c r="AB996" s="381"/>
    </row>
    <row r="997" spans="28:28" x14ac:dyDescent="0.25">
      <c r="AB997" s="381"/>
    </row>
    <row r="998" spans="28:28" x14ac:dyDescent="0.25">
      <c r="AB998" s="381"/>
    </row>
    <row r="999" spans="28:28" x14ac:dyDescent="0.25">
      <c r="AB999" s="381"/>
    </row>
    <row r="1000" spans="28:28" x14ac:dyDescent="0.25">
      <c r="AB1000" s="381"/>
    </row>
    <row r="1001" spans="28:28" x14ac:dyDescent="0.25">
      <c r="AB1001" s="381"/>
    </row>
    <row r="1002" spans="28:28" x14ac:dyDescent="0.25">
      <c r="AB1002" s="381"/>
    </row>
    <row r="1003" spans="28:28" x14ac:dyDescent="0.25">
      <c r="AB1003" s="381"/>
    </row>
    <row r="1004" spans="28:28" x14ac:dyDescent="0.25">
      <c r="AB1004" s="381"/>
    </row>
    <row r="1005" spans="28:28" x14ac:dyDescent="0.25">
      <c r="AB1005" s="381"/>
    </row>
    <row r="1006" spans="28:28" x14ac:dyDescent="0.25">
      <c r="AB1006" s="381"/>
    </row>
    <row r="1007" spans="28:28" x14ac:dyDescent="0.25">
      <c r="AB1007" s="381"/>
    </row>
    <row r="1008" spans="28:28" x14ac:dyDescent="0.25">
      <c r="AB1008" s="381"/>
    </row>
    <row r="1009" spans="28:28" x14ac:dyDescent="0.25">
      <c r="AB1009" s="381"/>
    </row>
    <row r="1010" spans="28:28" x14ac:dyDescent="0.25">
      <c r="AB1010" s="381"/>
    </row>
    <row r="1011" spans="28:28" x14ac:dyDescent="0.25">
      <c r="AB1011" s="381"/>
    </row>
    <row r="1012" spans="28:28" x14ac:dyDescent="0.25">
      <c r="AB1012" s="381"/>
    </row>
    <row r="1013" spans="28:28" x14ac:dyDescent="0.25">
      <c r="AB1013" s="381"/>
    </row>
    <row r="1014" spans="28:28" x14ac:dyDescent="0.25">
      <c r="AB1014" s="381"/>
    </row>
    <row r="1015" spans="28:28" x14ac:dyDescent="0.25">
      <c r="AB1015" s="381"/>
    </row>
    <row r="1016" spans="28:28" x14ac:dyDescent="0.25">
      <c r="AB1016" s="381"/>
    </row>
    <row r="1017" spans="28:28" x14ac:dyDescent="0.25">
      <c r="AB1017" s="381"/>
    </row>
    <row r="1018" spans="28:28" x14ac:dyDescent="0.25">
      <c r="AB1018" s="381"/>
    </row>
    <row r="1019" spans="28:28" x14ac:dyDescent="0.25">
      <c r="AB1019" s="381"/>
    </row>
    <row r="1020" spans="28:28" x14ac:dyDescent="0.25">
      <c r="AB1020" s="381"/>
    </row>
    <row r="1021" spans="28:28" x14ac:dyDescent="0.25">
      <c r="AB1021" s="381"/>
    </row>
    <row r="1022" spans="28:28" x14ac:dyDescent="0.25">
      <c r="AB1022" s="381"/>
    </row>
    <row r="1023" spans="28:28" x14ac:dyDescent="0.25">
      <c r="AB1023" s="381"/>
    </row>
    <row r="1024" spans="28:28" x14ac:dyDescent="0.25">
      <c r="AB1024" s="381"/>
    </row>
    <row r="1025" spans="28:28" x14ac:dyDescent="0.25">
      <c r="AB1025" s="381"/>
    </row>
    <row r="1026" spans="28:28" x14ac:dyDescent="0.25">
      <c r="AB1026" s="381"/>
    </row>
    <row r="1027" spans="28:28" x14ac:dyDescent="0.25">
      <c r="AB1027" s="381"/>
    </row>
    <row r="1028" spans="28:28" x14ac:dyDescent="0.25">
      <c r="AB1028" s="381"/>
    </row>
    <row r="1029" spans="28:28" x14ac:dyDescent="0.25">
      <c r="AB1029" s="381"/>
    </row>
    <row r="1030" spans="28:28" x14ac:dyDescent="0.25">
      <c r="AB1030" s="381"/>
    </row>
    <row r="1031" spans="28:28" x14ac:dyDescent="0.25">
      <c r="AB1031" s="381"/>
    </row>
    <row r="1032" spans="28:28" x14ac:dyDescent="0.25">
      <c r="AB1032" s="381"/>
    </row>
    <row r="1033" spans="28:28" x14ac:dyDescent="0.25">
      <c r="AB1033" s="381"/>
    </row>
    <row r="1034" spans="28:28" x14ac:dyDescent="0.25">
      <c r="AB1034" s="381"/>
    </row>
    <row r="1035" spans="28:28" x14ac:dyDescent="0.25">
      <c r="AB1035" s="381"/>
    </row>
    <row r="1036" spans="28:28" x14ac:dyDescent="0.25">
      <c r="AB1036" s="381"/>
    </row>
    <row r="1037" spans="28:28" x14ac:dyDescent="0.25">
      <c r="AB1037" s="381"/>
    </row>
    <row r="1038" spans="28:28" x14ac:dyDescent="0.25">
      <c r="AB1038" s="381"/>
    </row>
    <row r="1039" spans="28:28" x14ac:dyDescent="0.25">
      <c r="AB1039" s="381"/>
    </row>
    <row r="1040" spans="28:28" x14ac:dyDescent="0.25">
      <c r="AB1040" s="381"/>
    </row>
    <row r="1041" spans="28:28" x14ac:dyDescent="0.25">
      <c r="AB1041" s="381"/>
    </row>
    <row r="1042" spans="28:28" x14ac:dyDescent="0.25">
      <c r="AB1042" s="381"/>
    </row>
    <row r="1043" spans="28:28" x14ac:dyDescent="0.25">
      <c r="AB1043" s="381"/>
    </row>
    <row r="1044" spans="28:28" x14ac:dyDescent="0.25">
      <c r="AB1044" s="381"/>
    </row>
    <row r="1045" spans="28:28" x14ac:dyDescent="0.25">
      <c r="AB1045" s="381"/>
    </row>
    <row r="1046" spans="28:28" x14ac:dyDescent="0.25">
      <c r="AB1046" s="381"/>
    </row>
    <row r="1047" spans="28:28" x14ac:dyDescent="0.25">
      <c r="AB1047" s="381"/>
    </row>
    <row r="1048" spans="28:28" x14ac:dyDescent="0.25">
      <c r="AB1048" s="381"/>
    </row>
    <row r="1049" spans="28:28" x14ac:dyDescent="0.25">
      <c r="AB1049" s="381"/>
    </row>
    <row r="1050" spans="28:28" x14ac:dyDescent="0.25">
      <c r="AB1050" s="381"/>
    </row>
    <row r="1051" spans="28:28" x14ac:dyDescent="0.25">
      <c r="AB1051" s="381"/>
    </row>
    <row r="1052" spans="28:28" x14ac:dyDescent="0.25">
      <c r="AB1052" s="381"/>
    </row>
    <row r="1053" spans="28:28" x14ac:dyDescent="0.25">
      <c r="AB1053" s="381"/>
    </row>
    <row r="1054" spans="28:28" x14ac:dyDescent="0.25">
      <c r="AB1054" s="381"/>
    </row>
    <row r="1055" spans="28:28" x14ac:dyDescent="0.25">
      <c r="AB1055" s="381"/>
    </row>
    <row r="1056" spans="28:28" x14ac:dyDescent="0.25">
      <c r="AB1056" s="381"/>
    </row>
    <row r="1057" spans="28:28" x14ac:dyDescent="0.25">
      <c r="AB1057" s="381"/>
    </row>
    <row r="1058" spans="28:28" x14ac:dyDescent="0.25">
      <c r="AB1058" s="381"/>
    </row>
    <row r="1059" spans="28:28" x14ac:dyDescent="0.25">
      <c r="AB1059" s="381"/>
    </row>
    <row r="1060" spans="28:28" x14ac:dyDescent="0.25">
      <c r="AB1060" s="381"/>
    </row>
    <row r="1061" spans="28:28" x14ac:dyDescent="0.25">
      <c r="AB1061" s="381"/>
    </row>
    <row r="1062" spans="28:28" x14ac:dyDescent="0.25">
      <c r="AB1062" s="381"/>
    </row>
    <row r="1063" spans="28:28" x14ac:dyDescent="0.25">
      <c r="AB1063" s="381"/>
    </row>
    <row r="1064" spans="28:28" x14ac:dyDescent="0.25">
      <c r="AB1064" s="381"/>
    </row>
    <row r="1065" spans="28:28" x14ac:dyDescent="0.25">
      <c r="AB1065" s="381"/>
    </row>
    <row r="1066" spans="28:28" x14ac:dyDescent="0.25">
      <c r="AB1066" s="381"/>
    </row>
    <row r="1067" spans="28:28" x14ac:dyDescent="0.25">
      <c r="AB1067" s="381"/>
    </row>
    <row r="1068" spans="28:28" x14ac:dyDescent="0.25">
      <c r="AB1068" s="381"/>
    </row>
    <row r="1069" spans="28:28" x14ac:dyDescent="0.25">
      <c r="AB1069" s="381"/>
    </row>
    <row r="1070" spans="28:28" x14ac:dyDescent="0.25">
      <c r="AB1070" s="381"/>
    </row>
    <row r="1071" spans="28:28" x14ac:dyDescent="0.25">
      <c r="AB1071" s="381"/>
    </row>
    <row r="1072" spans="28:28" x14ac:dyDescent="0.25">
      <c r="AB1072" s="381"/>
    </row>
    <row r="1073" spans="28:28" x14ac:dyDescent="0.25">
      <c r="AB1073" s="381"/>
    </row>
    <row r="1074" spans="28:28" x14ac:dyDescent="0.25">
      <c r="AB1074" s="381"/>
    </row>
    <row r="1075" spans="28:28" x14ac:dyDescent="0.25">
      <c r="AB1075" s="381"/>
    </row>
    <row r="1076" spans="28:28" x14ac:dyDescent="0.25">
      <c r="AB1076" s="381"/>
    </row>
    <row r="1077" spans="28:28" x14ac:dyDescent="0.25">
      <c r="AB1077" s="381"/>
    </row>
    <row r="1078" spans="28:28" x14ac:dyDescent="0.25">
      <c r="AB1078" s="381"/>
    </row>
    <row r="1079" spans="28:28" x14ac:dyDescent="0.25">
      <c r="AB1079" s="381"/>
    </row>
    <row r="1080" spans="28:28" x14ac:dyDescent="0.25">
      <c r="AB1080" s="381"/>
    </row>
    <row r="1081" spans="28:28" x14ac:dyDescent="0.25">
      <c r="AB1081" s="381"/>
    </row>
    <row r="1082" spans="28:28" x14ac:dyDescent="0.25">
      <c r="AB1082" s="381"/>
    </row>
    <row r="1083" spans="28:28" x14ac:dyDescent="0.25">
      <c r="AB1083" s="381"/>
    </row>
    <row r="1084" spans="28:28" x14ac:dyDescent="0.25">
      <c r="AB1084" s="381"/>
    </row>
    <row r="1085" spans="28:28" x14ac:dyDescent="0.25">
      <c r="AB1085" s="381"/>
    </row>
    <row r="1086" spans="28:28" x14ac:dyDescent="0.25">
      <c r="AB1086" s="381"/>
    </row>
    <row r="1087" spans="28:28" x14ac:dyDescent="0.25">
      <c r="AB1087" s="381"/>
    </row>
    <row r="1088" spans="28:28" x14ac:dyDescent="0.25">
      <c r="AB1088" s="381"/>
    </row>
    <row r="1089" spans="28:28" x14ac:dyDescent="0.25">
      <c r="AB1089" s="381"/>
    </row>
    <row r="1090" spans="28:28" x14ac:dyDescent="0.25">
      <c r="AB1090" s="381"/>
    </row>
    <row r="1091" spans="28:28" x14ac:dyDescent="0.25">
      <c r="AB1091" s="381"/>
    </row>
    <row r="1092" spans="28:28" x14ac:dyDescent="0.25">
      <c r="AB1092" s="381"/>
    </row>
    <row r="1093" spans="28:28" x14ac:dyDescent="0.25">
      <c r="AB1093" s="381"/>
    </row>
    <row r="1094" spans="28:28" x14ac:dyDescent="0.25">
      <c r="AB1094" s="381"/>
    </row>
    <row r="1095" spans="28:28" x14ac:dyDescent="0.25">
      <c r="AB1095" s="381"/>
    </row>
    <row r="1096" spans="28:28" x14ac:dyDescent="0.25">
      <c r="AB1096" s="381"/>
    </row>
    <row r="1097" spans="28:28" x14ac:dyDescent="0.25">
      <c r="AB1097" s="381"/>
    </row>
    <row r="1098" spans="28:28" x14ac:dyDescent="0.25">
      <c r="AB1098" s="381"/>
    </row>
    <row r="1099" spans="28:28" x14ac:dyDescent="0.25">
      <c r="AB1099" s="381"/>
    </row>
    <row r="1100" spans="28:28" x14ac:dyDescent="0.25">
      <c r="AB1100" s="381"/>
    </row>
    <row r="1101" spans="28:28" x14ac:dyDescent="0.25">
      <c r="AB1101" s="381"/>
    </row>
    <row r="1102" spans="28:28" x14ac:dyDescent="0.25">
      <c r="AB1102" s="381"/>
    </row>
    <row r="1103" spans="28:28" x14ac:dyDescent="0.25">
      <c r="AB1103" s="381"/>
    </row>
    <row r="1104" spans="28:28" x14ac:dyDescent="0.25">
      <c r="AB1104" s="381"/>
    </row>
    <row r="1105" spans="28:28" x14ac:dyDescent="0.25">
      <c r="AB1105" s="381"/>
    </row>
    <row r="1106" spans="28:28" x14ac:dyDescent="0.25">
      <c r="AB1106" s="381"/>
    </row>
    <row r="1107" spans="28:28" x14ac:dyDescent="0.25">
      <c r="AB1107" s="381"/>
    </row>
    <row r="1108" spans="28:28" x14ac:dyDescent="0.25">
      <c r="AB1108" s="381"/>
    </row>
    <row r="1109" spans="28:28" x14ac:dyDescent="0.25">
      <c r="AB1109" s="381"/>
    </row>
    <row r="1110" spans="28:28" x14ac:dyDescent="0.25">
      <c r="AB1110" s="381"/>
    </row>
    <row r="1111" spans="28:28" x14ac:dyDescent="0.25">
      <c r="AB1111" s="381"/>
    </row>
    <row r="1112" spans="28:28" x14ac:dyDescent="0.25">
      <c r="AB1112" s="381"/>
    </row>
    <row r="1113" spans="28:28" x14ac:dyDescent="0.25">
      <c r="AB1113" s="381"/>
    </row>
    <row r="1114" spans="28:28" x14ac:dyDescent="0.25">
      <c r="AB1114" s="381"/>
    </row>
    <row r="1115" spans="28:28" x14ac:dyDescent="0.25">
      <c r="AB1115" s="381"/>
    </row>
    <row r="1116" spans="28:28" x14ac:dyDescent="0.25">
      <c r="AB1116" s="381"/>
    </row>
    <row r="1117" spans="28:28" x14ac:dyDescent="0.25">
      <c r="AB1117" s="381"/>
    </row>
    <row r="1118" spans="28:28" x14ac:dyDescent="0.25">
      <c r="AB1118" s="381"/>
    </row>
    <row r="1119" spans="28:28" x14ac:dyDescent="0.25">
      <c r="AB1119" s="381"/>
    </row>
    <row r="1120" spans="28:28" x14ac:dyDescent="0.25">
      <c r="AB1120" s="381"/>
    </row>
    <row r="1121" spans="28:28" x14ac:dyDescent="0.25">
      <c r="AB1121" s="381"/>
    </row>
    <row r="1122" spans="28:28" x14ac:dyDescent="0.25">
      <c r="AB1122" s="381"/>
    </row>
    <row r="1123" spans="28:28" x14ac:dyDescent="0.25">
      <c r="AB1123" s="381"/>
    </row>
    <row r="1124" spans="28:28" x14ac:dyDescent="0.25">
      <c r="AB1124" s="381"/>
    </row>
    <row r="1125" spans="28:28" x14ac:dyDescent="0.25">
      <c r="AB1125" s="381"/>
    </row>
    <row r="1126" spans="28:28" x14ac:dyDescent="0.25">
      <c r="AB1126" s="381"/>
    </row>
    <row r="1127" spans="28:28" x14ac:dyDescent="0.25">
      <c r="AB1127" s="381"/>
    </row>
    <row r="1128" spans="28:28" x14ac:dyDescent="0.25">
      <c r="AB1128" s="381"/>
    </row>
    <row r="1129" spans="28:28" x14ac:dyDescent="0.25">
      <c r="AB1129" s="381"/>
    </row>
    <row r="1130" spans="28:28" x14ac:dyDescent="0.25">
      <c r="AB1130" s="381"/>
    </row>
    <row r="1131" spans="28:28" x14ac:dyDescent="0.25">
      <c r="AB1131" s="381"/>
    </row>
    <row r="1132" spans="28:28" x14ac:dyDescent="0.25">
      <c r="AB1132" s="381"/>
    </row>
    <row r="1133" spans="28:28" x14ac:dyDescent="0.25">
      <c r="AB1133" s="381"/>
    </row>
    <row r="1134" spans="28:28" x14ac:dyDescent="0.25">
      <c r="AB1134" s="381"/>
    </row>
    <row r="1135" spans="28:28" x14ac:dyDescent="0.25">
      <c r="AB1135" s="381"/>
    </row>
    <row r="1136" spans="28:28" x14ac:dyDescent="0.25">
      <c r="AB1136" s="381"/>
    </row>
    <row r="1137" spans="28:28" x14ac:dyDescent="0.25">
      <c r="AB1137" s="381"/>
    </row>
    <row r="1138" spans="28:28" x14ac:dyDescent="0.25">
      <c r="AB1138" s="381"/>
    </row>
    <row r="1139" spans="28:28" x14ac:dyDescent="0.25">
      <c r="AB1139" s="381"/>
    </row>
    <row r="1140" spans="28:28" x14ac:dyDescent="0.25">
      <c r="AB1140" s="381"/>
    </row>
    <row r="1141" spans="28:28" x14ac:dyDescent="0.25">
      <c r="AB1141" s="381"/>
    </row>
    <row r="1142" spans="28:28" x14ac:dyDescent="0.25">
      <c r="AB1142" s="381"/>
    </row>
    <row r="1143" spans="28:28" x14ac:dyDescent="0.25">
      <c r="AB1143" s="381"/>
    </row>
    <row r="1144" spans="28:28" x14ac:dyDescent="0.25">
      <c r="AB1144" s="381"/>
    </row>
    <row r="1145" spans="28:28" x14ac:dyDescent="0.25">
      <c r="AB1145" s="381"/>
    </row>
    <row r="1146" spans="28:28" x14ac:dyDescent="0.25">
      <c r="AB1146" s="381"/>
    </row>
    <row r="1147" spans="28:28" x14ac:dyDescent="0.25">
      <c r="AB1147" s="381"/>
    </row>
    <row r="1148" spans="28:28" x14ac:dyDescent="0.25">
      <c r="AB1148" s="381"/>
    </row>
    <row r="1149" spans="28:28" x14ac:dyDescent="0.25">
      <c r="AB1149" s="381"/>
    </row>
    <row r="1150" spans="28:28" x14ac:dyDescent="0.25">
      <c r="AB1150" s="381"/>
    </row>
    <row r="1151" spans="28:28" x14ac:dyDescent="0.25">
      <c r="AB1151" s="381"/>
    </row>
    <row r="1152" spans="28:28" x14ac:dyDescent="0.25">
      <c r="AB1152" s="381"/>
    </row>
    <row r="1153" spans="28:28" x14ac:dyDescent="0.25">
      <c r="AB1153" s="381"/>
    </row>
    <row r="1154" spans="28:28" x14ac:dyDescent="0.25">
      <c r="AB1154" s="381"/>
    </row>
    <row r="1155" spans="28:28" x14ac:dyDescent="0.25">
      <c r="AB1155" s="381"/>
    </row>
    <row r="1156" spans="28:28" x14ac:dyDescent="0.25">
      <c r="AB1156" s="381"/>
    </row>
    <row r="1157" spans="28:28" x14ac:dyDescent="0.25">
      <c r="AB1157" s="381"/>
    </row>
    <row r="1158" spans="28:28" x14ac:dyDescent="0.25">
      <c r="AB1158" s="381"/>
    </row>
    <row r="1159" spans="28:28" x14ac:dyDescent="0.25">
      <c r="AB1159" s="381"/>
    </row>
    <row r="1160" spans="28:28" x14ac:dyDescent="0.25">
      <c r="AB1160" s="381"/>
    </row>
    <row r="1161" spans="28:28" x14ac:dyDescent="0.25">
      <c r="AB1161" s="381"/>
    </row>
    <row r="1162" spans="28:28" x14ac:dyDescent="0.25">
      <c r="AB1162" s="381"/>
    </row>
    <row r="1163" spans="28:28" x14ac:dyDescent="0.25">
      <c r="AB1163" s="381"/>
    </row>
    <row r="1164" spans="28:28" x14ac:dyDescent="0.25">
      <c r="AB1164" s="381"/>
    </row>
    <row r="1165" spans="28:28" x14ac:dyDescent="0.25">
      <c r="AB1165" s="381"/>
    </row>
    <row r="1166" spans="28:28" x14ac:dyDescent="0.25">
      <c r="AB1166" s="381"/>
    </row>
    <row r="1167" spans="28:28" x14ac:dyDescent="0.25">
      <c r="AB1167" s="381"/>
    </row>
    <row r="1168" spans="28:28" x14ac:dyDescent="0.25">
      <c r="AB1168" s="381"/>
    </row>
    <row r="1169" spans="28:28" x14ac:dyDescent="0.25">
      <c r="AB1169" s="381"/>
    </row>
    <row r="1170" spans="28:28" x14ac:dyDescent="0.25">
      <c r="AB1170" s="381"/>
    </row>
    <row r="1171" spans="28:28" x14ac:dyDescent="0.25">
      <c r="AB1171" s="381"/>
    </row>
    <row r="1172" spans="28:28" x14ac:dyDescent="0.25">
      <c r="AB1172" s="381"/>
    </row>
    <row r="1173" spans="28:28" x14ac:dyDescent="0.25">
      <c r="AB1173" s="381"/>
    </row>
    <row r="1174" spans="28:28" x14ac:dyDescent="0.25">
      <c r="AB1174" s="381"/>
    </row>
    <row r="1175" spans="28:28" x14ac:dyDescent="0.25">
      <c r="AB1175" s="381"/>
    </row>
    <row r="1176" spans="28:28" x14ac:dyDescent="0.25">
      <c r="AB1176" s="381"/>
    </row>
    <row r="1177" spans="28:28" x14ac:dyDescent="0.25">
      <c r="AB1177" s="381"/>
    </row>
    <row r="1178" spans="28:28" x14ac:dyDescent="0.25">
      <c r="AB1178" s="381"/>
    </row>
    <row r="1179" spans="28:28" x14ac:dyDescent="0.25">
      <c r="AB1179" s="381"/>
    </row>
    <row r="1180" spans="28:28" x14ac:dyDescent="0.25">
      <c r="AB1180" s="381"/>
    </row>
    <row r="1181" spans="28:28" x14ac:dyDescent="0.25">
      <c r="AB1181" s="381"/>
    </row>
    <row r="1182" spans="28:28" x14ac:dyDescent="0.25">
      <c r="AB1182" s="381"/>
    </row>
    <row r="1183" spans="28:28" x14ac:dyDescent="0.25">
      <c r="AB1183" s="381"/>
    </row>
    <row r="1184" spans="28:28" x14ac:dyDescent="0.25">
      <c r="AB1184" s="381"/>
    </row>
    <row r="1185" spans="28:28" x14ac:dyDescent="0.25">
      <c r="AB1185" s="381"/>
    </row>
    <row r="1186" spans="28:28" x14ac:dyDescent="0.25">
      <c r="AB1186" s="381"/>
    </row>
    <row r="1187" spans="28:28" x14ac:dyDescent="0.25">
      <c r="AB1187" s="381"/>
    </row>
    <row r="1188" spans="28:28" x14ac:dyDescent="0.25">
      <c r="AB1188" s="381"/>
    </row>
    <row r="1189" spans="28:28" x14ac:dyDescent="0.25">
      <c r="AB1189" s="381"/>
    </row>
    <row r="1190" spans="28:28" x14ac:dyDescent="0.25">
      <c r="AB1190" s="381"/>
    </row>
    <row r="1191" spans="28:28" x14ac:dyDescent="0.25">
      <c r="AB1191" s="381"/>
    </row>
    <row r="1192" spans="28:28" x14ac:dyDescent="0.25">
      <c r="AB1192" s="381"/>
    </row>
    <row r="1193" spans="28:28" x14ac:dyDescent="0.25">
      <c r="AB1193" s="381"/>
    </row>
    <row r="1194" spans="28:28" x14ac:dyDescent="0.25">
      <c r="AB1194" s="381"/>
    </row>
    <row r="1195" spans="28:28" x14ac:dyDescent="0.25">
      <c r="AB1195" s="381"/>
    </row>
    <row r="1196" spans="28:28" x14ac:dyDescent="0.25">
      <c r="AB1196" s="381"/>
    </row>
    <row r="1197" spans="28:28" x14ac:dyDescent="0.25">
      <c r="AB1197" s="381"/>
    </row>
    <row r="1198" spans="28:28" x14ac:dyDescent="0.25">
      <c r="AB1198" s="381"/>
    </row>
    <row r="1199" spans="28:28" x14ac:dyDescent="0.25">
      <c r="AB1199" s="381"/>
    </row>
    <row r="1200" spans="28:28" x14ac:dyDescent="0.25">
      <c r="AB1200" s="381"/>
    </row>
    <row r="1201" spans="28:28" x14ac:dyDescent="0.25">
      <c r="AB1201" s="381"/>
    </row>
    <row r="1202" spans="28:28" x14ac:dyDescent="0.25">
      <c r="AB1202" s="381"/>
    </row>
    <row r="1203" spans="28:28" x14ac:dyDescent="0.25">
      <c r="AB1203" s="381"/>
    </row>
    <row r="1204" spans="28:28" x14ac:dyDescent="0.25">
      <c r="AB1204" s="381"/>
    </row>
    <row r="1205" spans="28:28" x14ac:dyDescent="0.25">
      <c r="AB1205" s="381"/>
    </row>
    <row r="1206" spans="28:28" x14ac:dyDescent="0.25">
      <c r="AB1206" s="381"/>
    </row>
    <row r="1207" spans="28:28" x14ac:dyDescent="0.25">
      <c r="AB1207" s="381"/>
    </row>
    <row r="1208" spans="28:28" x14ac:dyDescent="0.25">
      <c r="AB1208" s="381"/>
    </row>
    <row r="1209" spans="28:28" x14ac:dyDescent="0.25">
      <c r="AB1209" s="381"/>
    </row>
    <row r="1210" spans="28:28" x14ac:dyDescent="0.25">
      <c r="AB1210" s="381"/>
    </row>
    <row r="1211" spans="28:28" x14ac:dyDescent="0.25">
      <c r="AB1211" s="381"/>
    </row>
    <row r="1212" spans="28:28" x14ac:dyDescent="0.25">
      <c r="AB1212" s="381"/>
    </row>
    <row r="1213" spans="28:28" x14ac:dyDescent="0.25">
      <c r="AB1213" s="381"/>
    </row>
    <row r="1214" spans="28:28" x14ac:dyDescent="0.25">
      <c r="AB1214" s="381"/>
    </row>
    <row r="1215" spans="28:28" x14ac:dyDescent="0.25">
      <c r="AB1215" s="381"/>
    </row>
    <row r="1216" spans="28:28" x14ac:dyDescent="0.25">
      <c r="AB1216" s="381"/>
    </row>
    <row r="1217" spans="28:28" x14ac:dyDescent="0.25">
      <c r="AB1217" s="381"/>
    </row>
    <row r="1218" spans="28:28" x14ac:dyDescent="0.25">
      <c r="AB1218" s="381"/>
    </row>
    <row r="1219" spans="28:28" x14ac:dyDescent="0.25">
      <c r="AB1219" s="381"/>
    </row>
    <row r="1220" spans="28:28" x14ac:dyDescent="0.25">
      <c r="AB1220" s="381"/>
    </row>
    <row r="1221" spans="28:28" x14ac:dyDescent="0.25">
      <c r="AB1221" s="381"/>
    </row>
    <row r="1222" spans="28:28" x14ac:dyDescent="0.25">
      <c r="AB1222" s="381"/>
    </row>
    <row r="1223" spans="28:28" x14ac:dyDescent="0.25">
      <c r="AB1223" s="381"/>
    </row>
    <row r="1224" spans="28:28" x14ac:dyDescent="0.25">
      <c r="AB1224" s="381"/>
    </row>
    <row r="1225" spans="28:28" x14ac:dyDescent="0.25">
      <c r="AB1225" s="381"/>
    </row>
    <row r="1226" spans="28:28" x14ac:dyDescent="0.25">
      <c r="AB1226" s="381"/>
    </row>
    <row r="1227" spans="28:28" x14ac:dyDescent="0.25">
      <c r="AB1227" s="381"/>
    </row>
    <row r="1228" spans="28:28" x14ac:dyDescent="0.25">
      <c r="AB1228" s="381"/>
    </row>
    <row r="1229" spans="28:28" x14ac:dyDescent="0.25">
      <c r="AB1229" s="381"/>
    </row>
    <row r="1230" spans="28:28" x14ac:dyDescent="0.25">
      <c r="AB1230" s="381"/>
    </row>
    <row r="1231" spans="28:28" x14ac:dyDescent="0.25">
      <c r="AB1231" s="381"/>
    </row>
    <row r="1232" spans="28:28" x14ac:dyDescent="0.25">
      <c r="AB1232" s="381"/>
    </row>
    <row r="1233" spans="28:28" x14ac:dyDescent="0.25">
      <c r="AB1233" s="381"/>
    </row>
    <row r="1234" spans="28:28" x14ac:dyDescent="0.25">
      <c r="AB1234" s="381"/>
    </row>
    <row r="1235" spans="28:28" x14ac:dyDescent="0.25">
      <c r="AB1235" s="381"/>
    </row>
    <row r="1236" spans="28:28" x14ac:dyDescent="0.25">
      <c r="AB1236" s="381"/>
    </row>
    <row r="1237" spans="28:28" x14ac:dyDescent="0.25">
      <c r="AB1237" s="381"/>
    </row>
    <row r="1238" spans="28:28" x14ac:dyDescent="0.25">
      <c r="AB1238" s="381"/>
    </row>
    <row r="1239" spans="28:28" x14ac:dyDescent="0.25">
      <c r="AB1239" s="381"/>
    </row>
    <row r="1240" spans="28:28" x14ac:dyDescent="0.25">
      <c r="AB1240" s="381"/>
    </row>
    <row r="1241" spans="28:28" x14ac:dyDescent="0.25">
      <c r="AB1241" s="381"/>
    </row>
    <row r="1242" spans="28:28" x14ac:dyDescent="0.25">
      <c r="AB1242" s="381"/>
    </row>
    <row r="1243" spans="28:28" x14ac:dyDescent="0.25">
      <c r="AB1243" s="381"/>
    </row>
    <row r="1244" spans="28:28" x14ac:dyDescent="0.25">
      <c r="AB1244" s="381"/>
    </row>
    <row r="1245" spans="28:28" x14ac:dyDescent="0.25">
      <c r="AB1245" s="381"/>
    </row>
    <row r="1246" spans="28:28" x14ac:dyDescent="0.25">
      <c r="AB1246" s="381"/>
    </row>
    <row r="1247" spans="28:28" x14ac:dyDescent="0.25">
      <c r="AB1247" s="381"/>
    </row>
    <row r="1248" spans="28:28" x14ac:dyDescent="0.25">
      <c r="AB1248" s="381"/>
    </row>
    <row r="1249" spans="28:28" x14ac:dyDescent="0.25">
      <c r="AB1249" s="381"/>
    </row>
    <row r="1250" spans="28:28" x14ac:dyDescent="0.25">
      <c r="AB1250" s="381"/>
    </row>
    <row r="1251" spans="28:28" x14ac:dyDescent="0.25">
      <c r="AB1251" s="381"/>
    </row>
    <row r="1252" spans="28:28" x14ac:dyDescent="0.25">
      <c r="AB1252" s="381"/>
    </row>
    <row r="1253" spans="28:28" x14ac:dyDescent="0.25">
      <c r="AB1253" s="381"/>
    </row>
    <row r="1254" spans="28:28" x14ac:dyDescent="0.25">
      <c r="AB1254" s="381"/>
    </row>
    <row r="1255" spans="28:28" x14ac:dyDescent="0.25">
      <c r="AB1255" s="381"/>
    </row>
    <row r="1256" spans="28:28" x14ac:dyDescent="0.25">
      <c r="AB1256" s="381"/>
    </row>
    <row r="1257" spans="28:28" x14ac:dyDescent="0.25">
      <c r="AB1257" s="381"/>
    </row>
    <row r="1258" spans="28:28" x14ac:dyDescent="0.25">
      <c r="AB1258" s="381"/>
    </row>
    <row r="1259" spans="28:28" x14ac:dyDescent="0.25">
      <c r="AB1259" s="381"/>
    </row>
    <row r="1260" spans="28:28" x14ac:dyDescent="0.25">
      <c r="AB1260" s="381"/>
    </row>
    <row r="1261" spans="28:28" x14ac:dyDescent="0.25">
      <c r="AB1261" s="381"/>
    </row>
    <row r="1262" spans="28:28" x14ac:dyDescent="0.25">
      <c r="AB1262" s="381"/>
    </row>
    <row r="1263" spans="28:28" x14ac:dyDescent="0.25">
      <c r="AB1263" s="381"/>
    </row>
    <row r="1264" spans="28:28" x14ac:dyDescent="0.25">
      <c r="AB1264" s="381"/>
    </row>
    <row r="1265" spans="28:28" x14ac:dyDescent="0.25">
      <c r="AB1265" s="381"/>
    </row>
    <row r="1266" spans="28:28" x14ac:dyDescent="0.25">
      <c r="AB1266" s="381"/>
    </row>
    <row r="1267" spans="28:28" x14ac:dyDescent="0.25">
      <c r="AB1267" s="381"/>
    </row>
    <row r="1268" spans="28:28" x14ac:dyDescent="0.25">
      <c r="AB1268" s="381"/>
    </row>
    <row r="1269" spans="28:28" x14ac:dyDescent="0.25">
      <c r="AB1269" s="381"/>
    </row>
    <row r="1270" spans="28:28" x14ac:dyDescent="0.25">
      <c r="AB1270" s="381"/>
    </row>
    <row r="1271" spans="28:28" x14ac:dyDescent="0.25">
      <c r="AB1271" s="381"/>
    </row>
    <row r="1272" spans="28:28" x14ac:dyDescent="0.25">
      <c r="AB1272" s="381"/>
    </row>
    <row r="1273" spans="28:28" x14ac:dyDescent="0.25">
      <c r="AB1273" s="381"/>
    </row>
    <row r="1274" spans="28:28" x14ac:dyDescent="0.25">
      <c r="AB1274" s="381"/>
    </row>
    <row r="1275" spans="28:28" x14ac:dyDescent="0.25">
      <c r="AB1275" s="381"/>
    </row>
    <row r="1276" spans="28:28" x14ac:dyDescent="0.25">
      <c r="AB1276" s="381"/>
    </row>
    <row r="1277" spans="28:28" x14ac:dyDescent="0.25">
      <c r="AB1277" s="381"/>
    </row>
    <row r="1278" spans="28:28" x14ac:dyDescent="0.25">
      <c r="AB1278" s="381"/>
    </row>
    <row r="1279" spans="28:28" x14ac:dyDescent="0.25">
      <c r="AB1279" s="381"/>
    </row>
    <row r="1280" spans="28:28" x14ac:dyDescent="0.25">
      <c r="AB1280" s="381"/>
    </row>
    <row r="1281" spans="28:28" x14ac:dyDescent="0.25">
      <c r="AB1281" s="381"/>
    </row>
    <row r="1282" spans="28:28" x14ac:dyDescent="0.25">
      <c r="AB1282" s="381"/>
    </row>
    <row r="1283" spans="28:28" x14ac:dyDescent="0.25">
      <c r="AB1283" s="381"/>
    </row>
    <row r="1284" spans="28:28" x14ac:dyDescent="0.25">
      <c r="AB1284" s="381"/>
    </row>
    <row r="1285" spans="28:28" x14ac:dyDescent="0.25">
      <c r="AB1285" s="381"/>
    </row>
    <row r="1286" spans="28:28" x14ac:dyDescent="0.25">
      <c r="AB1286" s="381"/>
    </row>
    <row r="1287" spans="28:28" x14ac:dyDescent="0.25">
      <c r="AB1287" s="381"/>
    </row>
    <row r="1288" spans="28:28" x14ac:dyDescent="0.25">
      <c r="AB1288" s="381"/>
    </row>
    <row r="1289" spans="28:28" x14ac:dyDescent="0.25">
      <c r="AB1289" s="381"/>
    </row>
    <row r="1290" spans="28:28" x14ac:dyDescent="0.25">
      <c r="AB1290" s="381"/>
    </row>
    <row r="1291" spans="28:28" x14ac:dyDescent="0.25">
      <c r="AB1291" s="381"/>
    </row>
    <row r="1292" spans="28:28" x14ac:dyDescent="0.25">
      <c r="AB1292" s="381"/>
    </row>
    <row r="1293" spans="28:28" x14ac:dyDescent="0.25">
      <c r="AB1293" s="381"/>
    </row>
    <row r="1294" spans="28:28" x14ac:dyDescent="0.25">
      <c r="AB1294" s="381"/>
    </row>
    <row r="1295" spans="28:28" x14ac:dyDescent="0.25">
      <c r="AB1295" s="381"/>
    </row>
    <row r="1296" spans="28:28" x14ac:dyDescent="0.25">
      <c r="AB1296" s="381"/>
    </row>
    <row r="1297" spans="28:28" x14ac:dyDescent="0.25">
      <c r="AB1297" s="381"/>
    </row>
    <row r="1298" spans="28:28" x14ac:dyDescent="0.25">
      <c r="AB1298" s="381"/>
    </row>
    <row r="1299" spans="28:28" x14ac:dyDescent="0.25">
      <c r="AB1299" s="381"/>
    </row>
    <row r="1300" spans="28:28" x14ac:dyDescent="0.25">
      <c r="AB1300" s="381"/>
    </row>
    <row r="1301" spans="28:28" x14ac:dyDescent="0.25">
      <c r="AB1301" s="381"/>
    </row>
    <row r="1302" spans="28:28" x14ac:dyDescent="0.25">
      <c r="AB1302" s="381"/>
    </row>
    <row r="1303" spans="28:28" x14ac:dyDescent="0.25">
      <c r="AB1303" s="381"/>
    </row>
    <row r="1304" spans="28:28" x14ac:dyDescent="0.25">
      <c r="AB1304" s="381"/>
    </row>
    <row r="1305" spans="28:28" x14ac:dyDescent="0.25">
      <c r="AB1305" s="381"/>
    </row>
    <row r="1306" spans="28:28" x14ac:dyDescent="0.25">
      <c r="AB1306" s="381"/>
    </row>
    <row r="1307" spans="28:28" x14ac:dyDescent="0.25">
      <c r="AB1307" s="381"/>
    </row>
    <row r="1308" spans="28:28" x14ac:dyDescent="0.25">
      <c r="AB1308" s="381"/>
    </row>
    <row r="1309" spans="28:28" x14ac:dyDescent="0.25">
      <c r="AB1309" s="381"/>
    </row>
    <row r="1310" spans="28:28" x14ac:dyDescent="0.25">
      <c r="AB1310" s="381"/>
    </row>
    <row r="1311" spans="28:28" x14ac:dyDescent="0.25">
      <c r="AB1311" s="381"/>
    </row>
    <row r="1312" spans="28:28" x14ac:dyDescent="0.25">
      <c r="AB1312" s="381"/>
    </row>
    <row r="1313" spans="28:28" x14ac:dyDescent="0.25">
      <c r="AB1313" s="381"/>
    </row>
    <row r="1314" spans="28:28" x14ac:dyDescent="0.25">
      <c r="AB1314" s="381"/>
    </row>
    <row r="1315" spans="28:28" x14ac:dyDescent="0.25">
      <c r="AB1315" s="381"/>
    </row>
    <row r="1316" spans="28:28" x14ac:dyDescent="0.25">
      <c r="AB1316" s="381"/>
    </row>
    <row r="1317" spans="28:28" x14ac:dyDescent="0.25">
      <c r="AB1317" s="381"/>
    </row>
    <row r="1318" spans="28:28" x14ac:dyDescent="0.25">
      <c r="AB1318" s="381"/>
    </row>
    <row r="1319" spans="28:28" x14ac:dyDescent="0.25">
      <c r="AB1319" s="381"/>
    </row>
    <row r="1320" spans="28:28" x14ac:dyDescent="0.25">
      <c r="AB1320" s="381"/>
    </row>
    <row r="1321" spans="28:28" x14ac:dyDescent="0.25">
      <c r="AB1321" s="381"/>
    </row>
    <row r="1322" spans="28:28" x14ac:dyDescent="0.25">
      <c r="AB1322" s="381"/>
    </row>
    <row r="1323" spans="28:28" x14ac:dyDescent="0.25">
      <c r="AB1323" s="381"/>
    </row>
    <row r="1324" spans="28:28" x14ac:dyDescent="0.25">
      <c r="AB1324" s="381"/>
    </row>
    <row r="1325" spans="28:28" x14ac:dyDescent="0.25">
      <c r="AB1325" s="381"/>
    </row>
    <row r="1326" spans="28:28" x14ac:dyDescent="0.25">
      <c r="AB1326" s="381"/>
    </row>
    <row r="1327" spans="28:28" x14ac:dyDescent="0.25">
      <c r="AB1327" s="381"/>
    </row>
    <row r="1328" spans="28:28" x14ac:dyDescent="0.25">
      <c r="AB1328" s="381"/>
    </row>
    <row r="1329" spans="28:28" x14ac:dyDescent="0.25">
      <c r="AB1329" s="381"/>
    </row>
    <row r="1330" spans="28:28" x14ac:dyDescent="0.25">
      <c r="AB1330" s="381"/>
    </row>
    <row r="1331" spans="28:28" x14ac:dyDescent="0.25">
      <c r="AB1331" s="381"/>
    </row>
    <row r="1332" spans="28:28" x14ac:dyDescent="0.25">
      <c r="AB1332" s="381"/>
    </row>
    <row r="1333" spans="28:28" x14ac:dyDescent="0.25">
      <c r="AB1333" s="381"/>
    </row>
    <row r="1334" spans="28:28" x14ac:dyDescent="0.25">
      <c r="AB1334" s="381"/>
    </row>
    <row r="1335" spans="28:28" x14ac:dyDescent="0.25">
      <c r="AB1335" s="381"/>
    </row>
    <row r="1336" spans="28:28" x14ac:dyDescent="0.25">
      <c r="AB1336" s="381"/>
    </row>
    <row r="1337" spans="28:28" x14ac:dyDescent="0.25">
      <c r="AB1337" s="381"/>
    </row>
    <row r="1338" spans="28:28" x14ac:dyDescent="0.25">
      <c r="AB1338" s="381"/>
    </row>
    <row r="1339" spans="28:28" x14ac:dyDescent="0.25">
      <c r="AB1339" s="381"/>
    </row>
    <row r="1340" spans="28:28" x14ac:dyDescent="0.25">
      <c r="AB1340" s="381"/>
    </row>
    <row r="1341" spans="28:28" x14ac:dyDescent="0.25">
      <c r="AB1341" s="381"/>
    </row>
    <row r="1342" spans="28:28" x14ac:dyDescent="0.25">
      <c r="AB1342" s="381"/>
    </row>
    <row r="1343" spans="28:28" x14ac:dyDescent="0.25">
      <c r="AB1343" s="381"/>
    </row>
    <row r="1344" spans="28:28" x14ac:dyDescent="0.25">
      <c r="AB1344" s="381"/>
    </row>
    <row r="1345" spans="28:28" x14ac:dyDescent="0.25">
      <c r="AB1345" s="381"/>
    </row>
    <row r="1346" spans="28:28" x14ac:dyDescent="0.25">
      <c r="AB1346" s="381"/>
    </row>
    <row r="1347" spans="28:28" x14ac:dyDescent="0.25">
      <c r="AB1347" s="381"/>
    </row>
    <row r="1348" spans="28:28" x14ac:dyDescent="0.25">
      <c r="AB1348" s="381"/>
    </row>
    <row r="1349" spans="28:28" x14ac:dyDescent="0.25">
      <c r="AB1349" s="381"/>
    </row>
    <row r="1350" spans="28:28" x14ac:dyDescent="0.25">
      <c r="AB1350" s="381"/>
    </row>
    <row r="1351" spans="28:28" x14ac:dyDescent="0.25">
      <c r="AB1351" s="381"/>
    </row>
    <row r="1352" spans="28:28" x14ac:dyDescent="0.25">
      <c r="AB1352" s="381"/>
    </row>
    <row r="1353" spans="28:28" x14ac:dyDescent="0.25">
      <c r="AB1353" s="381"/>
    </row>
    <row r="1354" spans="28:28" x14ac:dyDescent="0.25">
      <c r="AB1354" s="381"/>
    </row>
    <row r="1355" spans="28:28" x14ac:dyDescent="0.25">
      <c r="AB1355" s="381"/>
    </row>
    <row r="1356" spans="28:28" x14ac:dyDescent="0.25">
      <c r="AB1356" s="381"/>
    </row>
    <row r="1357" spans="28:28" x14ac:dyDescent="0.25">
      <c r="AB1357" s="381"/>
    </row>
    <row r="1358" spans="28:28" x14ac:dyDescent="0.25">
      <c r="AB1358" s="381"/>
    </row>
    <row r="1359" spans="28:28" x14ac:dyDescent="0.25">
      <c r="AB1359" s="381"/>
    </row>
    <row r="1360" spans="28:28" x14ac:dyDescent="0.25">
      <c r="AB1360" s="381"/>
    </row>
    <row r="1361" spans="28:28" x14ac:dyDescent="0.25">
      <c r="AB1361" s="381"/>
    </row>
    <row r="1362" spans="28:28" x14ac:dyDescent="0.25">
      <c r="AB1362" s="381"/>
    </row>
    <row r="1363" spans="28:28" x14ac:dyDescent="0.25">
      <c r="AB1363" s="381"/>
    </row>
    <row r="1364" spans="28:28" x14ac:dyDescent="0.25">
      <c r="AB1364" s="381"/>
    </row>
    <row r="1365" spans="28:28" x14ac:dyDescent="0.25">
      <c r="AB1365" s="381"/>
    </row>
    <row r="1366" spans="28:28" x14ac:dyDescent="0.25">
      <c r="AB1366" s="381"/>
    </row>
    <row r="1367" spans="28:28" x14ac:dyDescent="0.25">
      <c r="AB1367" s="381"/>
    </row>
    <row r="1368" spans="28:28" x14ac:dyDescent="0.25">
      <c r="AB1368" s="381"/>
    </row>
    <row r="1369" spans="28:28" x14ac:dyDescent="0.25">
      <c r="AB1369" s="381"/>
    </row>
    <row r="1370" spans="28:28" x14ac:dyDescent="0.25">
      <c r="AB1370" s="381"/>
    </row>
    <row r="1371" spans="28:28" x14ac:dyDescent="0.25">
      <c r="AB1371" s="381"/>
    </row>
    <row r="1372" spans="28:28" x14ac:dyDescent="0.25">
      <c r="AB1372" s="381"/>
    </row>
    <row r="1373" spans="28:28" x14ac:dyDescent="0.25">
      <c r="AB1373" s="381"/>
    </row>
    <row r="1374" spans="28:28" x14ac:dyDescent="0.25">
      <c r="AB1374" s="381"/>
    </row>
    <row r="1375" spans="28:28" x14ac:dyDescent="0.25">
      <c r="AB1375" s="381"/>
    </row>
    <row r="1376" spans="28:28" x14ac:dyDescent="0.25">
      <c r="AB1376" s="381"/>
    </row>
    <row r="1377" spans="28:28" x14ac:dyDescent="0.25">
      <c r="AB1377" s="381"/>
    </row>
    <row r="1378" spans="28:28" x14ac:dyDescent="0.25">
      <c r="AB1378" s="381"/>
    </row>
    <row r="1379" spans="28:28" x14ac:dyDescent="0.25">
      <c r="AB1379" s="381"/>
    </row>
    <row r="1380" spans="28:28" x14ac:dyDescent="0.25">
      <c r="AB1380" s="381"/>
    </row>
    <row r="1381" spans="28:28" x14ac:dyDescent="0.25">
      <c r="AB1381" s="381"/>
    </row>
    <row r="1382" spans="28:28" x14ac:dyDescent="0.25">
      <c r="AB1382" s="381"/>
    </row>
    <row r="1383" spans="28:28" x14ac:dyDescent="0.25">
      <c r="AB1383" s="381"/>
    </row>
    <row r="1384" spans="28:28" x14ac:dyDescent="0.25">
      <c r="AB1384" s="381"/>
    </row>
    <row r="1385" spans="28:28" x14ac:dyDescent="0.25">
      <c r="AB1385" s="381"/>
    </row>
    <row r="1386" spans="28:28" x14ac:dyDescent="0.25">
      <c r="AB1386" s="381"/>
    </row>
    <row r="1387" spans="28:28" x14ac:dyDescent="0.25">
      <c r="AB1387" s="381"/>
    </row>
    <row r="1388" spans="28:28" x14ac:dyDescent="0.25">
      <c r="AB1388" s="381"/>
    </row>
    <row r="1389" spans="28:28" x14ac:dyDescent="0.25">
      <c r="AB1389" s="381"/>
    </row>
    <row r="1390" spans="28:28" x14ac:dyDescent="0.25">
      <c r="AB1390" s="381"/>
    </row>
    <row r="1391" spans="28:28" x14ac:dyDescent="0.25">
      <c r="AB1391" s="381"/>
    </row>
    <row r="1392" spans="28:28" x14ac:dyDescent="0.25">
      <c r="AB1392" s="381"/>
    </row>
    <row r="1393" spans="28:28" x14ac:dyDescent="0.25">
      <c r="AB1393" s="381"/>
    </row>
    <row r="1394" spans="28:28" x14ac:dyDescent="0.25">
      <c r="AB1394" s="381"/>
    </row>
    <row r="1395" spans="28:28" x14ac:dyDescent="0.25">
      <c r="AB1395" s="381"/>
    </row>
    <row r="1396" spans="28:28" x14ac:dyDescent="0.25">
      <c r="AB1396" s="381"/>
    </row>
    <row r="1397" spans="28:28" x14ac:dyDescent="0.25">
      <c r="AB1397" s="381"/>
    </row>
    <row r="1398" spans="28:28" x14ac:dyDescent="0.25">
      <c r="AB1398" s="381"/>
    </row>
    <row r="1399" spans="28:28" x14ac:dyDescent="0.25">
      <c r="AB1399" s="381"/>
    </row>
    <row r="1400" spans="28:28" x14ac:dyDescent="0.25">
      <c r="AB1400" s="381"/>
    </row>
    <row r="1401" spans="28:28" x14ac:dyDescent="0.25">
      <c r="AB1401" s="381"/>
    </row>
    <row r="1402" spans="28:28" x14ac:dyDescent="0.25">
      <c r="AB1402" s="381"/>
    </row>
    <row r="1403" spans="28:28" x14ac:dyDescent="0.25">
      <c r="AB1403" s="381"/>
    </row>
    <row r="1404" spans="28:28" x14ac:dyDescent="0.25">
      <c r="AB1404" s="381"/>
    </row>
    <row r="1405" spans="28:28" x14ac:dyDescent="0.25">
      <c r="AB1405" s="381"/>
    </row>
    <row r="1406" spans="28:28" x14ac:dyDescent="0.25">
      <c r="AB1406" s="381"/>
    </row>
    <row r="1407" spans="28:28" x14ac:dyDescent="0.25">
      <c r="AB1407" s="381"/>
    </row>
    <row r="1408" spans="28:28" x14ac:dyDescent="0.25">
      <c r="AB1408" s="381"/>
    </row>
    <row r="1409" spans="28:28" x14ac:dyDescent="0.25">
      <c r="AB1409" s="381"/>
    </row>
    <row r="1410" spans="28:28" x14ac:dyDescent="0.25">
      <c r="AB1410" s="381"/>
    </row>
    <row r="1411" spans="28:28" x14ac:dyDescent="0.25">
      <c r="AB1411" s="381"/>
    </row>
    <row r="1412" spans="28:28" x14ac:dyDescent="0.25">
      <c r="AB1412" s="381"/>
    </row>
    <row r="1413" spans="28:28" x14ac:dyDescent="0.25">
      <c r="AB1413" s="381"/>
    </row>
    <row r="1414" spans="28:28" x14ac:dyDescent="0.25">
      <c r="AB1414" s="381"/>
    </row>
    <row r="1415" spans="28:28" x14ac:dyDescent="0.25">
      <c r="AB1415" s="381"/>
    </row>
    <row r="1416" spans="28:28" x14ac:dyDescent="0.25">
      <c r="AB1416" s="381"/>
    </row>
    <row r="1417" spans="28:28" x14ac:dyDescent="0.25">
      <c r="AB1417" s="381"/>
    </row>
    <row r="1418" spans="28:28" x14ac:dyDescent="0.25">
      <c r="AB1418" s="381"/>
    </row>
    <row r="1419" spans="28:28" x14ac:dyDescent="0.25">
      <c r="AB1419" s="381"/>
    </row>
    <row r="1420" spans="28:28" x14ac:dyDescent="0.25">
      <c r="AB1420" s="381"/>
    </row>
    <row r="1421" spans="28:28" x14ac:dyDescent="0.25">
      <c r="AB1421" s="381"/>
    </row>
    <row r="1422" spans="28:28" x14ac:dyDescent="0.25">
      <c r="AB1422" s="381"/>
    </row>
    <row r="1423" spans="28:28" x14ac:dyDescent="0.25">
      <c r="AB1423" s="381"/>
    </row>
    <row r="1424" spans="28:28" x14ac:dyDescent="0.25">
      <c r="AB1424" s="381"/>
    </row>
    <row r="1425" spans="28:28" x14ac:dyDescent="0.25">
      <c r="AB1425" s="381"/>
    </row>
    <row r="1426" spans="28:28" x14ac:dyDescent="0.25">
      <c r="AB1426" s="381"/>
    </row>
    <row r="1427" spans="28:28" x14ac:dyDescent="0.25">
      <c r="AB1427" s="381"/>
    </row>
    <row r="1428" spans="28:28" x14ac:dyDescent="0.25">
      <c r="AB1428" s="381"/>
    </row>
    <row r="1429" spans="28:28" x14ac:dyDescent="0.25">
      <c r="AB1429" s="381"/>
    </row>
    <row r="1430" spans="28:28" x14ac:dyDescent="0.25">
      <c r="AB1430" s="381"/>
    </row>
    <row r="1431" spans="28:28" x14ac:dyDescent="0.25">
      <c r="AB1431" s="381"/>
    </row>
    <row r="1432" spans="28:28" x14ac:dyDescent="0.25">
      <c r="AB1432" s="381"/>
    </row>
    <row r="1433" spans="28:28" x14ac:dyDescent="0.25">
      <c r="AB1433" s="381"/>
    </row>
    <row r="1434" spans="28:28" x14ac:dyDescent="0.25">
      <c r="AB1434" s="381"/>
    </row>
    <row r="1435" spans="28:28" x14ac:dyDescent="0.25">
      <c r="AB1435" s="381"/>
    </row>
    <row r="1436" spans="28:28" x14ac:dyDescent="0.25">
      <c r="AB1436" s="381"/>
    </row>
    <row r="1437" spans="28:28" x14ac:dyDescent="0.25">
      <c r="AB1437" s="381"/>
    </row>
    <row r="1438" spans="28:28" x14ac:dyDescent="0.25">
      <c r="AB1438" s="381"/>
    </row>
    <row r="1439" spans="28:28" x14ac:dyDescent="0.25">
      <c r="AB1439" s="381"/>
    </row>
    <row r="1440" spans="28:28" x14ac:dyDescent="0.25">
      <c r="AB1440" s="381"/>
    </row>
    <row r="1441" spans="28:28" x14ac:dyDescent="0.25">
      <c r="AB1441" s="381"/>
    </row>
    <row r="1442" spans="28:28" x14ac:dyDescent="0.25">
      <c r="AB1442" s="381"/>
    </row>
    <row r="1443" spans="28:28" x14ac:dyDescent="0.25">
      <c r="AB1443" s="381"/>
    </row>
    <row r="1444" spans="28:28" x14ac:dyDescent="0.25">
      <c r="AB1444" s="381"/>
    </row>
    <row r="1445" spans="28:28" x14ac:dyDescent="0.25">
      <c r="AB1445" s="381"/>
    </row>
    <row r="1446" spans="28:28" x14ac:dyDescent="0.25">
      <c r="AB1446" s="381"/>
    </row>
    <row r="1447" spans="28:28" x14ac:dyDescent="0.25">
      <c r="AB1447" s="381"/>
    </row>
    <row r="1448" spans="28:28" x14ac:dyDescent="0.25">
      <c r="AB1448" s="381"/>
    </row>
    <row r="1449" spans="28:28" x14ac:dyDescent="0.25">
      <c r="AB1449" s="381"/>
    </row>
    <row r="1450" spans="28:28" x14ac:dyDescent="0.25">
      <c r="AB1450" s="381"/>
    </row>
    <row r="1451" spans="28:28" x14ac:dyDescent="0.25">
      <c r="AB1451" s="381"/>
    </row>
    <row r="1452" spans="28:28" x14ac:dyDescent="0.25">
      <c r="AB1452" s="381"/>
    </row>
    <row r="1453" spans="28:28" x14ac:dyDescent="0.25">
      <c r="AB1453" s="381"/>
    </row>
    <row r="1454" spans="28:28" x14ac:dyDescent="0.25">
      <c r="AB1454" s="381"/>
    </row>
    <row r="1455" spans="28:28" x14ac:dyDescent="0.25">
      <c r="AB1455" s="381"/>
    </row>
    <row r="1456" spans="28:28" x14ac:dyDescent="0.25">
      <c r="AB1456" s="381"/>
    </row>
    <row r="1457" spans="28:28" x14ac:dyDescent="0.25">
      <c r="AB1457" s="381"/>
    </row>
    <row r="1458" spans="28:28" x14ac:dyDescent="0.25">
      <c r="AB1458" s="381"/>
    </row>
    <row r="1459" spans="28:28" x14ac:dyDescent="0.25">
      <c r="AB1459" s="381"/>
    </row>
    <row r="1460" spans="28:28" x14ac:dyDescent="0.25">
      <c r="AB1460" s="381"/>
    </row>
    <row r="1461" spans="28:28" x14ac:dyDescent="0.25">
      <c r="AB1461" s="381"/>
    </row>
    <row r="1462" spans="28:28" x14ac:dyDescent="0.25">
      <c r="AB1462" s="381"/>
    </row>
    <row r="1463" spans="28:28" x14ac:dyDescent="0.25">
      <c r="AB1463" s="381"/>
    </row>
    <row r="1464" spans="28:28" x14ac:dyDescent="0.25">
      <c r="AB1464" s="381"/>
    </row>
    <row r="1465" spans="28:28" x14ac:dyDescent="0.25">
      <c r="AB1465" s="381"/>
    </row>
    <row r="1466" spans="28:28" x14ac:dyDescent="0.25">
      <c r="AB1466" s="381"/>
    </row>
    <row r="1467" spans="28:28" x14ac:dyDescent="0.25">
      <c r="AB1467" s="381"/>
    </row>
    <row r="1468" spans="28:28" x14ac:dyDescent="0.25">
      <c r="AB1468" s="381"/>
    </row>
    <row r="1469" spans="28:28" x14ac:dyDescent="0.25">
      <c r="AB1469" s="381"/>
    </row>
    <row r="1470" spans="28:28" x14ac:dyDescent="0.25">
      <c r="AB1470" s="381"/>
    </row>
    <row r="1471" spans="28:28" x14ac:dyDescent="0.25">
      <c r="AB1471" s="381"/>
    </row>
    <row r="1472" spans="28:28" x14ac:dyDescent="0.25">
      <c r="AB1472" s="381"/>
    </row>
    <row r="1473" spans="28:28" x14ac:dyDescent="0.25">
      <c r="AB1473" s="381"/>
    </row>
    <row r="1474" spans="28:28" x14ac:dyDescent="0.25">
      <c r="AB1474" s="381"/>
    </row>
    <row r="1475" spans="28:28" x14ac:dyDescent="0.25">
      <c r="AB1475" s="381"/>
    </row>
    <row r="1476" spans="28:28" x14ac:dyDescent="0.25">
      <c r="AB1476" s="381"/>
    </row>
    <row r="1477" spans="28:28" x14ac:dyDescent="0.25">
      <c r="AB1477" s="381"/>
    </row>
    <row r="1478" spans="28:28" x14ac:dyDescent="0.25">
      <c r="AB1478" s="381"/>
    </row>
    <row r="1479" spans="28:28" x14ac:dyDescent="0.25">
      <c r="AB1479" s="381"/>
    </row>
    <row r="1480" spans="28:28" x14ac:dyDescent="0.25">
      <c r="AB1480" s="381"/>
    </row>
    <row r="1481" spans="28:28" x14ac:dyDescent="0.25">
      <c r="AB1481" s="381"/>
    </row>
    <row r="1482" spans="28:28" x14ac:dyDescent="0.25">
      <c r="AB1482" s="381"/>
    </row>
    <row r="1483" spans="28:28" x14ac:dyDescent="0.25">
      <c r="AB1483" s="381"/>
    </row>
    <row r="1484" spans="28:28" x14ac:dyDescent="0.25">
      <c r="AB1484" s="381"/>
    </row>
    <row r="1485" spans="28:28" x14ac:dyDescent="0.25">
      <c r="AB1485" s="381"/>
    </row>
    <row r="1486" spans="28:28" x14ac:dyDescent="0.25">
      <c r="AB1486" s="381"/>
    </row>
    <row r="1487" spans="28:28" x14ac:dyDescent="0.25">
      <c r="AB1487" s="381"/>
    </row>
    <row r="1488" spans="28:28" x14ac:dyDescent="0.25">
      <c r="AB1488" s="381"/>
    </row>
    <row r="1489" spans="28:28" x14ac:dyDescent="0.25">
      <c r="AB1489" s="381"/>
    </row>
    <row r="1490" spans="28:28" x14ac:dyDescent="0.25">
      <c r="AB1490" s="381"/>
    </row>
    <row r="1491" spans="28:28" x14ac:dyDescent="0.25">
      <c r="AB1491" s="381"/>
    </row>
    <row r="1492" spans="28:28" x14ac:dyDescent="0.25">
      <c r="AB1492" s="381"/>
    </row>
    <row r="1493" spans="28:28" x14ac:dyDescent="0.25">
      <c r="AB1493" s="381"/>
    </row>
    <row r="1494" spans="28:28" x14ac:dyDescent="0.25">
      <c r="AB1494" s="381"/>
    </row>
    <row r="1495" spans="28:28" x14ac:dyDescent="0.25">
      <c r="AB1495" s="381"/>
    </row>
    <row r="1496" spans="28:28" x14ac:dyDescent="0.25">
      <c r="AB1496" s="381"/>
    </row>
    <row r="1497" spans="28:28" x14ac:dyDescent="0.25">
      <c r="AB1497" s="381"/>
    </row>
    <row r="1498" spans="28:28" x14ac:dyDescent="0.25">
      <c r="AB1498" s="381"/>
    </row>
    <row r="1499" spans="28:28" x14ac:dyDescent="0.25">
      <c r="AB1499" s="381"/>
    </row>
    <row r="1500" spans="28:28" x14ac:dyDescent="0.25">
      <c r="AB1500" s="381"/>
    </row>
    <row r="1501" spans="28:28" x14ac:dyDescent="0.25">
      <c r="AB1501" s="381"/>
    </row>
    <row r="1502" spans="28:28" x14ac:dyDescent="0.25">
      <c r="AB1502" s="381"/>
    </row>
    <row r="1503" spans="28:28" x14ac:dyDescent="0.25">
      <c r="AB1503" s="381"/>
    </row>
    <row r="1504" spans="28:28" x14ac:dyDescent="0.25">
      <c r="AB1504" s="381"/>
    </row>
    <row r="1505" spans="28:28" x14ac:dyDescent="0.25">
      <c r="AB1505" s="381"/>
    </row>
    <row r="1506" spans="28:28" x14ac:dyDescent="0.25">
      <c r="AB1506" s="381"/>
    </row>
    <row r="1507" spans="28:28" x14ac:dyDescent="0.25">
      <c r="AB1507" s="381"/>
    </row>
    <row r="1508" spans="28:28" x14ac:dyDescent="0.25">
      <c r="AB1508" s="381"/>
    </row>
    <row r="1509" spans="28:28" x14ac:dyDescent="0.25">
      <c r="AB1509" s="381"/>
    </row>
    <row r="1510" spans="28:28" x14ac:dyDescent="0.25">
      <c r="AB1510" s="381"/>
    </row>
    <row r="1511" spans="28:28" x14ac:dyDescent="0.25">
      <c r="AB1511" s="381"/>
    </row>
    <row r="1512" spans="28:28" x14ac:dyDescent="0.25">
      <c r="AB1512" s="381"/>
    </row>
    <row r="1513" spans="28:28" x14ac:dyDescent="0.25">
      <c r="AB1513" s="381"/>
    </row>
    <row r="1514" spans="28:28" x14ac:dyDescent="0.25">
      <c r="AB1514" s="381"/>
    </row>
    <row r="1515" spans="28:28" x14ac:dyDescent="0.25">
      <c r="AB1515" s="381"/>
    </row>
    <row r="1516" spans="28:28" x14ac:dyDescent="0.25">
      <c r="AB1516" s="381"/>
    </row>
    <row r="1517" spans="28:28" x14ac:dyDescent="0.25">
      <c r="AB1517" s="381"/>
    </row>
    <row r="1518" spans="28:28" x14ac:dyDescent="0.25">
      <c r="AB1518" s="381"/>
    </row>
    <row r="1519" spans="28:28" x14ac:dyDescent="0.25">
      <c r="AB1519" s="381"/>
    </row>
    <row r="1520" spans="28:28" x14ac:dyDescent="0.25">
      <c r="AB1520" s="381"/>
    </row>
    <row r="1521" spans="28:28" x14ac:dyDescent="0.25">
      <c r="AB1521" s="381"/>
    </row>
    <row r="1522" spans="28:28" x14ac:dyDescent="0.25">
      <c r="AB1522" s="381"/>
    </row>
    <row r="1523" spans="28:28" x14ac:dyDescent="0.25">
      <c r="AB1523" s="381"/>
    </row>
    <row r="1524" spans="28:28" x14ac:dyDescent="0.25">
      <c r="AB1524" s="381"/>
    </row>
    <row r="1525" spans="28:28" x14ac:dyDescent="0.25">
      <c r="AB1525" s="381"/>
    </row>
    <row r="1526" spans="28:28" x14ac:dyDescent="0.25">
      <c r="AB1526" s="381"/>
    </row>
    <row r="1527" spans="28:28" x14ac:dyDescent="0.25">
      <c r="AB1527" s="381"/>
    </row>
    <row r="1528" spans="28:28" x14ac:dyDescent="0.25">
      <c r="AB1528" s="381"/>
    </row>
    <row r="1529" spans="28:28" x14ac:dyDescent="0.25">
      <c r="AB1529" s="381"/>
    </row>
    <row r="1530" spans="28:28" x14ac:dyDescent="0.25">
      <c r="AB1530" s="381"/>
    </row>
    <row r="1531" spans="28:28" x14ac:dyDescent="0.25">
      <c r="AB1531" s="381"/>
    </row>
    <row r="1532" spans="28:28" x14ac:dyDescent="0.25">
      <c r="AB1532" s="381"/>
    </row>
    <row r="1533" spans="28:28" x14ac:dyDescent="0.25">
      <c r="AB1533" s="381"/>
    </row>
    <row r="1534" spans="28:28" x14ac:dyDescent="0.25">
      <c r="AB1534" s="381"/>
    </row>
    <row r="1535" spans="28:28" x14ac:dyDescent="0.25">
      <c r="AB1535" s="381"/>
    </row>
    <row r="1536" spans="28:28" x14ac:dyDescent="0.25">
      <c r="AB1536" s="381"/>
    </row>
    <row r="1537" spans="28:28" x14ac:dyDescent="0.25">
      <c r="AB1537" s="381"/>
    </row>
    <row r="1538" spans="28:28" x14ac:dyDescent="0.25">
      <c r="AB1538" s="381"/>
    </row>
    <row r="1539" spans="28:28" x14ac:dyDescent="0.25">
      <c r="AB1539" s="381"/>
    </row>
    <row r="1540" spans="28:28" x14ac:dyDescent="0.25">
      <c r="AB1540" s="381"/>
    </row>
    <row r="1541" spans="28:28" x14ac:dyDescent="0.25">
      <c r="AB1541" s="381"/>
    </row>
    <row r="1542" spans="28:28" x14ac:dyDescent="0.25">
      <c r="AB1542" s="381"/>
    </row>
    <row r="1543" spans="28:28" x14ac:dyDescent="0.25">
      <c r="AB1543" s="381"/>
    </row>
    <row r="1544" spans="28:28" x14ac:dyDescent="0.25">
      <c r="AB1544" s="381"/>
    </row>
    <row r="1545" spans="28:28" x14ac:dyDescent="0.25">
      <c r="AB1545" s="381"/>
    </row>
    <row r="1546" spans="28:28" x14ac:dyDescent="0.25">
      <c r="AB1546" s="381"/>
    </row>
    <row r="1547" spans="28:28" x14ac:dyDescent="0.25">
      <c r="AB1547" s="381"/>
    </row>
    <row r="1548" spans="28:28" x14ac:dyDescent="0.25">
      <c r="AB1548" s="381"/>
    </row>
    <row r="1549" spans="28:28" x14ac:dyDescent="0.25">
      <c r="AB1549" s="381"/>
    </row>
    <row r="1550" spans="28:28" x14ac:dyDescent="0.25">
      <c r="AB1550" s="381"/>
    </row>
    <row r="1551" spans="28:28" x14ac:dyDescent="0.25">
      <c r="AB1551" s="381"/>
    </row>
    <row r="1552" spans="28:28" x14ac:dyDescent="0.25">
      <c r="AB1552" s="381"/>
    </row>
    <row r="1553" spans="28:28" x14ac:dyDescent="0.25">
      <c r="AB1553" s="381"/>
    </row>
    <row r="1554" spans="28:28" x14ac:dyDescent="0.25">
      <c r="AB1554" s="381"/>
    </row>
    <row r="1555" spans="28:28" x14ac:dyDescent="0.25">
      <c r="AB1555" s="381"/>
    </row>
    <row r="1556" spans="28:28" x14ac:dyDescent="0.25">
      <c r="AB1556" s="381"/>
    </row>
    <row r="1557" spans="28:28" x14ac:dyDescent="0.25">
      <c r="AB1557" s="381"/>
    </row>
    <row r="1558" spans="28:28" x14ac:dyDescent="0.25">
      <c r="AB1558" s="381"/>
    </row>
    <row r="1559" spans="28:28" x14ac:dyDescent="0.25">
      <c r="AB1559" s="381"/>
    </row>
    <row r="1560" spans="28:28" x14ac:dyDescent="0.25">
      <c r="AB1560" s="381"/>
    </row>
    <row r="1561" spans="28:28" x14ac:dyDescent="0.25">
      <c r="AB1561" s="381"/>
    </row>
    <row r="1562" spans="28:28" x14ac:dyDescent="0.25">
      <c r="AB1562" s="381"/>
    </row>
    <row r="1563" spans="28:28" x14ac:dyDescent="0.25">
      <c r="AB1563" s="381"/>
    </row>
    <row r="1564" spans="28:28" x14ac:dyDescent="0.25">
      <c r="AB1564" s="381"/>
    </row>
    <row r="1565" spans="28:28" x14ac:dyDescent="0.25">
      <c r="AB1565" s="381"/>
    </row>
    <row r="1566" spans="28:28" x14ac:dyDescent="0.25">
      <c r="AB1566" s="381"/>
    </row>
    <row r="1567" spans="28:28" x14ac:dyDescent="0.25">
      <c r="AB1567" s="381"/>
    </row>
    <row r="1568" spans="28:28" x14ac:dyDescent="0.25">
      <c r="AB1568" s="381"/>
    </row>
    <row r="1569" spans="28:28" x14ac:dyDescent="0.25">
      <c r="AB1569" s="381"/>
    </row>
    <row r="1570" spans="28:28" x14ac:dyDescent="0.25">
      <c r="AB1570" s="381"/>
    </row>
    <row r="1571" spans="28:28" x14ac:dyDescent="0.25">
      <c r="AB1571" s="381"/>
    </row>
    <row r="1572" spans="28:28" x14ac:dyDescent="0.25">
      <c r="AB1572" s="381"/>
    </row>
    <row r="1573" spans="28:28" x14ac:dyDescent="0.25">
      <c r="AB1573" s="381"/>
    </row>
    <row r="1574" spans="28:28" x14ac:dyDescent="0.25">
      <c r="AB1574" s="381"/>
    </row>
    <row r="1575" spans="28:28" x14ac:dyDescent="0.25">
      <c r="AB1575" s="381"/>
    </row>
    <row r="1576" spans="28:28" x14ac:dyDescent="0.25">
      <c r="AB1576" s="381"/>
    </row>
    <row r="1577" spans="28:28" x14ac:dyDescent="0.25">
      <c r="AB1577" s="381"/>
    </row>
    <row r="1578" spans="28:28" x14ac:dyDescent="0.25">
      <c r="AB1578" s="381"/>
    </row>
    <row r="1579" spans="28:28" x14ac:dyDescent="0.25">
      <c r="AB1579" s="381"/>
    </row>
    <row r="1580" spans="28:28" x14ac:dyDescent="0.25">
      <c r="AB1580" s="381"/>
    </row>
    <row r="1581" spans="28:28" x14ac:dyDescent="0.25">
      <c r="AB1581" s="381"/>
    </row>
    <row r="1582" spans="28:28" x14ac:dyDescent="0.25">
      <c r="AB1582" s="381"/>
    </row>
    <row r="1583" spans="28:28" x14ac:dyDescent="0.25">
      <c r="AB1583" s="381"/>
    </row>
    <row r="1584" spans="28:28" x14ac:dyDescent="0.25">
      <c r="AB1584" s="381"/>
    </row>
    <row r="1585" spans="28:28" x14ac:dyDescent="0.25">
      <c r="AB1585" s="381"/>
    </row>
    <row r="1586" spans="28:28" x14ac:dyDescent="0.25">
      <c r="AB1586" s="381"/>
    </row>
    <row r="1587" spans="28:28" x14ac:dyDescent="0.25">
      <c r="AB1587" s="381"/>
    </row>
    <row r="1588" spans="28:28" x14ac:dyDescent="0.25">
      <c r="AB1588" s="381"/>
    </row>
    <row r="1589" spans="28:28" x14ac:dyDescent="0.25">
      <c r="AB1589" s="381"/>
    </row>
    <row r="1590" spans="28:28" x14ac:dyDescent="0.25">
      <c r="AB1590" s="381"/>
    </row>
    <row r="1591" spans="28:28" x14ac:dyDescent="0.25">
      <c r="AB1591" s="381"/>
    </row>
    <row r="1592" spans="28:28" x14ac:dyDescent="0.25">
      <c r="AB1592" s="381"/>
    </row>
    <row r="1593" spans="28:28" x14ac:dyDescent="0.25">
      <c r="AB1593" s="381"/>
    </row>
    <row r="1594" spans="28:28" x14ac:dyDescent="0.25">
      <c r="AB1594" s="381"/>
    </row>
    <row r="1595" spans="28:28" x14ac:dyDescent="0.25">
      <c r="AB1595" s="381"/>
    </row>
    <row r="1596" spans="28:28" x14ac:dyDescent="0.25">
      <c r="AB1596" s="381"/>
    </row>
    <row r="1597" spans="28:28" x14ac:dyDescent="0.25">
      <c r="AB1597" s="381"/>
    </row>
    <row r="1598" spans="28:28" x14ac:dyDescent="0.25">
      <c r="AB1598" s="381"/>
    </row>
    <row r="1599" spans="28:28" x14ac:dyDescent="0.25">
      <c r="AB1599" s="381"/>
    </row>
    <row r="1600" spans="28:28" x14ac:dyDescent="0.25">
      <c r="AB1600" s="381"/>
    </row>
    <row r="1601" spans="28:28" x14ac:dyDescent="0.25">
      <c r="AB1601" s="381"/>
    </row>
    <row r="1602" spans="28:28" x14ac:dyDescent="0.25">
      <c r="AB1602" s="381"/>
    </row>
    <row r="1603" spans="28:28" x14ac:dyDescent="0.25">
      <c r="AB1603" s="381"/>
    </row>
    <row r="1604" spans="28:28" x14ac:dyDescent="0.25">
      <c r="AB1604" s="381"/>
    </row>
    <row r="1605" spans="28:28" x14ac:dyDescent="0.25">
      <c r="AB1605" s="381"/>
    </row>
    <row r="1606" spans="28:28" x14ac:dyDescent="0.25">
      <c r="AB1606" s="381"/>
    </row>
    <row r="1607" spans="28:28" x14ac:dyDescent="0.25">
      <c r="AB1607" s="381"/>
    </row>
    <row r="1608" spans="28:28" x14ac:dyDescent="0.25">
      <c r="AB1608" s="381"/>
    </row>
    <row r="1609" spans="28:28" x14ac:dyDescent="0.25">
      <c r="AB1609" s="381"/>
    </row>
    <row r="1610" spans="28:28" x14ac:dyDescent="0.25">
      <c r="AB1610" s="381"/>
    </row>
    <row r="1611" spans="28:28" x14ac:dyDescent="0.25">
      <c r="AB1611" s="381"/>
    </row>
    <row r="1612" spans="28:28" x14ac:dyDescent="0.25">
      <c r="AB1612" s="381"/>
    </row>
    <row r="1613" spans="28:28" x14ac:dyDescent="0.25">
      <c r="AB1613" s="381"/>
    </row>
    <row r="1614" spans="28:28" x14ac:dyDescent="0.25">
      <c r="AB1614" s="381"/>
    </row>
    <row r="1615" spans="28:28" x14ac:dyDescent="0.25">
      <c r="AB1615" s="381"/>
    </row>
    <row r="1616" spans="28:28" x14ac:dyDescent="0.25">
      <c r="AB1616" s="381"/>
    </row>
    <row r="1617" spans="28:28" x14ac:dyDescent="0.25">
      <c r="AB1617" s="381"/>
    </row>
    <row r="1618" spans="28:28" x14ac:dyDescent="0.25">
      <c r="AB1618" s="381"/>
    </row>
    <row r="1619" spans="28:28" x14ac:dyDescent="0.25">
      <c r="AB1619" s="381"/>
    </row>
    <row r="1620" spans="28:28" x14ac:dyDescent="0.25">
      <c r="AB1620" s="381"/>
    </row>
    <row r="1621" spans="28:28" x14ac:dyDescent="0.25">
      <c r="AB1621" s="381"/>
    </row>
    <row r="1622" spans="28:28" x14ac:dyDescent="0.25">
      <c r="AB1622" s="381"/>
    </row>
    <row r="1623" spans="28:28" x14ac:dyDescent="0.25">
      <c r="AB1623" s="381"/>
    </row>
    <row r="1624" spans="28:28" x14ac:dyDescent="0.25">
      <c r="AB1624" s="381"/>
    </row>
    <row r="1625" spans="28:28" x14ac:dyDescent="0.25">
      <c r="AB1625" s="381"/>
    </row>
    <row r="1626" spans="28:28" x14ac:dyDescent="0.25">
      <c r="AB1626" s="381"/>
    </row>
    <row r="1627" spans="28:28" x14ac:dyDescent="0.25">
      <c r="AB1627" s="381"/>
    </row>
    <row r="1628" spans="28:28" x14ac:dyDescent="0.25">
      <c r="AB1628" s="381"/>
    </row>
    <row r="1629" spans="28:28" x14ac:dyDescent="0.25">
      <c r="AB1629" s="381"/>
    </row>
    <row r="1630" spans="28:28" x14ac:dyDescent="0.25">
      <c r="AB1630" s="381"/>
    </row>
    <row r="1631" spans="28:28" x14ac:dyDescent="0.25">
      <c r="AB1631" s="381"/>
    </row>
    <row r="1632" spans="28:28" x14ac:dyDescent="0.25">
      <c r="AB1632" s="381"/>
    </row>
    <row r="1633" spans="28:28" x14ac:dyDescent="0.25">
      <c r="AB1633" s="381"/>
    </row>
    <row r="1634" spans="28:28" x14ac:dyDescent="0.25">
      <c r="AB1634" s="381"/>
    </row>
    <row r="1635" spans="28:28" x14ac:dyDescent="0.25">
      <c r="AB1635" s="381"/>
    </row>
    <row r="1636" spans="28:28" x14ac:dyDescent="0.25">
      <c r="AB1636" s="381"/>
    </row>
    <row r="1637" spans="28:28" x14ac:dyDescent="0.25">
      <c r="AB1637" s="381"/>
    </row>
    <row r="1638" spans="28:28" x14ac:dyDescent="0.25">
      <c r="AB1638" s="381"/>
    </row>
    <row r="1639" spans="28:28" x14ac:dyDescent="0.25">
      <c r="AB1639" s="381"/>
    </row>
    <row r="1640" spans="28:28" x14ac:dyDescent="0.25">
      <c r="AB1640" s="381"/>
    </row>
    <row r="1641" spans="28:28" x14ac:dyDescent="0.25">
      <c r="AB1641" s="381"/>
    </row>
    <row r="1642" spans="28:28" x14ac:dyDescent="0.25">
      <c r="AB1642" s="381"/>
    </row>
    <row r="1643" spans="28:28" x14ac:dyDescent="0.25">
      <c r="AB1643" s="381"/>
    </row>
    <row r="1644" spans="28:28" x14ac:dyDescent="0.25">
      <c r="AB1644" s="381"/>
    </row>
    <row r="1645" spans="28:28" x14ac:dyDescent="0.25">
      <c r="AB1645" s="381"/>
    </row>
    <row r="1646" spans="28:28" x14ac:dyDescent="0.25">
      <c r="AB1646" s="381"/>
    </row>
    <row r="1647" spans="28:28" x14ac:dyDescent="0.25">
      <c r="AB1647" s="381"/>
    </row>
    <row r="1648" spans="28:28" x14ac:dyDescent="0.25">
      <c r="AB1648" s="381"/>
    </row>
    <row r="1649" spans="28:28" x14ac:dyDescent="0.25">
      <c r="AB1649" s="381"/>
    </row>
    <row r="1650" spans="28:28" x14ac:dyDescent="0.25">
      <c r="AB1650" s="381"/>
    </row>
    <row r="1651" spans="28:28" x14ac:dyDescent="0.25">
      <c r="AB1651" s="381"/>
    </row>
    <row r="1652" spans="28:28" x14ac:dyDescent="0.25">
      <c r="AB1652" s="381"/>
    </row>
    <row r="1653" spans="28:28" x14ac:dyDescent="0.25">
      <c r="AB1653" s="381"/>
    </row>
    <row r="1654" spans="28:28" x14ac:dyDescent="0.25">
      <c r="AB1654" s="381"/>
    </row>
    <row r="1655" spans="28:28" x14ac:dyDescent="0.25">
      <c r="AB1655" s="381"/>
    </row>
    <row r="1656" spans="28:28" x14ac:dyDescent="0.25">
      <c r="AB1656" s="381"/>
    </row>
    <row r="1657" spans="28:28" x14ac:dyDescent="0.25">
      <c r="AB1657" s="381"/>
    </row>
    <row r="1658" spans="28:28" x14ac:dyDescent="0.25">
      <c r="AB1658" s="381"/>
    </row>
    <row r="1659" spans="28:28" x14ac:dyDescent="0.25">
      <c r="AB1659" s="381"/>
    </row>
    <row r="1660" spans="28:28" x14ac:dyDescent="0.25">
      <c r="AB1660" s="381"/>
    </row>
    <row r="1661" spans="28:28" x14ac:dyDescent="0.25">
      <c r="AB1661" s="381"/>
    </row>
    <row r="1662" spans="28:28" x14ac:dyDescent="0.25">
      <c r="AB1662" s="381"/>
    </row>
    <row r="1663" spans="28:28" x14ac:dyDescent="0.25">
      <c r="AB1663" s="381"/>
    </row>
    <row r="1664" spans="28:28" x14ac:dyDescent="0.25">
      <c r="AB1664" s="381"/>
    </row>
    <row r="1665" spans="28:28" x14ac:dyDescent="0.25">
      <c r="AB1665" s="381"/>
    </row>
    <row r="1666" spans="28:28" x14ac:dyDescent="0.25">
      <c r="AB1666" s="381"/>
    </row>
    <row r="1667" spans="28:28" x14ac:dyDescent="0.25">
      <c r="AB1667" s="381"/>
    </row>
    <row r="1668" spans="28:28" x14ac:dyDescent="0.25">
      <c r="AB1668" s="381"/>
    </row>
    <row r="1669" spans="28:28" x14ac:dyDescent="0.25">
      <c r="AB1669" s="381"/>
    </row>
    <row r="1670" spans="28:28" x14ac:dyDescent="0.25">
      <c r="AB1670" s="381"/>
    </row>
    <row r="1671" spans="28:28" x14ac:dyDescent="0.25">
      <c r="AB1671" s="381"/>
    </row>
    <row r="1672" spans="28:28" x14ac:dyDescent="0.25">
      <c r="AB1672" s="381"/>
    </row>
    <row r="1673" spans="28:28" x14ac:dyDescent="0.25">
      <c r="AB1673" s="381"/>
    </row>
    <row r="1674" spans="28:28" x14ac:dyDescent="0.25">
      <c r="AB1674" s="381"/>
    </row>
    <row r="1675" spans="28:28" x14ac:dyDescent="0.25">
      <c r="AB1675" s="381"/>
    </row>
    <row r="1676" spans="28:28" x14ac:dyDescent="0.25">
      <c r="AB1676" s="381"/>
    </row>
    <row r="1677" spans="28:28" x14ac:dyDescent="0.25">
      <c r="AB1677" s="381"/>
    </row>
    <row r="1678" spans="28:28" x14ac:dyDescent="0.25">
      <c r="AB1678" s="381"/>
    </row>
    <row r="1679" spans="28:28" x14ac:dyDescent="0.25">
      <c r="AB1679" s="381"/>
    </row>
    <row r="1680" spans="28:28" x14ac:dyDescent="0.25">
      <c r="AB1680" s="381"/>
    </row>
    <row r="1681" spans="28:28" x14ac:dyDescent="0.25">
      <c r="AB1681" s="381"/>
    </row>
    <row r="1682" spans="28:28" x14ac:dyDescent="0.25">
      <c r="AB1682" s="381"/>
    </row>
    <row r="1683" spans="28:28" x14ac:dyDescent="0.25">
      <c r="AB1683" s="381"/>
    </row>
    <row r="1684" spans="28:28" x14ac:dyDescent="0.25">
      <c r="AB1684" s="381"/>
    </row>
    <row r="1685" spans="28:28" x14ac:dyDescent="0.25">
      <c r="AB1685" s="381"/>
    </row>
    <row r="1686" spans="28:28" x14ac:dyDescent="0.25">
      <c r="AB1686" s="381"/>
    </row>
    <row r="1687" spans="28:28" x14ac:dyDescent="0.25">
      <c r="AB1687" s="381"/>
    </row>
    <row r="1688" spans="28:28" x14ac:dyDescent="0.25">
      <c r="AB1688" s="381"/>
    </row>
    <row r="1689" spans="28:28" x14ac:dyDescent="0.25">
      <c r="AB1689" s="381"/>
    </row>
    <row r="1690" spans="28:28" x14ac:dyDescent="0.25">
      <c r="AB1690" s="381"/>
    </row>
    <row r="1691" spans="28:28" x14ac:dyDescent="0.25">
      <c r="AB1691" s="381"/>
    </row>
    <row r="1692" spans="28:28" x14ac:dyDescent="0.25">
      <c r="AB1692" s="381"/>
    </row>
    <row r="1693" spans="28:28" x14ac:dyDescent="0.25">
      <c r="AB1693" s="381"/>
    </row>
    <row r="1694" spans="28:28" x14ac:dyDescent="0.25">
      <c r="AB1694" s="381"/>
    </row>
    <row r="1695" spans="28:28" x14ac:dyDescent="0.25">
      <c r="AB1695" s="381"/>
    </row>
    <row r="1696" spans="28:28" x14ac:dyDescent="0.25">
      <c r="AB1696" s="381"/>
    </row>
    <row r="1697" spans="28:28" x14ac:dyDescent="0.25">
      <c r="AB1697" s="381"/>
    </row>
    <row r="1698" spans="28:28" x14ac:dyDescent="0.25">
      <c r="AB1698" s="381"/>
    </row>
    <row r="1699" spans="28:28" x14ac:dyDescent="0.25">
      <c r="AB1699" s="381"/>
    </row>
    <row r="1700" spans="28:28" x14ac:dyDescent="0.25">
      <c r="AB1700" s="381"/>
    </row>
    <row r="1701" spans="28:28" x14ac:dyDescent="0.25">
      <c r="AB1701" s="381"/>
    </row>
    <row r="1702" spans="28:28" x14ac:dyDescent="0.25">
      <c r="AB1702" s="381"/>
    </row>
    <row r="1703" spans="28:28" x14ac:dyDescent="0.25">
      <c r="AB1703" s="381"/>
    </row>
    <row r="1704" spans="28:28" x14ac:dyDescent="0.25">
      <c r="AB1704" s="381"/>
    </row>
    <row r="1705" spans="28:28" x14ac:dyDescent="0.25">
      <c r="AB1705" s="381"/>
    </row>
    <row r="1706" spans="28:28" x14ac:dyDescent="0.25">
      <c r="AB1706" s="381"/>
    </row>
    <row r="1707" spans="28:28" x14ac:dyDescent="0.25">
      <c r="AB1707" s="381"/>
    </row>
    <row r="1708" spans="28:28" x14ac:dyDescent="0.25">
      <c r="AB1708" s="381"/>
    </row>
    <row r="1709" spans="28:28" x14ac:dyDescent="0.25">
      <c r="AB1709" s="381"/>
    </row>
    <row r="1710" spans="28:28" x14ac:dyDescent="0.25">
      <c r="AB1710" s="381"/>
    </row>
    <row r="1711" spans="28:28" x14ac:dyDescent="0.25">
      <c r="AB1711" s="381"/>
    </row>
    <row r="1712" spans="28:28" x14ac:dyDescent="0.25">
      <c r="AB1712" s="381"/>
    </row>
    <row r="1713" spans="28:28" x14ac:dyDescent="0.25">
      <c r="AB1713" s="381"/>
    </row>
    <row r="1714" spans="28:28" x14ac:dyDescent="0.25">
      <c r="AB1714" s="381"/>
    </row>
    <row r="1715" spans="28:28" x14ac:dyDescent="0.25">
      <c r="AB1715" s="381"/>
    </row>
    <row r="1716" spans="28:28" x14ac:dyDescent="0.25">
      <c r="AB1716" s="381"/>
    </row>
    <row r="1717" spans="28:28" x14ac:dyDescent="0.25">
      <c r="AB1717" s="381"/>
    </row>
    <row r="1718" spans="28:28" x14ac:dyDescent="0.25">
      <c r="AB1718" s="381"/>
    </row>
    <row r="1719" spans="28:28" x14ac:dyDescent="0.25">
      <c r="AB1719" s="381"/>
    </row>
    <row r="1720" spans="28:28" x14ac:dyDescent="0.25">
      <c r="AB1720" s="381"/>
    </row>
    <row r="1721" spans="28:28" x14ac:dyDescent="0.25">
      <c r="AB1721" s="381"/>
    </row>
    <row r="1722" spans="28:28" x14ac:dyDescent="0.25">
      <c r="AB1722" s="381"/>
    </row>
    <row r="1723" spans="28:28" x14ac:dyDescent="0.25">
      <c r="AB1723" s="381"/>
    </row>
    <row r="1724" spans="28:28" x14ac:dyDescent="0.25">
      <c r="AB1724" s="381"/>
    </row>
    <row r="1725" spans="28:28" x14ac:dyDescent="0.25">
      <c r="AB1725" s="381"/>
    </row>
    <row r="1726" spans="28:28" x14ac:dyDescent="0.25">
      <c r="AB1726" s="381"/>
    </row>
    <row r="1727" spans="28:28" x14ac:dyDescent="0.25">
      <c r="AB1727" s="381"/>
    </row>
    <row r="1728" spans="28:28" x14ac:dyDescent="0.25">
      <c r="AB1728" s="381"/>
    </row>
    <row r="1729" spans="28:28" x14ac:dyDescent="0.25">
      <c r="AB1729" s="381"/>
    </row>
    <row r="1730" spans="28:28" x14ac:dyDescent="0.25">
      <c r="AB1730" s="381"/>
    </row>
    <row r="1731" spans="28:28" x14ac:dyDescent="0.25">
      <c r="AB1731" s="381"/>
    </row>
    <row r="1732" spans="28:28" x14ac:dyDescent="0.25">
      <c r="AB1732" s="381"/>
    </row>
    <row r="1733" spans="28:28" x14ac:dyDescent="0.25">
      <c r="AB1733" s="381"/>
    </row>
    <row r="1734" spans="28:28" x14ac:dyDescent="0.25">
      <c r="AB1734" s="381"/>
    </row>
    <row r="1735" spans="28:28" x14ac:dyDescent="0.25">
      <c r="AB1735" s="381"/>
    </row>
    <row r="1736" spans="28:28" x14ac:dyDescent="0.25">
      <c r="AB1736" s="381"/>
    </row>
    <row r="1737" spans="28:28" x14ac:dyDescent="0.25">
      <c r="AB1737" s="381"/>
    </row>
    <row r="1738" spans="28:28" x14ac:dyDescent="0.25">
      <c r="AB1738" s="381"/>
    </row>
    <row r="1739" spans="28:28" x14ac:dyDescent="0.25">
      <c r="AB1739" s="381"/>
    </row>
    <row r="1740" spans="28:28" x14ac:dyDescent="0.25">
      <c r="AB1740" s="381"/>
    </row>
    <row r="1741" spans="28:28" x14ac:dyDescent="0.25">
      <c r="AB1741" s="381"/>
    </row>
    <row r="1742" spans="28:28" x14ac:dyDescent="0.25">
      <c r="AB1742" s="381"/>
    </row>
    <row r="1743" spans="28:28" x14ac:dyDescent="0.25">
      <c r="AB1743" s="381"/>
    </row>
    <row r="1744" spans="28:28" x14ac:dyDescent="0.25">
      <c r="AB1744" s="381"/>
    </row>
    <row r="1745" spans="28:28" x14ac:dyDescent="0.25">
      <c r="AB1745" s="381"/>
    </row>
    <row r="1746" spans="28:28" x14ac:dyDescent="0.25">
      <c r="AB1746" s="381"/>
    </row>
    <row r="1747" spans="28:28" x14ac:dyDescent="0.25">
      <c r="AB1747" s="381"/>
    </row>
    <row r="1748" spans="28:28" x14ac:dyDescent="0.25">
      <c r="AB1748" s="381"/>
    </row>
    <row r="1749" spans="28:28" x14ac:dyDescent="0.25">
      <c r="AB1749" s="381"/>
    </row>
    <row r="1750" spans="28:28" x14ac:dyDescent="0.25">
      <c r="AB1750" s="381"/>
    </row>
    <row r="1751" spans="28:28" x14ac:dyDescent="0.25">
      <c r="AB1751" s="381"/>
    </row>
    <row r="1752" spans="28:28" x14ac:dyDescent="0.25">
      <c r="AB1752" s="381"/>
    </row>
    <row r="1753" spans="28:28" x14ac:dyDescent="0.25">
      <c r="AB1753" s="381"/>
    </row>
    <row r="1754" spans="28:28" x14ac:dyDescent="0.25">
      <c r="AB1754" s="381"/>
    </row>
    <row r="1755" spans="28:28" x14ac:dyDescent="0.25">
      <c r="AB1755" s="381"/>
    </row>
    <row r="1756" spans="28:28" x14ac:dyDescent="0.25">
      <c r="AB1756" s="381"/>
    </row>
    <row r="1757" spans="28:28" x14ac:dyDescent="0.25">
      <c r="AB1757" s="381"/>
    </row>
    <row r="1758" spans="28:28" x14ac:dyDescent="0.25">
      <c r="AB1758" s="381"/>
    </row>
    <row r="1759" spans="28:28" x14ac:dyDescent="0.25">
      <c r="AB1759" s="381"/>
    </row>
    <row r="1760" spans="28:28" x14ac:dyDescent="0.25">
      <c r="AB1760" s="381"/>
    </row>
    <row r="1761" spans="28:28" x14ac:dyDescent="0.25">
      <c r="AB1761" s="381"/>
    </row>
    <row r="1762" spans="28:28" x14ac:dyDescent="0.25">
      <c r="AB1762" s="381"/>
    </row>
    <row r="1763" spans="28:28" x14ac:dyDescent="0.25">
      <c r="AB1763" s="381"/>
    </row>
    <row r="1764" spans="28:28" x14ac:dyDescent="0.25">
      <c r="AB1764" s="381"/>
    </row>
    <row r="1765" spans="28:28" x14ac:dyDescent="0.25">
      <c r="AB1765" s="381"/>
    </row>
    <row r="1766" spans="28:28" x14ac:dyDescent="0.25">
      <c r="AB1766" s="381"/>
    </row>
    <row r="1767" spans="28:28" x14ac:dyDescent="0.25">
      <c r="AB1767" s="381"/>
    </row>
    <row r="1768" spans="28:28" x14ac:dyDescent="0.25">
      <c r="AB1768" s="381"/>
    </row>
    <row r="1769" spans="28:28" x14ac:dyDescent="0.25">
      <c r="AB1769" s="381"/>
    </row>
    <row r="1770" spans="28:28" x14ac:dyDescent="0.25">
      <c r="AB1770" s="381"/>
    </row>
    <row r="1771" spans="28:28" x14ac:dyDescent="0.25">
      <c r="AB1771" s="381"/>
    </row>
    <row r="1772" spans="28:28" x14ac:dyDescent="0.25">
      <c r="AB1772" s="381"/>
    </row>
    <row r="1773" spans="28:28" x14ac:dyDescent="0.25">
      <c r="AB1773" s="381"/>
    </row>
    <row r="1774" spans="28:28" x14ac:dyDescent="0.25">
      <c r="AB1774" s="381"/>
    </row>
    <row r="1775" spans="28:28" x14ac:dyDescent="0.25">
      <c r="AB1775" s="381"/>
    </row>
    <row r="1776" spans="28:28" x14ac:dyDescent="0.25">
      <c r="AB1776" s="381"/>
    </row>
    <row r="1777" spans="28:28" x14ac:dyDescent="0.25">
      <c r="AB1777" s="381"/>
    </row>
    <row r="1778" spans="28:28" x14ac:dyDescent="0.25">
      <c r="AB1778" s="381"/>
    </row>
    <row r="1779" spans="28:28" x14ac:dyDescent="0.25">
      <c r="AB1779" s="381"/>
    </row>
    <row r="1780" spans="28:28" x14ac:dyDescent="0.25">
      <c r="AB1780" s="381"/>
    </row>
    <row r="1781" spans="28:28" x14ac:dyDescent="0.25">
      <c r="AB1781" s="381"/>
    </row>
    <row r="1782" spans="28:28" x14ac:dyDescent="0.25">
      <c r="AB1782" s="381"/>
    </row>
    <row r="1783" spans="28:28" x14ac:dyDescent="0.25">
      <c r="AB1783" s="381"/>
    </row>
    <row r="1784" spans="28:28" x14ac:dyDescent="0.25">
      <c r="AB1784" s="381"/>
    </row>
    <row r="1785" spans="28:28" x14ac:dyDescent="0.25">
      <c r="AB1785" s="381"/>
    </row>
    <row r="1786" spans="28:28" x14ac:dyDescent="0.25">
      <c r="AB1786" s="381"/>
    </row>
    <row r="1787" spans="28:28" x14ac:dyDescent="0.25">
      <c r="AB1787" s="381"/>
    </row>
    <row r="1788" spans="28:28" x14ac:dyDescent="0.25">
      <c r="AB1788" s="381"/>
    </row>
    <row r="1789" spans="28:28" x14ac:dyDescent="0.25">
      <c r="AB1789" s="381"/>
    </row>
    <row r="1790" spans="28:28" x14ac:dyDescent="0.25">
      <c r="AB1790" s="381"/>
    </row>
    <row r="1791" spans="28:28" x14ac:dyDescent="0.25">
      <c r="AB1791" s="381"/>
    </row>
    <row r="1792" spans="28:28" x14ac:dyDescent="0.25">
      <c r="AB1792" s="381"/>
    </row>
    <row r="1793" spans="28:28" x14ac:dyDescent="0.25">
      <c r="AB1793" s="381"/>
    </row>
    <row r="1794" spans="28:28" x14ac:dyDescent="0.25">
      <c r="AB1794" s="381"/>
    </row>
    <row r="1795" spans="28:28" x14ac:dyDescent="0.25">
      <c r="AB1795" s="381"/>
    </row>
    <row r="1796" spans="28:28" x14ac:dyDescent="0.25">
      <c r="AB1796" s="381"/>
    </row>
    <row r="1797" spans="28:28" x14ac:dyDescent="0.25">
      <c r="AB1797" s="381"/>
    </row>
    <row r="1798" spans="28:28" x14ac:dyDescent="0.25">
      <c r="AB1798" s="381"/>
    </row>
    <row r="1799" spans="28:28" x14ac:dyDescent="0.25">
      <c r="AB1799" s="381"/>
    </row>
    <row r="1800" spans="28:28" x14ac:dyDescent="0.25">
      <c r="AB1800" s="381"/>
    </row>
    <row r="1801" spans="28:28" x14ac:dyDescent="0.25">
      <c r="AB1801" s="381"/>
    </row>
    <row r="1802" spans="28:28" x14ac:dyDescent="0.25">
      <c r="AB1802" s="381"/>
    </row>
    <row r="1803" spans="28:28" x14ac:dyDescent="0.25">
      <c r="AB1803" s="381"/>
    </row>
    <row r="1804" spans="28:28" x14ac:dyDescent="0.25">
      <c r="AB1804" s="381"/>
    </row>
    <row r="1805" spans="28:28" x14ac:dyDescent="0.25">
      <c r="AB1805" s="381"/>
    </row>
    <row r="1806" spans="28:28" x14ac:dyDescent="0.25">
      <c r="AB1806" s="381"/>
    </row>
    <row r="1807" spans="28:28" x14ac:dyDescent="0.25">
      <c r="AB1807" s="381"/>
    </row>
    <row r="1808" spans="28:28" x14ac:dyDescent="0.25">
      <c r="AB1808" s="381"/>
    </row>
    <row r="1809" spans="28:28" x14ac:dyDescent="0.25">
      <c r="AB1809" s="381"/>
    </row>
    <row r="1810" spans="28:28" x14ac:dyDescent="0.25">
      <c r="AB1810" s="381"/>
    </row>
    <row r="1811" spans="28:28" x14ac:dyDescent="0.25">
      <c r="AB1811" s="381"/>
    </row>
    <row r="1812" spans="28:28" x14ac:dyDescent="0.25">
      <c r="AB1812" s="381"/>
    </row>
    <row r="1813" spans="28:28" x14ac:dyDescent="0.25">
      <c r="AB1813" s="381"/>
    </row>
    <row r="1814" spans="28:28" x14ac:dyDescent="0.25">
      <c r="AB1814" s="381"/>
    </row>
    <row r="1815" spans="28:28" x14ac:dyDescent="0.25">
      <c r="AB1815" s="381"/>
    </row>
    <row r="1816" spans="28:28" x14ac:dyDescent="0.25">
      <c r="AB1816" s="381"/>
    </row>
    <row r="1817" spans="28:28" x14ac:dyDescent="0.25">
      <c r="AB1817" s="381"/>
    </row>
    <row r="1818" spans="28:28" x14ac:dyDescent="0.25">
      <c r="AB1818" s="381"/>
    </row>
    <row r="1819" spans="28:28" x14ac:dyDescent="0.25">
      <c r="AB1819" s="381"/>
    </row>
    <row r="1820" spans="28:28" x14ac:dyDescent="0.25">
      <c r="AB1820" s="381"/>
    </row>
    <row r="1821" spans="28:28" x14ac:dyDescent="0.25">
      <c r="AB1821" s="381"/>
    </row>
    <row r="1822" spans="28:28" x14ac:dyDescent="0.25">
      <c r="AB1822" s="381"/>
    </row>
    <row r="1823" spans="28:28" x14ac:dyDescent="0.25">
      <c r="AB1823" s="381"/>
    </row>
    <row r="1824" spans="28:28" x14ac:dyDescent="0.25">
      <c r="AB1824" s="381"/>
    </row>
    <row r="1825" spans="28:28" x14ac:dyDescent="0.25">
      <c r="AB1825" s="381"/>
    </row>
    <row r="1826" spans="28:28" x14ac:dyDescent="0.25">
      <c r="AB1826" s="381"/>
    </row>
    <row r="1827" spans="28:28" x14ac:dyDescent="0.25">
      <c r="AB1827" s="381"/>
    </row>
    <row r="1828" spans="28:28" x14ac:dyDescent="0.25">
      <c r="AB1828" s="381"/>
    </row>
    <row r="1829" spans="28:28" x14ac:dyDescent="0.25">
      <c r="AB1829" s="381"/>
    </row>
    <row r="1830" spans="28:28" x14ac:dyDescent="0.25">
      <c r="AB1830" s="381"/>
    </row>
    <row r="1831" spans="28:28" x14ac:dyDescent="0.25">
      <c r="AB1831" s="381"/>
    </row>
    <row r="1832" spans="28:28" x14ac:dyDescent="0.25">
      <c r="AB1832" s="381"/>
    </row>
    <row r="1833" spans="28:28" x14ac:dyDescent="0.25">
      <c r="AB1833" s="381"/>
    </row>
    <row r="1834" spans="28:28" x14ac:dyDescent="0.25">
      <c r="AB1834" s="381"/>
    </row>
    <row r="1835" spans="28:28" x14ac:dyDescent="0.25">
      <c r="AB1835" s="381"/>
    </row>
    <row r="1836" spans="28:28" x14ac:dyDescent="0.25">
      <c r="AB1836" s="381"/>
    </row>
    <row r="1837" spans="28:28" x14ac:dyDescent="0.25">
      <c r="AB1837" s="381"/>
    </row>
    <row r="1838" spans="28:28" x14ac:dyDescent="0.25">
      <c r="AB1838" s="381"/>
    </row>
    <row r="1839" spans="28:28" x14ac:dyDescent="0.25">
      <c r="AB1839" s="381"/>
    </row>
    <row r="1840" spans="28:28" x14ac:dyDescent="0.25">
      <c r="AB1840" s="381"/>
    </row>
    <row r="1841" spans="28:28" x14ac:dyDescent="0.25">
      <c r="AB1841" s="381"/>
    </row>
    <row r="1842" spans="28:28" x14ac:dyDescent="0.25">
      <c r="AB1842" s="381"/>
    </row>
    <row r="1843" spans="28:28" x14ac:dyDescent="0.25">
      <c r="AB1843" s="381"/>
    </row>
    <row r="1844" spans="28:28" x14ac:dyDescent="0.25">
      <c r="AB1844" s="381"/>
    </row>
    <row r="1845" spans="28:28" x14ac:dyDescent="0.25">
      <c r="AB1845" s="381"/>
    </row>
    <row r="1846" spans="28:28" x14ac:dyDescent="0.25">
      <c r="AB1846" s="381"/>
    </row>
    <row r="1847" spans="28:28" x14ac:dyDescent="0.25">
      <c r="AB1847" s="381"/>
    </row>
    <row r="1848" spans="28:28" x14ac:dyDescent="0.25">
      <c r="AB1848" s="381"/>
    </row>
    <row r="1849" spans="28:28" x14ac:dyDescent="0.25">
      <c r="AB1849" s="381"/>
    </row>
    <row r="1850" spans="28:28" x14ac:dyDescent="0.25">
      <c r="AB1850" s="381"/>
    </row>
    <row r="1851" spans="28:28" x14ac:dyDescent="0.25">
      <c r="AB1851" s="381"/>
    </row>
    <row r="1852" spans="28:28" x14ac:dyDescent="0.25">
      <c r="AB1852" s="381"/>
    </row>
    <row r="1853" spans="28:28" x14ac:dyDescent="0.25">
      <c r="AB1853" s="381"/>
    </row>
    <row r="1854" spans="28:28" x14ac:dyDescent="0.25">
      <c r="AB1854" s="381"/>
    </row>
    <row r="1855" spans="28:28" x14ac:dyDescent="0.25">
      <c r="AB1855" s="381"/>
    </row>
    <row r="1856" spans="28:28" x14ac:dyDescent="0.25">
      <c r="AB1856" s="381"/>
    </row>
    <row r="1857" spans="28:28" x14ac:dyDescent="0.25">
      <c r="AB1857" s="381"/>
    </row>
    <row r="1858" spans="28:28" x14ac:dyDescent="0.25">
      <c r="AB1858" s="381"/>
    </row>
    <row r="1859" spans="28:28" x14ac:dyDescent="0.25">
      <c r="AB1859" s="381"/>
    </row>
    <row r="1860" spans="28:28" x14ac:dyDescent="0.25">
      <c r="AB1860" s="381"/>
    </row>
    <row r="1861" spans="28:28" x14ac:dyDescent="0.25">
      <c r="AB1861" s="381"/>
    </row>
    <row r="1862" spans="28:28" x14ac:dyDescent="0.25">
      <c r="AB1862" s="381"/>
    </row>
    <row r="1863" spans="28:28" x14ac:dyDescent="0.25">
      <c r="AB1863" s="381"/>
    </row>
    <row r="1864" spans="28:28" x14ac:dyDescent="0.25">
      <c r="AB1864" s="381"/>
    </row>
    <row r="1865" spans="28:28" x14ac:dyDescent="0.25">
      <c r="AB1865" s="381"/>
    </row>
    <row r="1866" spans="28:28" x14ac:dyDescent="0.25">
      <c r="AB1866" s="381"/>
    </row>
    <row r="1867" spans="28:28" x14ac:dyDescent="0.25">
      <c r="AB1867" s="381"/>
    </row>
    <row r="1868" spans="28:28" x14ac:dyDescent="0.25">
      <c r="AB1868" s="381"/>
    </row>
    <row r="1869" spans="28:28" x14ac:dyDescent="0.25">
      <c r="AB1869" s="381"/>
    </row>
    <row r="1870" spans="28:28" x14ac:dyDescent="0.25">
      <c r="AB1870" s="381"/>
    </row>
    <row r="1871" spans="28:28" x14ac:dyDescent="0.25">
      <c r="AB1871" s="381"/>
    </row>
    <row r="1872" spans="28:28" x14ac:dyDescent="0.25">
      <c r="AB1872" s="381"/>
    </row>
    <row r="1873" spans="28:28" x14ac:dyDescent="0.25">
      <c r="AB1873" s="381"/>
    </row>
    <row r="1874" spans="28:28" x14ac:dyDescent="0.25">
      <c r="AB1874" s="381"/>
    </row>
    <row r="1875" spans="28:28" x14ac:dyDescent="0.25">
      <c r="AB1875" s="381"/>
    </row>
    <row r="1876" spans="28:28" x14ac:dyDescent="0.25">
      <c r="AB1876" s="381"/>
    </row>
    <row r="1877" spans="28:28" x14ac:dyDescent="0.25">
      <c r="AB1877" s="381"/>
    </row>
    <row r="1878" spans="28:28" x14ac:dyDescent="0.25">
      <c r="AB1878" s="381"/>
    </row>
    <row r="1879" spans="28:28" x14ac:dyDescent="0.25">
      <c r="AB1879" s="381"/>
    </row>
    <row r="1880" spans="28:28" x14ac:dyDescent="0.25">
      <c r="AB1880" s="381"/>
    </row>
    <row r="1881" spans="28:28" x14ac:dyDescent="0.25">
      <c r="AB1881" s="381"/>
    </row>
    <row r="1882" spans="28:28" x14ac:dyDescent="0.25">
      <c r="AB1882" s="381"/>
    </row>
    <row r="1883" spans="28:28" x14ac:dyDescent="0.25">
      <c r="AB1883" s="381"/>
    </row>
    <row r="1884" spans="28:28" x14ac:dyDescent="0.25">
      <c r="AB1884" s="381"/>
    </row>
    <row r="1885" spans="28:28" x14ac:dyDescent="0.25">
      <c r="AB1885" s="381"/>
    </row>
    <row r="1886" spans="28:28" x14ac:dyDescent="0.25">
      <c r="AB1886" s="381"/>
    </row>
    <row r="1887" spans="28:28" x14ac:dyDescent="0.25">
      <c r="AB1887" s="381"/>
    </row>
    <row r="1888" spans="28:28" x14ac:dyDescent="0.25">
      <c r="AB1888" s="381"/>
    </row>
    <row r="1889" spans="28:28" x14ac:dyDescent="0.25">
      <c r="AB1889" s="381"/>
    </row>
    <row r="1890" spans="28:28" x14ac:dyDescent="0.25">
      <c r="AB1890" s="381"/>
    </row>
    <row r="1891" spans="28:28" x14ac:dyDescent="0.25">
      <c r="AB1891" s="381"/>
    </row>
    <row r="1892" spans="28:28" x14ac:dyDescent="0.25">
      <c r="AB1892" s="381"/>
    </row>
    <row r="1893" spans="28:28" x14ac:dyDescent="0.25">
      <c r="AB1893" s="381"/>
    </row>
    <row r="1894" spans="28:28" x14ac:dyDescent="0.25">
      <c r="AB1894" s="381"/>
    </row>
    <row r="1895" spans="28:28" x14ac:dyDescent="0.25">
      <c r="AB1895" s="381"/>
    </row>
    <row r="1896" spans="28:28" x14ac:dyDescent="0.25">
      <c r="AB1896" s="381"/>
    </row>
    <row r="1897" spans="28:28" x14ac:dyDescent="0.25">
      <c r="AB1897" s="381"/>
    </row>
    <row r="1898" spans="28:28" x14ac:dyDescent="0.25">
      <c r="AB1898" s="381"/>
    </row>
    <row r="1899" spans="28:28" x14ac:dyDescent="0.25">
      <c r="AB1899" s="381"/>
    </row>
    <row r="1900" spans="28:28" x14ac:dyDescent="0.25">
      <c r="AB1900" s="381"/>
    </row>
    <row r="1901" spans="28:28" x14ac:dyDescent="0.25">
      <c r="AB1901" s="381"/>
    </row>
    <row r="1902" spans="28:28" x14ac:dyDescent="0.25">
      <c r="AB1902" s="381"/>
    </row>
    <row r="1903" spans="28:28" x14ac:dyDescent="0.25">
      <c r="AB1903" s="381"/>
    </row>
  </sheetData>
  <mergeCells count="1">
    <mergeCell ref="X8:X9"/>
  </mergeCells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2"/>
  <dimension ref="U1:AC1903"/>
  <sheetViews>
    <sheetView topLeftCell="W1" workbookViewId="0">
      <selection activeCell="W1" sqref="W1"/>
    </sheetView>
  </sheetViews>
  <sheetFormatPr defaultColWidth="0" defaultRowHeight="12.5" x14ac:dyDescent="0.25"/>
  <cols>
    <col min="1" max="20" width="9.26953125" style="11" hidden="1" customWidth="1"/>
    <col min="21" max="21" width="15" style="11" hidden="1" customWidth="1"/>
    <col min="22" max="22" width="8.453125" style="11" hidden="1" customWidth="1"/>
    <col min="23" max="23" width="2.7265625" style="11" customWidth="1"/>
    <col min="24" max="24" width="27.26953125" style="81" bestFit="1" customWidth="1"/>
    <col min="25" max="26" width="2.7265625" style="11" customWidth="1"/>
    <col min="27" max="28" width="20.7265625" style="382" customWidth="1"/>
    <col min="29" max="29" width="2.7265625" style="11" customWidth="1"/>
    <col min="30" max="16384" width="9.26953125" style="11" hidden="1"/>
  </cols>
  <sheetData>
    <row r="1" spans="24:28" ht="13.5" thickBot="1" x14ac:dyDescent="0.3">
      <c r="X1" s="358" t="s">
        <v>806</v>
      </c>
      <c r="AA1" s="380"/>
      <c r="AB1" s="380"/>
    </row>
    <row r="2" spans="24:28" ht="13" thickBot="1" x14ac:dyDescent="0.3">
      <c r="X2" s="82"/>
      <c r="AA2" s="381"/>
      <c r="AB2" s="381" t="str" cm="1">
        <f t="array" ref="AB2">IF(ISNUMBER(AA2), IFERROR(VALUE(RIGHT(AA2,LEN(AA2)-MIN(FIND({0;1;2;3;4;5;6;7;8;9},AA2&amp;"0123456789"))+1)),""), "")</f>
        <v/>
      </c>
    </row>
    <row r="3" spans="24:28" ht="13" x14ac:dyDescent="0.25">
      <c r="X3" s="83" t="s">
        <v>807</v>
      </c>
      <c r="AA3" s="381"/>
      <c r="AB3" s="381" t="str" cm="1">
        <f t="array" ref="AB3">IF(ISNUMBER(AA3), IFERROR(VALUE(RIGHT(AA3,LEN(AA3)-MIN(FIND({0;1;2;3;4;5;6;7;8;9},AA3&amp;"0123456789"))+1)),""), "")</f>
        <v/>
      </c>
    </row>
    <row r="4" spans="24:28" ht="13" thickBot="1" x14ac:dyDescent="0.3">
      <c r="X4" s="86"/>
      <c r="AA4" s="381"/>
      <c r="AB4" s="381" t="str" cm="1">
        <f t="array" ref="AB4">IF(ISNUMBER(AA4), IFERROR(VALUE(RIGHT(AA4,LEN(AA4)-MIN(FIND({0;1;2;3;4;5;6;7;8;9},AA4&amp;"0123456789"))+1)),""), "")</f>
        <v/>
      </c>
    </row>
    <row r="5" spans="24:28" ht="13" x14ac:dyDescent="0.25">
      <c r="X5" s="84" t="s">
        <v>808</v>
      </c>
      <c r="AA5" s="381"/>
      <c r="AB5" s="381" t="str" cm="1">
        <f t="array" ref="AB5">IF(ISNUMBER(AA5), IFERROR(VALUE(RIGHT(AA5,LEN(AA5)-MIN(FIND({0;1;2;3;4;5;6;7;8;9},AA5&amp;"0123456789"))+1)),""), "")</f>
        <v/>
      </c>
    </row>
    <row r="6" spans="24:28" ht="13" thickBot="1" x14ac:dyDescent="0.3">
      <c r="X6" s="85">
        <f>SUM(AB:AB)</f>
        <v>0</v>
      </c>
      <c r="AA6" s="381"/>
      <c r="AB6" s="381" t="str" cm="1">
        <f t="array" ref="AB6">IF(ISNUMBER(AA6), IFERROR(VALUE(RIGHT(AA6,LEN(AA6)-MIN(FIND({0;1;2;3;4;5;6;7;8;9},AA6&amp;"0123456789"))+1)),""), "")</f>
        <v/>
      </c>
    </row>
    <row r="7" spans="24:28" ht="13" thickBot="1" x14ac:dyDescent="0.3">
      <c r="AA7" s="381"/>
      <c r="AB7" s="381" t="str" cm="1">
        <f t="array" ref="AB7">IF(ISNUMBER(AA7), IFERROR(VALUE(RIGHT(AA7,LEN(AA7)-MIN(FIND({0;1;2;3;4;5;6;7;8;9},AA7&amp;"0123456789"))+1)),""), "")</f>
        <v/>
      </c>
    </row>
    <row r="8" spans="24:28" x14ac:dyDescent="0.25">
      <c r="X8" s="683" t="s">
        <v>810</v>
      </c>
      <c r="AA8" s="381"/>
      <c r="AB8" s="381" t="str" cm="1">
        <f t="array" ref="AB8">IF(ISNUMBER(AA8), IFERROR(VALUE(RIGHT(AA8,LEN(AA8)-MIN(FIND({0;1;2;3;4;5;6;7;8;9},AA8&amp;"0123456789"))+1)),""), "")</f>
        <v/>
      </c>
    </row>
    <row r="9" spans="24:28" ht="13" thickBot="1" x14ac:dyDescent="0.3">
      <c r="X9" s="684"/>
      <c r="AA9" s="381"/>
      <c r="AB9" s="381" t="str" cm="1">
        <f t="array" ref="AB9">IF(ISNUMBER(AA9), IFERROR(VALUE(RIGHT(AA9,LEN(AA9)-MIN(FIND({0;1;2;3;4;5;6;7;8;9},AA9&amp;"0123456789"))+1)),""), "")</f>
        <v/>
      </c>
    </row>
    <row r="10" spans="24:28" x14ac:dyDescent="0.25">
      <c r="AA10" s="381"/>
      <c r="AB10" s="381" t="str" cm="1">
        <f t="array" ref="AB10">IF(ISNUMBER(AA10), IFERROR(VALUE(RIGHT(AA10,LEN(AA10)-MIN(FIND({0;1;2;3;4;5;6;7;8;9},AA10&amp;"0123456789"))+1)),""), "")</f>
        <v/>
      </c>
    </row>
    <row r="11" spans="24:28" x14ac:dyDescent="0.25">
      <c r="AA11" s="381"/>
      <c r="AB11" s="381" t="str" cm="1">
        <f t="array" ref="AB11">IF(ISNUMBER(AA11), IFERROR(VALUE(RIGHT(AA11,LEN(AA11)-MIN(FIND({0;1;2;3;4;5;6;7;8;9},AA11&amp;"0123456789"))+1)),""), "")</f>
        <v/>
      </c>
    </row>
    <row r="12" spans="24:28" x14ac:dyDescent="0.25">
      <c r="AA12" s="381"/>
      <c r="AB12" s="381" t="str" cm="1">
        <f t="array" ref="AB12">IF(ISNUMBER(AA12), IFERROR(VALUE(RIGHT(AA12,LEN(AA12)-MIN(FIND({0;1;2;3;4;5;6;7;8;9},AA12&amp;"0123456789"))+1)),""), "")</f>
        <v/>
      </c>
    </row>
    <row r="13" spans="24:28" x14ac:dyDescent="0.25">
      <c r="AA13" s="381"/>
      <c r="AB13" s="381" t="str" cm="1">
        <f t="array" ref="AB13">IF(ISNUMBER(AA13), IFERROR(VALUE(RIGHT(AA13,LEN(AA13)-MIN(FIND({0;1;2;3;4;5;6;7;8;9},AA13&amp;"0123456789"))+1)),""), "")</f>
        <v/>
      </c>
    </row>
    <row r="14" spans="24:28" x14ac:dyDescent="0.25">
      <c r="AA14" s="381"/>
      <c r="AB14" s="381" t="str" cm="1">
        <f t="array" ref="AB14">IF(ISNUMBER(AA14), IFERROR(VALUE(RIGHT(AA14,LEN(AA14)-MIN(FIND({0;1;2;3;4;5;6;7;8;9},AA14&amp;"0123456789"))+1)),""), "")</f>
        <v/>
      </c>
    </row>
    <row r="15" spans="24:28" x14ac:dyDescent="0.25">
      <c r="AA15" s="381"/>
      <c r="AB15" s="381" t="str" cm="1">
        <f t="array" ref="AB15">IF(ISNUMBER(AA15), IFERROR(VALUE(RIGHT(AA15,LEN(AA15)-MIN(FIND({0;1;2;3;4;5;6;7;8;9},AA15&amp;"0123456789"))+1)),""), "")</f>
        <v/>
      </c>
    </row>
    <row r="16" spans="24:28" x14ac:dyDescent="0.25">
      <c r="AA16" s="381"/>
      <c r="AB16" s="381" t="str" cm="1">
        <f t="array" ref="AB16">IF(ISNUMBER(AA16), IFERROR(VALUE(RIGHT(AA16,LEN(AA16)-MIN(FIND({0;1;2;3;4;5;6;7;8;9},AA16&amp;"0123456789"))+1)),""), "")</f>
        <v/>
      </c>
    </row>
    <row r="17" spans="27:28" x14ac:dyDescent="0.25">
      <c r="AA17" s="381"/>
      <c r="AB17" s="381" t="str" cm="1">
        <f t="array" ref="AB17">IF(ISNUMBER(AA17), IFERROR(VALUE(RIGHT(AA17,LEN(AA17)-MIN(FIND({0;1;2;3;4;5;6;7;8;9},AA17&amp;"0123456789"))+1)),""), "")</f>
        <v/>
      </c>
    </row>
    <row r="18" spans="27:28" x14ac:dyDescent="0.25">
      <c r="AA18" s="381"/>
      <c r="AB18" s="381" t="str" cm="1">
        <f t="array" ref="AB18">IF(ISNUMBER(AA18), IFERROR(VALUE(RIGHT(AA18,LEN(AA18)-MIN(FIND({0;1;2;3;4;5;6;7;8;9},AA18&amp;"0123456789"))+1)),""), "")</f>
        <v/>
      </c>
    </row>
    <row r="19" spans="27:28" x14ac:dyDescent="0.25">
      <c r="AA19" s="381"/>
      <c r="AB19" s="381" t="str" cm="1">
        <f t="array" ref="AB19">IF(ISNUMBER(AA19), IFERROR(VALUE(RIGHT(AA19,LEN(AA19)-MIN(FIND({0;1;2;3;4;5;6;7;8;9},AA19&amp;"0123456789"))+1)),""), "")</f>
        <v/>
      </c>
    </row>
    <row r="20" spans="27:28" x14ac:dyDescent="0.25">
      <c r="AA20" s="381"/>
      <c r="AB20" s="381" t="str" cm="1">
        <f t="array" ref="AB20">IF(ISNUMBER(AA20), IFERROR(VALUE(RIGHT(AA20,LEN(AA20)-MIN(FIND({0;1;2;3;4;5;6;7;8;9},AA20&amp;"0123456789"))+1)),""), "")</f>
        <v/>
      </c>
    </row>
    <row r="21" spans="27:28" x14ac:dyDescent="0.25">
      <c r="AA21" s="381"/>
      <c r="AB21" s="381" t="str" cm="1">
        <f t="array" ref="AB21">IF(ISNUMBER(AA21), IFERROR(VALUE(RIGHT(AA21,LEN(AA21)-MIN(FIND({0;1;2;3;4;5;6;7;8;9},AA21&amp;"0123456789"))+1)),""), "")</f>
        <v/>
      </c>
    </row>
    <row r="22" spans="27:28" x14ac:dyDescent="0.25">
      <c r="AA22" s="381"/>
      <c r="AB22" s="381" t="str" cm="1">
        <f t="array" ref="AB22">IF(ISNUMBER(AA22), IFERROR(VALUE(RIGHT(AA22,LEN(AA22)-MIN(FIND({0;1;2;3;4;5;6;7;8;9},AA22&amp;"0123456789"))+1)),""), "")</f>
        <v/>
      </c>
    </row>
    <row r="23" spans="27:28" x14ac:dyDescent="0.25">
      <c r="AA23" s="381"/>
      <c r="AB23" s="381" t="str" cm="1">
        <f t="array" ref="AB23">IF(ISNUMBER(AA23), IFERROR(VALUE(RIGHT(AA23,LEN(AA23)-MIN(FIND({0;1;2;3;4;5;6;7;8;9},AA23&amp;"0123456789"))+1)),""), "")</f>
        <v/>
      </c>
    </row>
    <row r="24" spans="27:28" x14ac:dyDescent="0.25">
      <c r="AA24" s="381"/>
      <c r="AB24" s="381" t="str" cm="1">
        <f t="array" ref="AB24">IF(ISNUMBER(AA24), IFERROR(VALUE(RIGHT(AA24,LEN(AA24)-MIN(FIND({0;1;2;3;4;5;6;7;8;9},AA24&amp;"0123456789"))+1)),""), "")</f>
        <v/>
      </c>
    </row>
    <row r="25" spans="27:28" x14ac:dyDescent="0.25">
      <c r="AA25" s="381"/>
      <c r="AB25" s="381" t="str" cm="1">
        <f t="array" ref="AB25">IF(ISNUMBER(AA25), IFERROR(VALUE(RIGHT(AA25,LEN(AA25)-MIN(FIND({0;1;2;3;4;5;6;7;8;9},AA25&amp;"0123456789"))+1)),""), "")</f>
        <v/>
      </c>
    </row>
    <row r="26" spans="27:28" x14ac:dyDescent="0.25">
      <c r="AA26" s="381"/>
      <c r="AB26" s="381" t="str" cm="1">
        <f t="array" ref="AB26">IF(ISNUMBER(AA26), IFERROR(VALUE(RIGHT(AA26,LEN(AA26)-MIN(FIND({0;1;2;3;4;5;6;7;8;9},AA26&amp;"0123456789"))+1)),""), "")</f>
        <v/>
      </c>
    </row>
    <row r="27" spans="27:28" x14ac:dyDescent="0.25">
      <c r="AA27" s="381"/>
      <c r="AB27" s="381" t="str" cm="1">
        <f t="array" ref="AB27">IF(ISNUMBER(AA27), IFERROR(VALUE(RIGHT(AA27,LEN(AA27)-MIN(FIND({0;1;2;3;4;5;6;7;8;9},AA27&amp;"0123456789"))+1)),""), "")</f>
        <v/>
      </c>
    </row>
    <row r="28" spans="27:28" x14ac:dyDescent="0.25">
      <c r="AA28" s="381"/>
      <c r="AB28" s="381" t="str" cm="1">
        <f t="array" ref="AB28">IF(ISNUMBER(AA28), IFERROR(VALUE(RIGHT(AA28,LEN(AA28)-MIN(FIND({0;1;2;3;4;5;6;7;8;9},AA28&amp;"0123456789"))+1)),""), "")</f>
        <v/>
      </c>
    </row>
    <row r="29" spans="27:28" x14ac:dyDescent="0.25">
      <c r="AA29" s="381"/>
      <c r="AB29" s="381" t="str" cm="1">
        <f t="array" ref="AB29">IF(ISNUMBER(AA29), IFERROR(VALUE(RIGHT(AA29,LEN(AA29)-MIN(FIND({0;1;2;3;4;5;6;7;8;9},AA29&amp;"0123456789"))+1)),""), "")</f>
        <v/>
      </c>
    </row>
    <row r="30" spans="27:28" x14ac:dyDescent="0.25">
      <c r="AA30" s="381"/>
      <c r="AB30" s="381" t="str" cm="1">
        <f t="array" ref="AB30">IF(ISNUMBER(AA30), IFERROR(VALUE(RIGHT(AA30,LEN(AA30)-MIN(FIND({0;1;2;3;4;5;6;7;8;9},AA30&amp;"0123456789"))+1)),""), "")</f>
        <v/>
      </c>
    </row>
    <row r="31" spans="27:28" x14ac:dyDescent="0.25">
      <c r="AA31" s="381"/>
      <c r="AB31" s="381" t="str" cm="1">
        <f t="array" ref="AB31">IF(ISNUMBER(AA31), IFERROR(VALUE(RIGHT(AA31,LEN(AA31)-MIN(FIND({0;1;2;3;4;5;6;7;8;9},AA31&amp;"0123456789"))+1)),""), "")</f>
        <v/>
      </c>
    </row>
    <row r="32" spans="27:28" x14ac:dyDescent="0.25">
      <c r="AA32" s="381"/>
      <c r="AB32" s="381" t="str" cm="1">
        <f t="array" ref="AB32">IF(ISNUMBER(AA32), IFERROR(VALUE(RIGHT(AA32,LEN(AA32)-MIN(FIND({0;1;2;3;4;5;6;7;8;9},AA32&amp;"0123456789"))+1)),""), "")</f>
        <v/>
      </c>
    </row>
    <row r="33" spans="27:28" x14ac:dyDescent="0.25">
      <c r="AA33" s="381"/>
      <c r="AB33" s="381" t="str" cm="1">
        <f t="array" ref="AB33">IF(ISNUMBER(AA33), IFERROR(VALUE(RIGHT(AA33,LEN(AA33)-MIN(FIND({0;1;2;3;4;5;6;7;8;9},AA33&amp;"0123456789"))+1)),""), "")</f>
        <v/>
      </c>
    </row>
    <row r="34" spans="27:28" x14ac:dyDescent="0.25">
      <c r="AA34" s="381"/>
      <c r="AB34" s="381" t="str" cm="1">
        <f t="array" ref="AB34">IF(ISNUMBER(AA34), IFERROR(VALUE(RIGHT(AA34,LEN(AA34)-MIN(FIND({0;1;2;3;4;5;6;7;8;9},AA34&amp;"0123456789"))+1)),""), "")</f>
        <v/>
      </c>
    </row>
    <row r="35" spans="27:28" x14ac:dyDescent="0.25">
      <c r="AA35" s="381"/>
      <c r="AB35" s="381" t="str" cm="1">
        <f t="array" ref="AB35">IF(ISNUMBER(AA35), IFERROR(VALUE(RIGHT(AA35,LEN(AA35)-MIN(FIND({0;1;2;3;4;5;6;7;8;9},AA35&amp;"0123456789"))+1)),""), "")</f>
        <v/>
      </c>
    </row>
    <row r="36" spans="27:28" x14ac:dyDescent="0.25">
      <c r="AA36" s="381"/>
      <c r="AB36" s="381" t="str" cm="1">
        <f t="array" ref="AB36">IF(ISNUMBER(AA36), IFERROR(VALUE(RIGHT(AA36,LEN(AA36)-MIN(FIND({0;1;2;3;4;5;6;7;8;9},AA36&amp;"0123456789"))+1)),""), "")</f>
        <v/>
      </c>
    </row>
    <row r="37" spans="27:28" x14ac:dyDescent="0.25">
      <c r="AA37" s="381"/>
      <c r="AB37" s="381" t="str" cm="1">
        <f t="array" ref="AB37">IF(ISNUMBER(AA37), IFERROR(VALUE(RIGHT(AA37,LEN(AA37)-MIN(FIND({0;1;2;3;4;5;6;7;8;9},AA37&amp;"0123456789"))+1)),""), "")</f>
        <v/>
      </c>
    </row>
    <row r="38" spans="27:28" x14ac:dyDescent="0.25">
      <c r="AA38" s="381"/>
      <c r="AB38" s="381" t="str" cm="1">
        <f t="array" ref="AB38">IF(ISNUMBER(AA38), IFERROR(VALUE(RIGHT(AA38,LEN(AA38)-MIN(FIND({0;1;2;3;4;5;6;7;8;9},AA38&amp;"0123456789"))+1)),""), "")</f>
        <v/>
      </c>
    </row>
    <row r="39" spans="27:28" x14ac:dyDescent="0.25">
      <c r="AA39" s="381"/>
      <c r="AB39" s="381" t="str" cm="1">
        <f t="array" ref="AB39">IF(ISNUMBER(AA39), IFERROR(VALUE(RIGHT(AA39,LEN(AA39)-MIN(FIND({0;1;2;3;4;5;6;7;8;9},AA39&amp;"0123456789"))+1)),""), "")</f>
        <v/>
      </c>
    </row>
    <row r="40" spans="27:28" x14ac:dyDescent="0.25">
      <c r="AA40" s="381"/>
      <c r="AB40" s="381" t="str" cm="1">
        <f t="array" ref="AB40">IF(ISNUMBER(AA40), IFERROR(VALUE(RIGHT(AA40,LEN(AA40)-MIN(FIND({0;1;2;3;4;5;6;7;8;9},AA40&amp;"0123456789"))+1)),""), "")</f>
        <v/>
      </c>
    </row>
    <row r="41" spans="27:28" x14ac:dyDescent="0.25">
      <c r="AA41" s="381"/>
      <c r="AB41" s="381" t="str" cm="1">
        <f t="array" ref="AB41">IF(ISNUMBER(AA41), IFERROR(VALUE(RIGHT(AA41,LEN(AA41)-MIN(FIND({0;1;2;3;4;5;6;7;8;9},AA41&amp;"0123456789"))+1)),""), "")</f>
        <v/>
      </c>
    </row>
    <row r="42" spans="27:28" x14ac:dyDescent="0.25">
      <c r="AA42" s="381"/>
      <c r="AB42" s="381" t="str" cm="1">
        <f t="array" ref="AB42">IF(ISNUMBER(AA42), IFERROR(VALUE(RIGHT(AA42,LEN(AA42)-MIN(FIND({0;1;2;3;4;5;6;7;8;9},AA42&amp;"0123456789"))+1)),""), "")</f>
        <v/>
      </c>
    </row>
    <row r="43" spans="27:28" x14ac:dyDescent="0.25">
      <c r="AA43" s="381"/>
      <c r="AB43" s="381" t="str" cm="1">
        <f t="array" ref="AB43">IF(ISNUMBER(AA43), IFERROR(VALUE(RIGHT(AA43,LEN(AA43)-MIN(FIND({0;1;2;3;4;5;6;7;8;9},AA43&amp;"0123456789"))+1)),""), "")</f>
        <v/>
      </c>
    </row>
    <row r="44" spans="27:28" x14ac:dyDescent="0.25">
      <c r="AA44" s="381"/>
      <c r="AB44" s="381" t="str" cm="1">
        <f t="array" ref="AB44">IF(ISNUMBER(AA44), IFERROR(VALUE(RIGHT(AA44,LEN(AA44)-MIN(FIND({0;1;2;3;4;5;6;7;8;9},AA44&amp;"0123456789"))+1)),""), "")</f>
        <v/>
      </c>
    </row>
    <row r="45" spans="27:28" x14ac:dyDescent="0.25">
      <c r="AA45" s="381"/>
      <c r="AB45" s="381" t="str" cm="1">
        <f t="array" ref="AB45">IF(ISNUMBER(AA45), IFERROR(VALUE(RIGHT(AA45,LEN(AA45)-MIN(FIND({0;1;2;3;4;5;6;7;8;9},AA45&amp;"0123456789"))+1)),""), "")</f>
        <v/>
      </c>
    </row>
    <row r="46" spans="27:28" x14ac:dyDescent="0.25">
      <c r="AA46" s="381"/>
      <c r="AB46" s="381" t="str" cm="1">
        <f t="array" ref="AB46">IF(ISNUMBER(AA46), IFERROR(VALUE(RIGHT(AA46,LEN(AA46)-MIN(FIND({0;1;2;3;4;5;6;7;8;9},AA46&amp;"0123456789"))+1)),""), "")</f>
        <v/>
      </c>
    </row>
    <row r="47" spans="27:28" x14ac:dyDescent="0.25">
      <c r="AA47" s="381"/>
      <c r="AB47" s="381" t="str" cm="1">
        <f t="array" ref="AB47">IF(ISNUMBER(AA47), IFERROR(VALUE(RIGHT(AA47,LEN(AA47)-MIN(FIND({0;1;2;3;4;5;6;7;8;9},AA47&amp;"0123456789"))+1)),""), "")</f>
        <v/>
      </c>
    </row>
    <row r="48" spans="27:28" x14ac:dyDescent="0.25">
      <c r="AA48" s="381"/>
      <c r="AB48" s="381" t="str" cm="1">
        <f t="array" ref="AB48">IF(ISNUMBER(AA48), IFERROR(VALUE(RIGHT(AA48,LEN(AA48)-MIN(FIND({0;1;2;3;4;5;6;7;8;9},AA48&amp;"0123456789"))+1)),""), "")</f>
        <v/>
      </c>
    </row>
    <row r="49" spans="27:28" x14ac:dyDescent="0.25">
      <c r="AA49" s="381"/>
      <c r="AB49" s="381" t="str" cm="1">
        <f t="array" ref="AB49">IF(ISNUMBER(AA49), IFERROR(VALUE(RIGHT(AA49,LEN(AA49)-MIN(FIND({0;1;2;3;4;5;6;7;8;9},AA49&amp;"0123456789"))+1)),""), "")</f>
        <v/>
      </c>
    </row>
    <row r="50" spans="27:28" x14ac:dyDescent="0.25">
      <c r="AA50" s="381"/>
      <c r="AB50" s="381" t="str" cm="1">
        <f t="array" ref="AB50">IF(ISNUMBER(AA50), IFERROR(VALUE(RIGHT(AA50,LEN(AA50)-MIN(FIND({0;1;2;3;4;5;6;7;8;9},AA50&amp;"0123456789"))+1)),""), "")</f>
        <v/>
      </c>
    </row>
    <row r="51" spans="27:28" x14ac:dyDescent="0.25">
      <c r="AA51" s="381"/>
      <c r="AB51" s="381" t="str" cm="1">
        <f t="array" ref="AB51">IF(ISNUMBER(AA51), IFERROR(VALUE(RIGHT(AA51,LEN(AA51)-MIN(FIND({0;1;2;3;4;5;6;7;8;9},AA51&amp;"0123456789"))+1)),""), "")</f>
        <v/>
      </c>
    </row>
    <row r="52" spans="27:28" x14ac:dyDescent="0.25">
      <c r="AA52" s="381"/>
      <c r="AB52" s="381" t="str" cm="1">
        <f t="array" ref="AB52">IF(ISNUMBER(AA52), IFERROR(VALUE(RIGHT(AA52,LEN(AA52)-MIN(FIND({0;1;2;3;4;5;6;7;8;9},AA52&amp;"0123456789"))+1)),""), "")</f>
        <v/>
      </c>
    </row>
    <row r="53" spans="27:28" x14ac:dyDescent="0.25">
      <c r="AA53" s="381"/>
      <c r="AB53" s="381" t="str" cm="1">
        <f t="array" ref="AB53">IF(ISNUMBER(AA53), IFERROR(VALUE(RIGHT(AA53,LEN(AA53)-MIN(FIND({0;1;2;3;4;5;6;7;8;9},AA53&amp;"0123456789"))+1)),""), "")</f>
        <v/>
      </c>
    </row>
    <row r="54" spans="27:28" x14ac:dyDescent="0.25">
      <c r="AA54" s="381"/>
      <c r="AB54" s="381" t="str" cm="1">
        <f t="array" ref="AB54">IF(ISNUMBER(AA54), IFERROR(VALUE(RIGHT(AA54,LEN(AA54)-MIN(FIND({0;1;2;3;4;5;6;7;8;9},AA54&amp;"0123456789"))+1)),""), "")</f>
        <v/>
      </c>
    </row>
    <row r="55" spans="27:28" x14ac:dyDescent="0.25">
      <c r="AA55" s="381"/>
      <c r="AB55" s="381" t="str" cm="1">
        <f t="array" ref="AB55">IF(ISNUMBER(AA55), IFERROR(VALUE(RIGHT(AA55,LEN(AA55)-MIN(FIND({0;1;2;3;4;5;6;7;8;9},AA55&amp;"0123456789"))+1)),""), "")</f>
        <v/>
      </c>
    </row>
    <row r="56" spans="27:28" x14ac:dyDescent="0.25">
      <c r="AA56" s="381"/>
      <c r="AB56" s="381" t="str" cm="1">
        <f t="array" ref="AB56">IF(ISNUMBER(AA56), IFERROR(VALUE(RIGHT(AA56,LEN(AA56)-MIN(FIND({0;1;2;3;4;5;6;7;8;9},AA56&amp;"0123456789"))+1)),""), "")</f>
        <v/>
      </c>
    </row>
    <row r="57" spans="27:28" x14ac:dyDescent="0.25">
      <c r="AA57" s="381"/>
      <c r="AB57" s="381" t="str" cm="1">
        <f t="array" ref="AB57">IF(ISNUMBER(AA57), IFERROR(VALUE(RIGHT(AA57,LEN(AA57)-MIN(FIND({0;1;2;3;4;5;6;7;8;9},AA57&amp;"0123456789"))+1)),""), "")</f>
        <v/>
      </c>
    </row>
    <row r="58" spans="27:28" x14ac:dyDescent="0.25">
      <c r="AA58" s="381"/>
      <c r="AB58" s="381" t="str" cm="1">
        <f t="array" ref="AB58">IF(ISNUMBER(AA58), IFERROR(VALUE(RIGHT(AA58,LEN(AA58)-MIN(FIND({0;1;2;3;4;5;6;7;8;9},AA58&amp;"0123456789"))+1)),""), "")</f>
        <v/>
      </c>
    </row>
    <row r="59" spans="27:28" x14ac:dyDescent="0.25">
      <c r="AA59" s="381"/>
      <c r="AB59" s="381" t="str" cm="1">
        <f t="array" ref="AB59">IF(ISNUMBER(AA59), IFERROR(VALUE(RIGHT(AA59,LEN(AA59)-MIN(FIND({0;1;2;3;4;5;6;7;8;9},AA59&amp;"0123456789"))+1)),""), "")</f>
        <v/>
      </c>
    </row>
    <row r="60" spans="27:28" x14ac:dyDescent="0.25">
      <c r="AA60" s="381"/>
      <c r="AB60" s="381" t="str" cm="1">
        <f t="array" ref="AB60">IF(ISNUMBER(AA60), IFERROR(VALUE(RIGHT(AA60,LEN(AA60)-MIN(FIND({0;1;2;3;4;5;6;7;8;9},AA60&amp;"0123456789"))+1)),""), "")</f>
        <v/>
      </c>
    </row>
    <row r="61" spans="27:28" x14ac:dyDescent="0.25">
      <c r="AA61" s="381"/>
      <c r="AB61" s="381" t="str" cm="1">
        <f t="array" ref="AB61">IF(ISNUMBER(AA61), IFERROR(VALUE(RIGHT(AA61,LEN(AA61)-MIN(FIND({0;1;2;3;4;5;6;7;8;9},AA61&amp;"0123456789"))+1)),""), "")</f>
        <v/>
      </c>
    </row>
    <row r="62" spans="27:28" x14ac:dyDescent="0.25">
      <c r="AA62" s="381"/>
      <c r="AB62" s="381" t="str" cm="1">
        <f t="array" ref="AB62">IF(ISNUMBER(AA62), IFERROR(VALUE(RIGHT(AA62,LEN(AA62)-MIN(FIND({0;1;2;3;4;5;6;7;8;9},AA62&amp;"0123456789"))+1)),""), "")</f>
        <v/>
      </c>
    </row>
    <row r="63" spans="27:28" x14ac:dyDescent="0.25">
      <c r="AA63" s="381"/>
      <c r="AB63" s="381" t="str" cm="1">
        <f t="array" ref="AB63">IF(ISNUMBER(AA63), IFERROR(VALUE(RIGHT(AA63,LEN(AA63)-MIN(FIND({0;1;2;3;4;5;6;7;8;9},AA63&amp;"0123456789"))+1)),""), "")</f>
        <v/>
      </c>
    </row>
    <row r="64" spans="27:28" x14ac:dyDescent="0.25">
      <c r="AA64" s="381"/>
      <c r="AB64" s="381" t="str" cm="1">
        <f t="array" ref="AB64">IF(ISNUMBER(AA64), IFERROR(VALUE(RIGHT(AA64,LEN(AA64)-MIN(FIND({0;1;2;3;4;5;6;7;8;9},AA64&amp;"0123456789"))+1)),""), "")</f>
        <v/>
      </c>
    </row>
    <row r="65" spans="27:28" x14ac:dyDescent="0.25">
      <c r="AA65" s="381"/>
      <c r="AB65" s="381" t="str" cm="1">
        <f t="array" ref="AB65">IF(ISNUMBER(AA65), IFERROR(VALUE(RIGHT(AA65,LEN(AA65)-MIN(FIND({0;1;2;3;4;5;6;7;8;9},AA65&amp;"0123456789"))+1)),""), "")</f>
        <v/>
      </c>
    </row>
    <row r="66" spans="27:28" x14ac:dyDescent="0.25">
      <c r="AA66" s="381"/>
      <c r="AB66" s="381" t="str" cm="1">
        <f t="array" ref="AB66">IF(ISNUMBER(AA66), IFERROR(VALUE(RIGHT(AA66,LEN(AA66)-MIN(FIND({0;1;2;3;4;5;6;7;8;9},AA66&amp;"0123456789"))+1)),""), "")</f>
        <v/>
      </c>
    </row>
    <row r="67" spans="27:28" x14ac:dyDescent="0.25">
      <c r="AA67" s="381"/>
      <c r="AB67" s="381" t="str" cm="1">
        <f t="array" ref="AB67">IF(ISNUMBER(AA67), IFERROR(VALUE(RIGHT(AA67,LEN(AA67)-MIN(FIND({0;1;2;3;4;5;6;7;8;9},AA67&amp;"0123456789"))+1)),""), "")</f>
        <v/>
      </c>
    </row>
    <row r="68" spans="27:28" x14ac:dyDescent="0.25">
      <c r="AA68" s="381"/>
      <c r="AB68" s="381" t="str" cm="1">
        <f t="array" ref="AB68">IF(ISNUMBER(AA68), IFERROR(VALUE(RIGHT(AA68,LEN(AA68)-MIN(FIND({0;1;2;3;4;5;6;7;8;9},AA68&amp;"0123456789"))+1)),""), "")</f>
        <v/>
      </c>
    </row>
    <row r="69" spans="27:28" x14ac:dyDescent="0.25">
      <c r="AA69" s="381"/>
      <c r="AB69" s="381" t="str" cm="1">
        <f t="array" ref="AB69">IF(ISNUMBER(AA69), IFERROR(VALUE(RIGHT(AA69,LEN(AA69)-MIN(FIND({0;1;2;3;4;5;6;7;8;9},AA69&amp;"0123456789"))+1)),""), "")</f>
        <v/>
      </c>
    </row>
    <row r="70" spans="27:28" x14ac:dyDescent="0.25">
      <c r="AA70" s="381"/>
      <c r="AB70" s="381" t="str" cm="1">
        <f t="array" ref="AB70">IF(ISNUMBER(AA70), IFERROR(VALUE(RIGHT(AA70,LEN(AA70)-MIN(FIND({0;1;2;3;4;5;6;7;8;9},AA70&amp;"0123456789"))+1)),""), "")</f>
        <v/>
      </c>
    </row>
    <row r="71" spans="27:28" x14ac:dyDescent="0.25">
      <c r="AA71" s="381"/>
      <c r="AB71" s="381" t="str" cm="1">
        <f t="array" ref="AB71">IF(ISNUMBER(AA71), IFERROR(VALUE(RIGHT(AA71,LEN(AA71)-MIN(FIND({0;1;2;3;4;5;6;7;8;9},AA71&amp;"0123456789"))+1)),""), "")</f>
        <v/>
      </c>
    </row>
    <row r="72" spans="27:28" x14ac:dyDescent="0.25">
      <c r="AA72" s="381"/>
      <c r="AB72" s="381" t="str" cm="1">
        <f t="array" ref="AB72">IF(ISNUMBER(AA72), IFERROR(VALUE(RIGHT(AA72,LEN(AA72)-MIN(FIND({0;1;2;3;4;5;6;7;8;9},AA72&amp;"0123456789"))+1)),""), "")</f>
        <v/>
      </c>
    </row>
    <row r="73" spans="27:28" x14ac:dyDescent="0.25">
      <c r="AA73" s="381"/>
      <c r="AB73" s="381" t="str" cm="1">
        <f t="array" ref="AB73">IF(ISNUMBER(AA73), IFERROR(VALUE(RIGHT(AA73,LEN(AA73)-MIN(FIND({0;1;2;3;4;5;6;7;8;9},AA73&amp;"0123456789"))+1)),""), "")</f>
        <v/>
      </c>
    </row>
    <row r="74" spans="27:28" x14ac:dyDescent="0.25">
      <c r="AA74" s="381"/>
      <c r="AB74" s="381" t="str" cm="1">
        <f t="array" ref="AB74">IF(ISNUMBER(AA74), IFERROR(VALUE(RIGHT(AA74,LEN(AA74)-MIN(FIND({0;1;2;3;4;5;6;7;8;9},AA74&amp;"0123456789"))+1)),""), "")</f>
        <v/>
      </c>
    </row>
    <row r="75" spans="27:28" x14ac:dyDescent="0.25">
      <c r="AA75" s="381"/>
      <c r="AB75" s="381" t="str" cm="1">
        <f t="array" ref="AB75">IF(ISNUMBER(AA75), IFERROR(VALUE(RIGHT(AA75,LEN(AA75)-MIN(FIND({0;1;2;3;4;5;6;7;8;9},AA75&amp;"0123456789"))+1)),""), "")</f>
        <v/>
      </c>
    </row>
    <row r="76" spans="27:28" x14ac:dyDescent="0.25">
      <c r="AA76" s="381"/>
      <c r="AB76" s="381" t="str" cm="1">
        <f t="array" ref="AB76">IF(ISNUMBER(AA76), IFERROR(VALUE(RIGHT(AA76,LEN(AA76)-MIN(FIND({0;1;2;3;4;5;6;7;8;9},AA76&amp;"0123456789"))+1)),""), "")</f>
        <v/>
      </c>
    </row>
    <row r="77" spans="27:28" x14ac:dyDescent="0.25">
      <c r="AA77" s="381"/>
      <c r="AB77" s="381" t="str" cm="1">
        <f t="array" ref="AB77">IF(ISNUMBER(AA77), IFERROR(VALUE(RIGHT(AA77,LEN(AA77)-MIN(FIND({0;1;2;3;4;5;6;7;8;9},AA77&amp;"0123456789"))+1)),""), "")</f>
        <v/>
      </c>
    </row>
    <row r="78" spans="27:28" x14ac:dyDescent="0.25">
      <c r="AA78" s="381"/>
      <c r="AB78" s="381" t="str" cm="1">
        <f t="array" ref="AB78">IF(ISNUMBER(AA78), IFERROR(VALUE(RIGHT(AA78,LEN(AA78)-MIN(FIND({0;1;2;3;4;5;6;7;8;9},AA78&amp;"0123456789"))+1)),""), "")</f>
        <v/>
      </c>
    </row>
    <row r="79" spans="27:28" x14ac:dyDescent="0.25">
      <c r="AA79" s="381"/>
      <c r="AB79" s="381" t="str" cm="1">
        <f t="array" ref="AB79">IF(ISNUMBER(AA79), IFERROR(VALUE(RIGHT(AA79,LEN(AA79)-MIN(FIND({0;1;2;3;4;5;6;7;8;9},AA79&amp;"0123456789"))+1)),""), "")</f>
        <v/>
      </c>
    </row>
    <row r="80" spans="27:28" x14ac:dyDescent="0.25">
      <c r="AA80" s="381"/>
      <c r="AB80" s="381" t="str" cm="1">
        <f t="array" ref="AB80">IF(ISNUMBER(AA80), IFERROR(VALUE(RIGHT(AA80,LEN(AA80)-MIN(FIND({0;1;2;3;4;5;6;7;8;9},AA80&amp;"0123456789"))+1)),""), "")</f>
        <v/>
      </c>
    </row>
    <row r="81" spans="27:28" x14ac:dyDescent="0.25">
      <c r="AA81" s="381"/>
      <c r="AB81" s="381" t="str" cm="1">
        <f t="array" ref="AB81">IF(ISNUMBER(AA81), IFERROR(VALUE(RIGHT(AA81,LEN(AA81)-MIN(FIND({0;1;2;3;4;5;6;7;8;9},AA81&amp;"0123456789"))+1)),""), "")</f>
        <v/>
      </c>
    </row>
    <row r="82" spans="27:28" x14ac:dyDescent="0.25">
      <c r="AA82" s="381"/>
      <c r="AB82" s="381" t="str" cm="1">
        <f t="array" ref="AB82">IF(ISNUMBER(AA82), IFERROR(VALUE(RIGHT(AA82,LEN(AA82)-MIN(FIND({0;1;2;3;4;5;6;7;8;9},AA82&amp;"0123456789"))+1)),""), "")</f>
        <v/>
      </c>
    </row>
    <row r="83" spans="27:28" x14ac:dyDescent="0.25">
      <c r="AA83" s="381"/>
      <c r="AB83" s="381" t="str" cm="1">
        <f t="array" ref="AB83">IF(ISNUMBER(AA83), IFERROR(VALUE(RIGHT(AA83,LEN(AA83)-MIN(FIND({0;1;2;3;4;5;6;7;8;9},AA83&amp;"0123456789"))+1)),""), "")</f>
        <v/>
      </c>
    </row>
    <row r="84" spans="27:28" x14ac:dyDescent="0.25">
      <c r="AA84" s="381"/>
      <c r="AB84" s="381" t="str" cm="1">
        <f t="array" ref="AB84">IF(ISNUMBER(AA84), IFERROR(VALUE(RIGHT(AA84,LEN(AA84)-MIN(FIND({0;1;2;3;4;5;6;7;8;9},AA84&amp;"0123456789"))+1)),""), "")</f>
        <v/>
      </c>
    </row>
    <row r="85" spans="27:28" x14ac:dyDescent="0.25">
      <c r="AA85" s="381"/>
      <c r="AB85" s="381" t="str" cm="1">
        <f t="array" ref="AB85">IF(ISNUMBER(AA85), IFERROR(VALUE(RIGHT(AA85,LEN(AA85)-MIN(FIND({0;1;2;3;4;5;6;7;8;9},AA85&amp;"0123456789"))+1)),""), "")</f>
        <v/>
      </c>
    </row>
    <row r="86" spans="27:28" x14ac:dyDescent="0.25">
      <c r="AA86" s="381"/>
      <c r="AB86" s="381" t="str" cm="1">
        <f t="array" ref="AB86">IF(ISNUMBER(AA86), IFERROR(VALUE(RIGHT(AA86,LEN(AA86)-MIN(FIND({0;1;2;3;4;5;6;7;8;9},AA86&amp;"0123456789"))+1)),""), "")</f>
        <v/>
      </c>
    </row>
    <row r="87" spans="27:28" x14ac:dyDescent="0.25">
      <c r="AA87" s="381"/>
      <c r="AB87" s="381" t="str" cm="1">
        <f t="array" ref="AB87">IF(ISNUMBER(AA87), IFERROR(VALUE(RIGHT(AA87,LEN(AA87)-MIN(FIND({0;1;2;3;4;5;6;7;8;9},AA87&amp;"0123456789"))+1)),""), "")</f>
        <v/>
      </c>
    </row>
    <row r="88" spans="27:28" x14ac:dyDescent="0.25">
      <c r="AA88" s="381"/>
      <c r="AB88" s="381" t="str" cm="1">
        <f t="array" ref="AB88">IF(ISNUMBER(AA88), IFERROR(VALUE(RIGHT(AA88,LEN(AA88)-MIN(FIND({0;1;2;3;4;5;6;7;8;9},AA88&amp;"0123456789"))+1)),""), "")</f>
        <v/>
      </c>
    </row>
    <row r="89" spans="27:28" x14ac:dyDescent="0.25">
      <c r="AA89" s="381"/>
      <c r="AB89" s="381" t="str" cm="1">
        <f t="array" ref="AB89">IF(ISNUMBER(AA89), IFERROR(VALUE(RIGHT(AA89,LEN(AA89)-MIN(FIND({0;1;2;3;4;5;6;7;8;9},AA89&amp;"0123456789"))+1)),""), "")</f>
        <v/>
      </c>
    </row>
    <row r="90" spans="27:28" x14ac:dyDescent="0.25">
      <c r="AA90" s="381"/>
      <c r="AB90" s="381" t="str" cm="1">
        <f t="array" ref="AB90">IF(ISNUMBER(AA90), IFERROR(VALUE(RIGHT(AA90,LEN(AA90)-MIN(FIND({0;1;2;3;4;5;6;7;8;9},AA90&amp;"0123456789"))+1)),""), "")</f>
        <v/>
      </c>
    </row>
    <row r="91" spans="27:28" x14ac:dyDescent="0.25">
      <c r="AA91" s="381"/>
      <c r="AB91" s="381" t="str" cm="1">
        <f t="array" ref="AB91">IF(ISNUMBER(AA91), IFERROR(VALUE(RIGHT(AA91,LEN(AA91)-MIN(FIND({0;1;2;3;4;5;6;7;8;9},AA91&amp;"0123456789"))+1)),""), "")</f>
        <v/>
      </c>
    </row>
    <row r="92" spans="27:28" x14ac:dyDescent="0.25">
      <c r="AA92" s="381"/>
      <c r="AB92" s="381" t="str" cm="1">
        <f t="array" ref="AB92">IF(ISNUMBER(AA92), IFERROR(VALUE(RIGHT(AA92,LEN(AA92)-MIN(FIND({0;1;2;3;4;5;6;7;8;9},AA92&amp;"0123456789"))+1)),""), "")</f>
        <v/>
      </c>
    </row>
    <row r="93" spans="27:28" x14ac:dyDescent="0.25">
      <c r="AA93" s="381"/>
      <c r="AB93" s="381" t="str" cm="1">
        <f t="array" ref="AB93">IF(ISNUMBER(AA93), IFERROR(VALUE(RIGHT(AA93,LEN(AA93)-MIN(FIND({0;1;2;3;4;5;6;7;8;9},AA93&amp;"0123456789"))+1)),""), "")</f>
        <v/>
      </c>
    </row>
    <row r="94" spans="27:28" x14ac:dyDescent="0.25">
      <c r="AA94" s="381"/>
      <c r="AB94" s="381" t="str" cm="1">
        <f t="array" ref="AB94">IF(ISNUMBER(AA94), IFERROR(VALUE(RIGHT(AA94,LEN(AA94)-MIN(FIND({0;1;2;3;4;5;6;7;8;9},AA94&amp;"0123456789"))+1)),""), "")</f>
        <v/>
      </c>
    </row>
    <row r="95" spans="27:28" x14ac:dyDescent="0.25">
      <c r="AA95" s="381"/>
      <c r="AB95" s="381" t="str" cm="1">
        <f t="array" ref="AB95">IF(ISNUMBER(AA95), IFERROR(VALUE(RIGHT(AA95,LEN(AA95)-MIN(FIND({0;1;2;3;4;5;6;7;8;9},AA95&amp;"0123456789"))+1)),""), "")</f>
        <v/>
      </c>
    </row>
    <row r="96" spans="27:28" x14ac:dyDescent="0.25">
      <c r="AA96" s="381"/>
      <c r="AB96" s="381" t="str" cm="1">
        <f t="array" ref="AB96">IF(ISNUMBER(AA96), IFERROR(VALUE(RIGHT(AA96,LEN(AA96)-MIN(FIND({0;1;2;3;4;5;6;7;8;9},AA96&amp;"0123456789"))+1)),""), "")</f>
        <v/>
      </c>
    </row>
    <row r="97" spans="27:28" x14ac:dyDescent="0.25">
      <c r="AA97" s="381"/>
      <c r="AB97" s="381" t="str" cm="1">
        <f t="array" ref="AB97">IF(ISNUMBER(AA97), IFERROR(VALUE(RIGHT(AA97,LEN(AA97)-MIN(FIND({0;1;2;3;4;5;6;7;8;9},AA97&amp;"0123456789"))+1)),""), "")</f>
        <v/>
      </c>
    </row>
    <row r="98" spans="27:28" x14ac:dyDescent="0.25">
      <c r="AA98" s="381"/>
      <c r="AB98" s="381" t="str" cm="1">
        <f t="array" ref="AB98">IF(ISNUMBER(AA98), IFERROR(VALUE(RIGHT(AA98,LEN(AA98)-MIN(FIND({0;1;2;3;4;5;6;7;8;9},AA98&amp;"0123456789"))+1)),""), "")</f>
        <v/>
      </c>
    </row>
    <row r="99" spans="27:28" x14ac:dyDescent="0.25">
      <c r="AA99" s="381"/>
      <c r="AB99" s="381" t="str" cm="1">
        <f t="array" ref="AB99">IF(ISNUMBER(AA99), IFERROR(VALUE(RIGHT(AA99,LEN(AA99)-MIN(FIND({0;1;2;3;4;5;6;7;8;9},AA99&amp;"0123456789"))+1)),""), "")</f>
        <v/>
      </c>
    </row>
    <row r="100" spans="27:28" x14ac:dyDescent="0.25">
      <c r="AA100" s="381"/>
      <c r="AB100" s="381" t="str" cm="1">
        <f t="array" ref="AB100">IF(ISNUMBER(AA100), IFERROR(VALUE(RIGHT(AA100,LEN(AA100)-MIN(FIND({0;1;2;3;4;5;6;7;8;9},AA100&amp;"0123456789"))+1)),""), "")</f>
        <v/>
      </c>
    </row>
    <row r="101" spans="27:28" x14ac:dyDescent="0.25">
      <c r="AA101" s="381"/>
      <c r="AB101" s="381" t="str" cm="1">
        <f t="array" ref="AB101">IF(ISNUMBER(AA101), IFERROR(VALUE(RIGHT(AA101,LEN(AA101)-MIN(FIND({0;1;2;3;4;5;6;7;8;9},AA101&amp;"0123456789"))+1)),""), "")</f>
        <v/>
      </c>
    </row>
    <row r="102" spans="27:28" x14ac:dyDescent="0.25">
      <c r="AA102" s="381"/>
      <c r="AB102" s="381" t="str" cm="1">
        <f t="array" ref="AB102">IF(ISNUMBER(AA102), IFERROR(VALUE(RIGHT(AA102,LEN(AA102)-MIN(FIND({0;1;2;3;4;5;6;7;8;9},AA102&amp;"0123456789"))+1)),""), "")</f>
        <v/>
      </c>
    </row>
    <row r="103" spans="27:28" x14ac:dyDescent="0.25">
      <c r="AA103" s="381"/>
      <c r="AB103" s="381" t="str" cm="1">
        <f t="array" ref="AB103">IF(ISNUMBER(AA103), IFERROR(VALUE(RIGHT(AA103,LEN(AA103)-MIN(FIND({0;1;2;3;4;5;6;7;8;9},AA103&amp;"0123456789"))+1)),""), "")</f>
        <v/>
      </c>
    </row>
    <row r="104" spans="27:28" x14ac:dyDescent="0.25">
      <c r="AA104" s="381"/>
      <c r="AB104" s="381" t="str" cm="1">
        <f t="array" ref="AB104">IF(ISNUMBER(AA104), IFERROR(VALUE(RIGHT(AA104,LEN(AA104)-MIN(FIND({0;1;2;3;4;5;6;7;8;9},AA104&amp;"0123456789"))+1)),""), "")</f>
        <v/>
      </c>
    </row>
    <row r="105" spans="27:28" x14ac:dyDescent="0.25">
      <c r="AA105" s="381"/>
      <c r="AB105" s="381" t="str" cm="1">
        <f t="array" ref="AB105">IF(ISNUMBER(AA105), IFERROR(VALUE(RIGHT(AA105,LEN(AA105)-MIN(FIND({0;1;2;3;4;5;6;7;8;9},AA105&amp;"0123456789"))+1)),""), "")</f>
        <v/>
      </c>
    </row>
    <row r="106" spans="27:28" x14ac:dyDescent="0.25">
      <c r="AA106" s="381"/>
      <c r="AB106" s="381" t="str" cm="1">
        <f t="array" ref="AB106">IF(ISNUMBER(AA106), IFERROR(VALUE(RIGHT(AA106,LEN(AA106)-MIN(FIND({0;1;2;3;4;5;6;7;8;9},AA106&amp;"0123456789"))+1)),""), "")</f>
        <v/>
      </c>
    </row>
    <row r="107" spans="27:28" x14ac:dyDescent="0.25">
      <c r="AA107" s="381"/>
      <c r="AB107" s="381" t="str" cm="1">
        <f t="array" ref="AB107">IF(ISNUMBER(AA107), IFERROR(VALUE(RIGHT(AA107,LEN(AA107)-MIN(FIND({0;1;2;3;4;5;6;7;8;9},AA107&amp;"0123456789"))+1)),""), "")</f>
        <v/>
      </c>
    </row>
    <row r="108" spans="27:28" x14ac:dyDescent="0.25">
      <c r="AA108" s="381"/>
      <c r="AB108" s="381" t="str" cm="1">
        <f t="array" ref="AB108">IF(ISNUMBER(AA108), IFERROR(VALUE(RIGHT(AA108,LEN(AA108)-MIN(FIND({0;1;2;3;4;5;6;7;8;9},AA108&amp;"0123456789"))+1)),""), "")</f>
        <v/>
      </c>
    </row>
    <row r="109" spans="27:28" x14ac:dyDescent="0.25">
      <c r="AA109" s="381"/>
      <c r="AB109" s="381" t="str" cm="1">
        <f t="array" ref="AB109">IF(ISNUMBER(AA109), IFERROR(VALUE(RIGHT(AA109,LEN(AA109)-MIN(FIND({0;1;2;3;4;5;6;7;8;9},AA109&amp;"0123456789"))+1)),""), "")</f>
        <v/>
      </c>
    </row>
    <row r="110" spans="27:28" x14ac:dyDescent="0.25">
      <c r="AA110" s="381"/>
      <c r="AB110" s="381" t="str" cm="1">
        <f t="array" ref="AB110">IF(ISNUMBER(AA110), IFERROR(VALUE(RIGHT(AA110,LEN(AA110)-MIN(FIND({0;1;2;3;4;5;6;7;8;9},AA110&amp;"0123456789"))+1)),""), "")</f>
        <v/>
      </c>
    </row>
    <row r="111" spans="27:28" x14ac:dyDescent="0.25">
      <c r="AA111" s="381"/>
      <c r="AB111" s="381" t="str" cm="1">
        <f t="array" ref="AB111">IF(ISNUMBER(AA111), IFERROR(VALUE(RIGHT(AA111,LEN(AA111)-MIN(FIND({0;1;2;3;4;5;6;7;8;9},AA111&amp;"0123456789"))+1)),""), "")</f>
        <v/>
      </c>
    </row>
    <row r="112" spans="27:28" x14ac:dyDescent="0.25">
      <c r="AA112" s="381"/>
      <c r="AB112" s="381" t="str" cm="1">
        <f t="array" ref="AB112">IF(ISNUMBER(AA112), IFERROR(VALUE(RIGHT(AA112,LEN(AA112)-MIN(FIND({0;1;2;3;4;5;6;7;8;9},AA112&amp;"0123456789"))+1)),""), "")</f>
        <v/>
      </c>
    </row>
    <row r="113" spans="27:28" x14ac:dyDescent="0.25">
      <c r="AA113" s="381"/>
      <c r="AB113" s="381" t="str" cm="1">
        <f t="array" ref="AB113">IF(ISNUMBER(AA113), IFERROR(VALUE(RIGHT(AA113,LEN(AA113)-MIN(FIND({0;1;2;3;4;5;6;7;8;9},AA113&amp;"0123456789"))+1)),""), "")</f>
        <v/>
      </c>
    </row>
    <row r="114" spans="27:28" x14ac:dyDescent="0.25">
      <c r="AA114" s="381"/>
      <c r="AB114" s="381" t="str" cm="1">
        <f t="array" ref="AB114">IF(ISNUMBER(AA114), IFERROR(VALUE(RIGHT(AA114,LEN(AA114)-MIN(FIND({0;1;2;3;4;5;6;7;8;9},AA114&amp;"0123456789"))+1)),""), "")</f>
        <v/>
      </c>
    </row>
    <row r="115" spans="27:28" x14ac:dyDescent="0.25">
      <c r="AA115" s="381"/>
      <c r="AB115" s="381" t="str" cm="1">
        <f t="array" ref="AB115">IF(ISNUMBER(AA115), IFERROR(VALUE(RIGHT(AA115,LEN(AA115)-MIN(FIND({0;1;2;3;4;5;6;7;8;9},AA115&amp;"0123456789"))+1)),""), "")</f>
        <v/>
      </c>
    </row>
    <row r="116" spans="27:28" x14ac:dyDescent="0.25">
      <c r="AA116" s="381"/>
      <c r="AB116" s="381" t="str" cm="1">
        <f t="array" ref="AB116">IF(ISNUMBER(AA116), IFERROR(VALUE(RIGHT(AA116,LEN(AA116)-MIN(FIND({0;1;2;3;4;5;6;7;8;9},AA116&amp;"0123456789"))+1)),""), "")</f>
        <v/>
      </c>
    </row>
    <row r="117" spans="27:28" x14ac:dyDescent="0.25">
      <c r="AA117" s="381"/>
      <c r="AB117" s="381" t="str" cm="1">
        <f t="array" ref="AB117">IF(ISNUMBER(AA117), IFERROR(VALUE(RIGHT(AA117,LEN(AA117)-MIN(FIND({0;1;2;3;4;5;6;7;8;9},AA117&amp;"0123456789"))+1)),""), "")</f>
        <v/>
      </c>
    </row>
    <row r="118" spans="27:28" x14ac:dyDescent="0.25">
      <c r="AA118" s="381"/>
      <c r="AB118" s="381" t="str" cm="1">
        <f t="array" ref="AB118">IF(ISNUMBER(AA118), IFERROR(VALUE(RIGHT(AA118,LEN(AA118)-MIN(FIND({0;1;2;3;4;5;6;7;8;9},AA118&amp;"0123456789"))+1)),""), "")</f>
        <v/>
      </c>
    </row>
    <row r="119" spans="27:28" x14ac:dyDescent="0.25">
      <c r="AA119" s="381"/>
      <c r="AB119" s="381" t="str" cm="1">
        <f t="array" ref="AB119">IF(ISNUMBER(AA119), IFERROR(VALUE(RIGHT(AA119,LEN(AA119)-MIN(FIND({0;1;2;3;4;5;6;7;8;9},AA119&amp;"0123456789"))+1)),""), "")</f>
        <v/>
      </c>
    </row>
    <row r="120" spans="27:28" x14ac:dyDescent="0.25">
      <c r="AA120" s="381"/>
      <c r="AB120" s="381" t="str" cm="1">
        <f t="array" ref="AB120">IF(ISNUMBER(AA120), IFERROR(VALUE(RIGHT(AA120,LEN(AA120)-MIN(FIND({0;1;2;3;4;5;6;7;8;9},AA120&amp;"0123456789"))+1)),""), "")</f>
        <v/>
      </c>
    </row>
    <row r="121" spans="27:28" x14ac:dyDescent="0.25">
      <c r="AA121" s="381"/>
      <c r="AB121" s="381" t="str" cm="1">
        <f t="array" ref="AB121">IF(ISNUMBER(AA121), IFERROR(VALUE(RIGHT(AA121,LEN(AA121)-MIN(FIND({0;1;2;3;4;5;6;7;8;9},AA121&amp;"0123456789"))+1)),""), "")</f>
        <v/>
      </c>
    </row>
    <row r="122" spans="27:28" x14ac:dyDescent="0.25">
      <c r="AA122" s="381"/>
      <c r="AB122" s="381" t="str" cm="1">
        <f t="array" ref="AB122">IF(ISNUMBER(AA122), IFERROR(VALUE(RIGHT(AA122,LEN(AA122)-MIN(FIND({0;1;2;3;4;5;6;7;8;9},AA122&amp;"0123456789"))+1)),""), "")</f>
        <v/>
      </c>
    </row>
    <row r="123" spans="27:28" x14ac:dyDescent="0.25">
      <c r="AA123" s="381"/>
      <c r="AB123" s="381" t="str" cm="1">
        <f t="array" ref="AB123">IF(ISNUMBER(AA123), IFERROR(VALUE(RIGHT(AA123,LEN(AA123)-MIN(FIND({0;1;2;3;4;5;6;7;8;9},AA123&amp;"0123456789"))+1)),""), "")</f>
        <v/>
      </c>
    </row>
    <row r="124" spans="27:28" x14ac:dyDescent="0.25">
      <c r="AA124" s="381"/>
      <c r="AB124" s="381" t="str" cm="1">
        <f t="array" ref="AB124">IF(ISNUMBER(AA124), IFERROR(VALUE(RIGHT(AA124,LEN(AA124)-MIN(FIND({0;1;2;3;4;5;6;7;8;9},AA124&amp;"0123456789"))+1)),""), "")</f>
        <v/>
      </c>
    </row>
    <row r="125" spans="27:28" x14ac:dyDescent="0.25">
      <c r="AA125" s="381"/>
      <c r="AB125" s="381" t="str" cm="1">
        <f t="array" ref="AB125">IF(ISNUMBER(AA125), IFERROR(VALUE(RIGHT(AA125,LEN(AA125)-MIN(FIND({0;1;2;3;4;5;6;7;8;9},AA125&amp;"0123456789"))+1)),""), "")</f>
        <v/>
      </c>
    </row>
    <row r="126" spans="27:28" x14ac:dyDescent="0.25">
      <c r="AA126" s="381"/>
      <c r="AB126" s="381" t="str" cm="1">
        <f t="array" ref="AB126">IF(ISNUMBER(AA126), IFERROR(VALUE(RIGHT(AA126,LEN(AA126)-MIN(FIND({0;1;2;3;4;5;6;7;8;9},AA126&amp;"0123456789"))+1)),""), "")</f>
        <v/>
      </c>
    </row>
    <row r="127" spans="27:28" x14ac:dyDescent="0.25">
      <c r="AA127" s="381"/>
      <c r="AB127" s="381" t="str" cm="1">
        <f t="array" ref="AB127">IF(ISNUMBER(AA127), IFERROR(VALUE(RIGHT(AA127,LEN(AA127)-MIN(FIND({0;1;2;3;4;5;6;7;8;9},AA127&amp;"0123456789"))+1)),""), "")</f>
        <v/>
      </c>
    </row>
    <row r="128" spans="27:28" x14ac:dyDescent="0.25">
      <c r="AA128" s="381"/>
      <c r="AB128" s="381" t="str" cm="1">
        <f t="array" ref="AB128">IF(ISNUMBER(AA128), IFERROR(VALUE(RIGHT(AA128,LEN(AA128)-MIN(FIND({0;1;2;3;4;5;6;7;8;9},AA128&amp;"0123456789"))+1)),""), "")</f>
        <v/>
      </c>
    </row>
    <row r="129" spans="27:28" x14ac:dyDescent="0.25">
      <c r="AA129" s="381"/>
      <c r="AB129" s="381" t="str" cm="1">
        <f t="array" ref="AB129">IF(ISNUMBER(AA129), IFERROR(VALUE(RIGHT(AA129,LEN(AA129)-MIN(FIND({0;1;2;3;4;5;6;7;8;9},AA129&amp;"0123456789"))+1)),""), "")</f>
        <v/>
      </c>
    </row>
    <row r="130" spans="27:28" x14ac:dyDescent="0.25">
      <c r="AA130" s="381"/>
      <c r="AB130" s="381" t="str" cm="1">
        <f t="array" ref="AB130">IF(ISNUMBER(AA130), IFERROR(VALUE(RIGHT(AA130,LEN(AA130)-MIN(FIND({0;1;2;3;4;5;6;7;8;9},AA130&amp;"0123456789"))+1)),""), "")</f>
        <v/>
      </c>
    </row>
    <row r="131" spans="27:28" x14ac:dyDescent="0.25">
      <c r="AA131" s="381"/>
      <c r="AB131" s="381" t="str" cm="1">
        <f t="array" ref="AB131">IF(ISNUMBER(AA131), IFERROR(VALUE(RIGHT(AA131,LEN(AA131)-MIN(FIND({0;1;2;3;4;5;6;7;8;9},AA131&amp;"0123456789"))+1)),""), "")</f>
        <v/>
      </c>
    </row>
    <row r="132" spans="27:28" x14ac:dyDescent="0.25">
      <c r="AA132" s="381"/>
      <c r="AB132" s="381" t="str" cm="1">
        <f t="array" ref="AB132">IF(ISNUMBER(AA132), IFERROR(VALUE(RIGHT(AA132,LEN(AA132)-MIN(FIND({0;1;2;3;4;5;6;7;8;9},AA132&amp;"0123456789"))+1)),""), "")</f>
        <v/>
      </c>
    </row>
    <row r="133" spans="27:28" x14ac:dyDescent="0.25">
      <c r="AA133" s="381"/>
      <c r="AB133" s="381" t="str" cm="1">
        <f t="array" ref="AB133">IF(ISNUMBER(AA133), IFERROR(VALUE(RIGHT(AA133,LEN(AA133)-MIN(FIND({0;1;2;3;4;5;6;7;8;9},AA133&amp;"0123456789"))+1)),""), "")</f>
        <v/>
      </c>
    </row>
    <row r="134" spans="27:28" x14ac:dyDescent="0.25">
      <c r="AA134" s="381"/>
      <c r="AB134" s="381" t="str" cm="1">
        <f t="array" ref="AB134">IF(ISNUMBER(AA134), IFERROR(VALUE(RIGHT(AA134,LEN(AA134)-MIN(FIND({0;1;2;3;4;5;6;7;8;9},AA134&amp;"0123456789"))+1)),""), "")</f>
        <v/>
      </c>
    </row>
    <row r="135" spans="27:28" x14ac:dyDescent="0.25">
      <c r="AA135" s="381"/>
      <c r="AB135" s="381" t="str" cm="1">
        <f t="array" ref="AB135">IF(ISNUMBER(AA135), IFERROR(VALUE(RIGHT(AA135,LEN(AA135)-MIN(FIND({0;1;2;3;4;5;6;7;8;9},AA135&amp;"0123456789"))+1)),""), "")</f>
        <v/>
      </c>
    </row>
    <row r="136" spans="27:28" x14ac:dyDescent="0.25">
      <c r="AA136" s="381"/>
      <c r="AB136" s="381" t="str" cm="1">
        <f t="array" ref="AB136">IF(ISNUMBER(AA136), IFERROR(VALUE(RIGHT(AA136,LEN(AA136)-MIN(FIND({0;1;2;3;4;5;6;7;8;9},AA136&amp;"0123456789"))+1)),""), "")</f>
        <v/>
      </c>
    </row>
    <row r="137" spans="27:28" x14ac:dyDescent="0.25">
      <c r="AA137" s="381"/>
      <c r="AB137" s="381" t="str" cm="1">
        <f t="array" ref="AB137">IF(ISNUMBER(AA137), IFERROR(VALUE(RIGHT(AA137,LEN(AA137)-MIN(FIND({0;1;2;3;4;5;6;7;8;9},AA137&amp;"0123456789"))+1)),""), "")</f>
        <v/>
      </c>
    </row>
    <row r="138" spans="27:28" x14ac:dyDescent="0.25">
      <c r="AA138" s="381"/>
      <c r="AB138" s="381" t="str" cm="1">
        <f t="array" ref="AB138">IF(ISNUMBER(AA138), IFERROR(VALUE(RIGHT(AA138,LEN(AA138)-MIN(FIND({0;1;2;3;4;5;6;7;8;9},AA138&amp;"0123456789"))+1)),""), "")</f>
        <v/>
      </c>
    </row>
    <row r="139" spans="27:28" x14ac:dyDescent="0.25">
      <c r="AA139" s="381"/>
      <c r="AB139" s="381" t="str" cm="1">
        <f t="array" ref="AB139">IF(ISNUMBER(AA139), IFERROR(VALUE(RIGHT(AA139,LEN(AA139)-MIN(FIND({0;1;2;3;4;5;6;7;8;9},AA139&amp;"0123456789"))+1)),""), "")</f>
        <v/>
      </c>
    </row>
    <row r="140" spans="27:28" x14ac:dyDescent="0.25">
      <c r="AA140" s="381"/>
      <c r="AB140" s="381" t="str" cm="1">
        <f t="array" ref="AB140">IF(ISNUMBER(AA140), IFERROR(VALUE(RIGHT(AA140,LEN(AA140)-MIN(FIND({0;1;2;3;4;5;6;7;8;9},AA140&amp;"0123456789"))+1)),""), "")</f>
        <v/>
      </c>
    </row>
    <row r="141" spans="27:28" x14ac:dyDescent="0.25">
      <c r="AA141" s="381"/>
      <c r="AB141" s="381" t="str" cm="1">
        <f t="array" ref="AB141">IF(ISNUMBER(AA141), IFERROR(VALUE(RIGHT(AA141,LEN(AA141)-MIN(FIND({0;1;2;3;4;5;6;7;8;9},AA141&amp;"0123456789"))+1)),""), "")</f>
        <v/>
      </c>
    </row>
    <row r="142" spans="27:28" x14ac:dyDescent="0.25">
      <c r="AA142" s="381"/>
      <c r="AB142" s="381" t="str" cm="1">
        <f t="array" ref="AB142">IF(ISNUMBER(AA142), IFERROR(VALUE(RIGHT(AA142,LEN(AA142)-MIN(FIND({0;1;2;3;4;5;6;7;8;9},AA142&amp;"0123456789"))+1)),""), "")</f>
        <v/>
      </c>
    </row>
    <row r="143" spans="27:28" x14ac:dyDescent="0.25">
      <c r="AA143" s="381"/>
      <c r="AB143" s="381" t="str" cm="1">
        <f t="array" ref="AB143">IF(ISNUMBER(AA143), IFERROR(VALUE(RIGHT(AA143,LEN(AA143)-MIN(FIND({0;1;2;3;4;5;6;7;8;9},AA143&amp;"0123456789"))+1)),""), "")</f>
        <v/>
      </c>
    </row>
    <row r="144" spans="27:28" x14ac:dyDescent="0.25">
      <c r="AA144" s="381"/>
      <c r="AB144" s="381" t="str" cm="1">
        <f t="array" ref="AB144">IF(ISNUMBER(AA144), IFERROR(VALUE(RIGHT(AA144,LEN(AA144)-MIN(FIND({0;1;2;3;4;5;6;7;8;9},AA144&amp;"0123456789"))+1)),""), "")</f>
        <v/>
      </c>
    </row>
    <row r="145" spans="27:28" x14ac:dyDescent="0.25">
      <c r="AA145" s="381"/>
      <c r="AB145" s="381" t="str" cm="1">
        <f t="array" ref="AB145">IF(ISNUMBER(AA145), IFERROR(VALUE(RIGHT(AA145,LEN(AA145)-MIN(FIND({0;1;2;3;4;5;6;7;8;9},AA145&amp;"0123456789"))+1)),""), "")</f>
        <v/>
      </c>
    </row>
    <row r="146" spans="27:28" x14ac:dyDescent="0.25">
      <c r="AA146" s="381"/>
      <c r="AB146" s="381" t="str" cm="1">
        <f t="array" ref="AB146">IF(ISNUMBER(AA146), IFERROR(VALUE(RIGHT(AA146,LEN(AA146)-MIN(FIND({0;1;2;3;4;5;6;7;8;9},AA146&amp;"0123456789"))+1)),""), "")</f>
        <v/>
      </c>
    </row>
    <row r="147" spans="27:28" x14ac:dyDescent="0.25">
      <c r="AA147" s="381"/>
      <c r="AB147" s="381" t="str" cm="1">
        <f t="array" ref="AB147">IF(ISNUMBER(AA147), IFERROR(VALUE(RIGHT(AA147,LEN(AA147)-MIN(FIND({0;1;2;3;4;5;6;7;8;9},AA147&amp;"0123456789"))+1)),""), "")</f>
        <v/>
      </c>
    </row>
    <row r="148" spans="27:28" x14ac:dyDescent="0.25">
      <c r="AA148" s="381"/>
      <c r="AB148" s="381" t="str" cm="1">
        <f t="array" ref="AB148">IF(ISNUMBER(AA148), IFERROR(VALUE(RIGHT(AA148,LEN(AA148)-MIN(FIND({0;1;2;3;4;5;6;7;8;9},AA148&amp;"0123456789"))+1)),""), "")</f>
        <v/>
      </c>
    </row>
    <row r="149" spans="27:28" x14ac:dyDescent="0.25">
      <c r="AA149" s="381"/>
      <c r="AB149" s="381" t="str" cm="1">
        <f t="array" ref="AB149">IF(ISNUMBER(AA149), IFERROR(VALUE(RIGHT(AA149,LEN(AA149)-MIN(FIND({0;1;2;3;4;5;6;7;8;9},AA149&amp;"0123456789"))+1)),""), "")</f>
        <v/>
      </c>
    </row>
    <row r="150" spans="27:28" x14ac:dyDescent="0.25">
      <c r="AA150" s="381"/>
      <c r="AB150" s="381" t="str" cm="1">
        <f t="array" ref="AB150">IF(ISNUMBER(AA150), IFERROR(VALUE(RIGHT(AA150,LEN(AA150)-MIN(FIND({0;1;2;3;4;5;6;7;8;9},AA150&amp;"0123456789"))+1)),""), "")</f>
        <v/>
      </c>
    </row>
    <row r="151" spans="27:28" x14ac:dyDescent="0.25">
      <c r="AA151" s="381"/>
      <c r="AB151" s="381" t="str" cm="1">
        <f t="array" ref="AB151">IF(ISNUMBER(AA151), IFERROR(VALUE(RIGHT(AA151,LEN(AA151)-MIN(FIND({0;1;2;3;4;5;6;7;8;9},AA151&amp;"0123456789"))+1)),""), "")</f>
        <v/>
      </c>
    </row>
    <row r="152" spans="27:28" x14ac:dyDescent="0.25">
      <c r="AA152" s="381"/>
      <c r="AB152" s="381" t="str" cm="1">
        <f t="array" ref="AB152">IF(ISNUMBER(AA152), IFERROR(VALUE(RIGHT(AA152,LEN(AA152)-MIN(FIND({0;1;2;3;4;5;6;7;8;9},AA152&amp;"0123456789"))+1)),""), "")</f>
        <v/>
      </c>
    </row>
    <row r="153" spans="27:28" x14ac:dyDescent="0.25">
      <c r="AA153" s="381"/>
      <c r="AB153" s="381" t="str" cm="1">
        <f t="array" ref="AB153">IF(ISNUMBER(AA153), IFERROR(VALUE(RIGHT(AA153,LEN(AA153)-MIN(FIND({0;1;2;3;4;5;6;7;8;9},AA153&amp;"0123456789"))+1)),""), "")</f>
        <v/>
      </c>
    </row>
    <row r="154" spans="27:28" x14ac:dyDescent="0.25">
      <c r="AA154" s="381"/>
      <c r="AB154" s="381" t="str" cm="1">
        <f t="array" ref="AB154">IF(ISNUMBER(AA154), IFERROR(VALUE(RIGHT(AA154,LEN(AA154)-MIN(FIND({0;1;2;3;4;5;6;7;8;9},AA154&amp;"0123456789"))+1)),""), "")</f>
        <v/>
      </c>
    </row>
    <row r="155" spans="27:28" x14ac:dyDescent="0.25">
      <c r="AA155" s="381"/>
      <c r="AB155" s="381" t="str" cm="1">
        <f t="array" ref="AB155">IF(ISNUMBER(AA155), IFERROR(VALUE(RIGHT(AA155,LEN(AA155)-MIN(FIND({0;1;2;3;4;5;6;7;8;9},AA155&amp;"0123456789"))+1)),""), "")</f>
        <v/>
      </c>
    </row>
    <row r="156" spans="27:28" x14ac:dyDescent="0.25">
      <c r="AA156" s="381"/>
      <c r="AB156" s="381" t="str" cm="1">
        <f t="array" ref="AB156">IF(ISNUMBER(AA156), IFERROR(VALUE(RIGHT(AA156,LEN(AA156)-MIN(FIND({0;1;2;3;4;5;6;7;8;9},AA156&amp;"0123456789"))+1)),""), "")</f>
        <v/>
      </c>
    </row>
    <row r="157" spans="27:28" x14ac:dyDescent="0.25">
      <c r="AA157" s="381"/>
      <c r="AB157" s="381" t="str" cm="1">
        <f t="array" ref="AB157">IF(ISNUMBER(AA157), IFERROR(VALUE(RIGHT(AA157,LEN(AA157)-MIN(FIND({0;1;2;3;4;5;6;7;8;9},AA157&amp;"0123456789"))+1)),""), "")</f>
        <v/>
      </c>
    </row>
    <row r="158" spans="27:28" x14ac:dyDescent="0.25">
      <c r="AA158" s="381"/>
      <c r="AB158" s="381" t="str" cm="1">
        <f t="array" ref="AB158">IF(ISNUMBER(AA158), IFERROR(VALUE(RIGHT(AA158,LEN(AA158)-MIN(FIND({0;1;2;3;4;5;6;7;8;9},AA158&amp;"0123456789"))+1)),""), "")</f>
        <v/>
      </c>
    </row>
    <row r="159" spans="27:28" x14ac:dyDescent="0.25">
      <c r="AA159" s="381"/>
      <c r="AB159" s="381" t="str" cm="1">
        <f t="array" ref="AB159">IF(ISNUMBER(AA159), IFERROR(VALUE(RIGHT(AA159,LEN(AA159)-MIN(FIND({0;1;2;3;4;5;6;7;8;9},AA159&amp;"0123456789"))+1)),""), "")</f>
        <v/>
      </c>
    </row>
    <row r="160" spans="27:28" x14ac:dyDescent="0.25">
      <c r="AA160" s="381"/>
      <c r="AB160" s="381" t="str" cm="1">
        <f t="array" ref="AB160">IF(ISNUMBER(AA160), IFERROR(VALUE(RIGHT(AA160,LEN(AA160)-MIN(FIND({0;1;2;3;4;5;6;7;8;9},AA160&amp;"0123456789"))+1)),""), "")</f>
        <v/>
      </c>
    </row>
    <row r="161" spans="27:28" x14ac:dyDescent="0.25">
      <c r="AA161" s="381"/>
      <c r="AB161" s="381" t="str" cm="1">
        <f t="array" ref="AB161">IF(ISNUMBER(AA161), IFERROR(VALUE(RIGHT(AA161,LEN(AA161)-MIN(FIND({0;1;2;3;4;5;6;7;8;9},AA161&amp;"0123456789"))+1)),""), "")</f>
        <v/>
      </c>
    </row>
    <row r="162" spans="27:28" x14ac:dyDescent="0.25">
      <c r="AA162" s="381"/>
      <c r="AB162" s="381" t="str" cm="1">
        <f t="array" ref="AB162">IF(ISNUMBER(AA162), IFERROR(VALUE(RIGHT(AA162,LEN(AA162)-MIN(FIND({0;1;2;3;4;5;6;7;8;9},AA162&amp;"0123456789"))+1)),""), "")</f>
        <v/>
      </c>
    </row>
    <row r="163" spans="27:28" x14ac:dyDescent="0.25">
      <c r="AA163" s="381"/>
      <c r="AB163" s="381" t="str" cm="1">
        <f t="array" ref="AB163">IF(ISNUMBER(AA163), IFERROR(VALUE(RIGHT(AA163,LEN(AA163)-MIN(FIND({0;1;2;3;4;5;6;7;8;9},AA163&amp;"0123456789"))+1)),""), "")</f>
        <v/>
      </c>
    </row>
    <row r="164" spans="27:28" x14ac:dyDescent="0.25">
      <c r="AA164" s="381"/>
      <c r="AB164" s="381" t="str" cm="1">
        <f t="array" ref="AB164">IF(ISNUMBER(AA164), IFERROR(VALUE(RIGHT(AA164,LEN(AA164)-MIN(FIND({0;1;2;3;4;5;6;7;8;9},AA164&amp;"0123456789"))+1)),""), "")</f>
        <v/>
      </c>
    </row>
    <row r="165" spans="27:28" x14ac:dyDescent="0.25">
      <c r="AA165" s="381"/>
      <c r="AB165" s="381" t="str" cm="1">
        <f t="array" ref="AB165">IF(ISNUMBER(AA165), IFERROR(VALUE(RIGHT(AA165,LEN(AA165)-MIN(FIND({0;1;2;3;4;5;6;7;8;9},AA165&amp;"0123456789"))+1)),""), "")</f>
        <v/>
      </c>
    </row>
    <row r="166" spans="27:28" x14ac:dyDescent="0.25">
      <c r="AA166" s="381"/>
      <c r="AB166" s="381" t="str" cm="1">
        <f t="array" ref="AB166">IF(ISNUMBER(AA166), IFERROR(VALUE(RIGHT(AA166,LEN(AA166)-MIN(FIND({0;1;2;3;4;5;6;7;8;9},AA166&amp;"0123456789"))+1)),""), "")</f>
        <v/>
      </c>
    </row>
    <row r="167" spans="27:28" x14ac:dyDescent="0.25">
      <c r="AA167" s="381"/>
      <c r="AB167" s="381" t="str" cm="1">
        <f t="array" ref="AB167">IF(ISNUMBER(AA167), IFERROR(VALUE(RIGHT(AA167,LEN(AA167)-MIN(FIND({0;1;2;3;4;5;6;7;8;9},AA167&amp;"0123456789"))+1)),""), "")</f>
        <v/>
      </c>
    </row>
    <row r="168" spans="27:28" x14ac:dyDescent="0.25">
      <c r="AA168" s="381"/>
      <c r="AB168" s="381" t="str" cm="1">
        <f t="array" ref="AB168">IF(ISNUMBER(AA168), IFERROR(VALUE(RIGHT(AA168,LEN(AA168)-MIN(FIND({0;1;2;3;4;5;6;7;8;9},AA168&amp;"0123456789"))+1)),""), "")</f>
        <v/>
      </c>
    </row>
    <row r="169" spans="27:28" x14ac:dyDescent="0.25">
      <c r="AA169" s="381"/>
      <c r="AB169" s="381" t="str" cm="1">
        <f t="array" ref="AB169">IF(ISNUMBER(AA169), IFERROR(VALUE(RIGHT(AA169,LEN(AA169)-MIN(FIND({0;1;2;3;4;5;6;7;8;9},AA169&amp;"0123456789"))+1)),""), "")</f>
        <v/>
      </c>
    </row>
    <row r="170" spans="27:28" x14ac:dyDescent="0.25">
      <c r="AA170" s="381"/>
      <c r="AB170" s="381" t="str" cm="1">
        <f t="array" ref="AB170">IF(ISNUMBER(AA170), IFERROR(VALUE(RIGHT(AA170,LEN(AA170)-MIN(FIND({0;1;2;3;4;5;6;7;8;9},AA170&amp;"0123456789"))+1)),""), "")</f>
        <v/>
      </c>
    </row>
    <row r="171" spans="27:28" x14ac:dyDescent="0.25">
      <c r="AA171" s="381"/>
      <c r="AB171" s="381" t="str" cm="1">
        <f t="array" ref="AB171">IF(ISNUMBER(AA171), IFERROR(VALUE(RIGHT(AA171,LEN(AA171)-MIN(FIND({0;1;2;3;4;5;6;7;8;9},AA171&amp;"0123456789"))+1)),""), "")</f>
        <v/>
      </c>
    </row>
    <row r="172" spans="27:28" x14ac:dyDescent="0.25">
      <c r="AA172" s="381"/>
      <c r="AB172" s="381" t="str" cm="1">
        <f t="array" ref="AB172">IF(ISNUMBER(AA172), IFERROR(VALUE(RIGHT(AA172,LEN(AA172)-MIN(FIND({0;1;2;3;4;5;6;7;8;9},AA172&amp;"0123456789"))+1)),""), "")</f>
        <v/>
      </c>
    </row>
    <row r="173" spans="27:28" x14ac:dyDescent="0.25">
      <c r="AA173" s="381"/>
      <c r="AB173" s="381" t="str" cm="1">
        <f t="array" ref="AB173">IF(ISNUMBER(AA173), IFERROR(VALUE(RIGHT(AA173,LEN(AA173)-MIN(FIND({0;1;2;3;4;5;6;7;8;9},AA173&amp;"0123456789"))+1)),""), "")</f>
        <v/>
      </c>
    </row>
    <row r="174" spans="27:28" x14ac:dyDescent="0.25">
      <c r="AA174" s="381"/>
      <c r="AB174" s="381" t="str" cm="1">
        <f t="array" ref="AB174">IF(ISNUMBER(AA174), IFERROR(VALUE(RIGHT(AA174,LEN(AA174)-MIN(FIND({0;1;2;3;4;5;6;7;8;9},AA174&amp;"0123456789"))+1)),""), "")</f>
        <v/>
      </c>
    </row>
    <row r="175" spans="27:28" x14ac:dyDescent="0.25">
      <c r="AA175" s="381"/>
      <c r="AB175" s="381" t="str" cm="1">
        <f t="array" ref="AB175">IF(ISNUMBER(AA175), IFERROR(VALUE(RIGHT(AA175,LEN(AA175)-MIN(FIND({0;1;2;3;4;5;6;7;8;9},AA175&amp;"0123456789"))+1)),""), "")</f>
        <v/>
      </c>
    </row>
    <row r="176" spans="27:28" x14ac:dyDescent="0.25">
      <c r="AA176" s="381"/>
      <c r="AB176" s="381" t="str" cm="1">
        <f t="array" ref="AB176">IF(ISNUMBER(AA176), IFERROR(VALUE(RIGHT(AA176,LEN(AA176)-MIN(FIND({0;1;2;3;4;5;6;7;8;9},AA176&amp;"0123456789"))+1)),""), "")</f>
        <v/>
      </c>
    </row>
    <row r="177" spans="27:28" x14ac:dyDescent="0.25">
      <c r="AA177" s="381"/>
      <c r="AB177" s="381" t="str" cm="1">
        <f t="array" ref="AB177">IF(ISNUMBER(AA177), IFERROR(VALUE(RIGHT(AA177,LEN(AA177)-MIN(FIND({0;1;2;3;4;5;6;7;8;9},AA177&amp;"0123456789"))+1)),""), "")</f>
        <v/>
      </c>
    </row>
    <row r="178" spans="27:28" x14ac:dyDescent="0.25">
      <c r="AA178" s="381"/>
      <c r="AB178" s="381" t="str" cm="1">
        <f t="array" ref="AB178">IF(ISNUMBER(AA178), IFERROR(VALUE(RIGHT(AA178,LEN(AA178)-MIN(FIND({0;1;2;3;4;5;6;7;8;9},AA178&amp;"0123456789"))+1)),""), "")</f>
        <v/>
      </c>
    </row>
    <row r="179" spans="27:28" x14ac:dyDescent="0.25">
      <c r="AA179" s="381"/>
      <c r="AB179" s="381" t="str" cm="1">
        <f t="array" ref="AB179">IF(ISNUMBER(AA179), IFERROR(VALUE(RIGHT(AA179,LEN(AA179)-MIN(FIND({0;1;2;3;4;5;6;7;8;9},AA179&amp;"0123456789"))+1)),""), "")</f>
        <v/>
      </c>
    </row>
    <row r="180" spans="27:28" x14ac:dyDescent="0.25">
      <c r="AA180" s="381"/>
      <c r="AB180" s="381" t="str" cm="1">
        <f t="array" ref="AB180">IF(ISNUMBER(AA180), IFERROR(VALUE(RIGHT(AA180,LEN(AA180)-MIN(FIND({0;1;2;3;4;5;6;7;8;9},AA180&amp;"0123456789"))+1)),""), "")</f>
        <v/>
      </c>
    </row>
    <row r="181" spans="27:28" x14ac:dyDescent="0.25">
      <c r="AA181" s="381"/>
      <c r="AB181" s="381" t="str" cm="1">
        <f t="array" ref="AB181">IF(ISNUMBER(AA181), IFERROR(VALUE(RIGHT(AA181,LEN(AA181)-MIN(FIND({0;1;2;3;4;5;6;7;8;9},AA181&amp;"0123456789"))+1)),""), "")</f>
        <v/>
      </c>
    </row>
    <row r="182" spans="27:28" x14ac:dyDescent="0.25">
      <c r="AA182" s="381"/>
      <c r="AB182" s="381" t="str" cm="1">
        <f t="array" ref="AB182">IF(ISNUMBER(AA182), IFERROR(VALUE(RIGHT(AA182,LEN(AA182)-MIN(FIND({0;1;2;3;4;5;6;7;8;9},AA182&amp;"0123456789"))+1)),""), "")</f>
        <v/>
      </c>
    </row>
    <row r="183" spans="27:28" x14ac:dyDescent="0.25">
      <c r="AA183" s="381"/>
      <c r="AB183" s="381" t="str" cm="1">
        <f t="array" ref="AB183">IF(ISNUMBER(AA183), IFERROR(VALUE(RIGHT(AA183,LEN(AA183)-MIN(FIND({0;1;2;3;4;5;6;7;8;9},AA183&amp;"0123456789"))+1)),""), "")</f>
        <v/>
      </c>
    </row>
    <row r="184" spans="27:28" x14ac:dyDescent="0.25">
      <c r="AA184" s="381"/>
      <c r="AB184" s="381" t="str" cm="1">
        <f t="array" ref="AB184">IF(ISNUMBER(AA184), IFERROR(VALUE(RIGHT(AA184,LEN(AA184)-MIN(FIND({0;1;2;3;4;5;6;7;8;9},AA184&amp;"0123456789"))+1)),""), "")</f>
        <v/>
      </c>
    </row>
    <row r="185" spans="27:28" x14ac:dyDescent="0.25">
      <c r="AA185" s="381"/>
      <c r="AB185" s="381" t="str" cm="1">
        <f t="array" ref="AB185">IF(ISNUMBER(AA185), IFERROR(VALUE(RIGHT(AA185,LEN(AA185)-MIN(FIND({0;1;2;3;4;5;6;7;8;9},AA185&amp;"0123456789"))+1)),""), "")</f>
        <v/>
      </c>
    </row>
    <row r="186" spans="27:28" x14ac:dyDescent="0.25">
      <c r="AA186" s="381"/>
      <c r="AB186" s="381" t="str" cm="1">
        <f t="array" ref="AB186">IF(ISNUMBER(AA186), IFERROR(VALUE(RIGHT(AA186,LEN(AA186)-MIN(FIND({0;1;2;3;4;5;6;7;8;9},AA186&amp;"0123456789"))+1)),""), "")</f>
        <v/>
      </c>
    </row>
    <row r="187" spans="27:28" x14ac:dyDescent="0.25">
      <c r="AA187" s="381"/>
      <c r="AB187" s="381" t="str" cm="1">
        <f t="array" ref="AB187">IF(ISNUMBER(AA187), IFERROR(VALUE(RIGHT(AA187,LEN(AA187)-MIN(FIND({0;1;2;3;4;5;6;7;8;9},AA187&amp;"0123456789"))+1)),""), "")</f>
        <v/>
      </c>
    </row>
    <row r="188" spans="27:28" x14ac:dyDescent="0.25">
      <c r="AA188" s="381"/>
      <c r="AB188" s="381" t="str" cm="1">
        <f t="array" ref="AB188">IF(ISNUMBER(AA188), IFERROR(VALUE(RIGHT(AA188,LEN(AA188)-MIN(FIND({0;1;2;3;4;5;6;7;8;9},AA188&amp;"0123456789"))+1)),""), "")</f>
        <v/>
      </c>
    </row>
    <row r="189" spans="27:28" x14ac:dyDescent="0.25">
      <c r="AA189" s="381"/>
      <c r="AB189" s="381" t="str" cm="1">
        <f t="array" ref="AB189">IF(ISNUMBER(AA189), IFERROR(VALUE(RIGHT(AA189,LEN(AA189)-MIN(FIND({0;1;2;3;4;5;6;7;8;9},AA189&amp;"0123456789"))+1)),""), "")</f>
        <v/>
      </c>
    </row>
    <row r="190" spans="27:28" x14ac:dyDescent="0.25">
      <c r="AA190" s="381"/>
      <c r="AB190" s="381" t="str" cm="1">
        <f t="array" ref="AB190">IF(ISNUMBER(AA190), IFERROR(VALUE(RIGHT(AA190,LEN(AA190)-MIN(FIND({0;1;2;3;4;5;6;7;8;9},AA190&amp;"0123456789"))+1)),""), "")</f>
        <v/>
      </c>
    </row>
    <row r="191" spans="27:28" x14ac:dyDescent="0.25">
      <c r="AA191" s="381"/>
      <c r="AB191" s="381" t="str" cm="1">
        <f t="array" ref="AB191">IF(ISNUMBER(AA191), IFERROR(VALUE(RIGHT(AA191,LEN(AA191)-MIN(FIND({0;1;2;3;4;5;6;7;8;9},AA191&amp;"0123456789"))+1)),""), "")</f>
        <v/>
      </c>
    </row>
    <row r="192" spans="27:28" x14ac:dyDescent="0.25">
      <c r="AA192" s="381"/>
      <c r="AB192" s="381" t="str" cm="1">
        <f t="array" ref="AB192">IF(ISNUMBER(AA192), IFERROR(VALUE(RIGHT(AA192,LEN(AA192)-MIN(FIND({0;1;2;3;4;5;6;7;8;9},AA192&amp;"0123456789"))+1)),""), "")</f>
        <v/>
      </c>
    </row>
    <row r="193" spans="27:28" x14ac:dyDescent="0.25">
      <c r="AA193" s="381"/>
      <c r="AB193" s="381" t="str" cm="1">
        <f t="array" ref="AB193">IF(ISNUMBER(AA193), IFERROR(VALUE(RIGHT(AA193,LEN(AA193)-MIN(FIND({0;1;2;3;4;5;6;7;8;9},AA193&amp;"0123456789"))+1)),""), "")</f>
        <v/>
      </c>
    </row>
    <row r="194" spans="27:28" x14ac:dyDescent="0.25">
      <c r="AA194" s="381"/>
      <c r="AB194" s="381" t="str" cm="1">
        <f t="array" ref="AB194">IF(ISNUMBER(AA194), IFERROR(VALUE(RIGHT(AA194,LEN(AA194)-MIN(FIND({0;1;2;3;4;5;6;7;8;9},AA194&amp;"0123456789"))+1)),""), "")</f>
        <v/>
      </c>
    </row>
    <row r="195" spans="27:28" x14ac:dyDescent="0.25">
      <c r="AA195" s="381"/>
      <c r="AB195" s="381" t="str" cm="1">
        <f t="array" ref="AB195">IF(ISNUMBER(AA195), IFERROR(VALUE(RIGHT(AA195,LEN(AA195)-MIN(FIND({0;1;2;3;4;5;6;7;8;9},AA195&amp;"0123456789"))+1)),""), "")</f>
        <v/>
      </c>
    </row>
    <row r="196" spans="27:28" x14ac:dyDescent="0.25">
      <c r="AA196" s="381"/>
      <c r="AB196" s="381" t="str" cm="1">
        <f t="array" ref="AB196">IF(ISNUMBER(AA196), IFERROR(VALUE(RIGHT(AA196,LEN(AA196)-MIN(FIND({0;1;2;3;4;5;6;7;8;9},AA196&amp;"0123456789"))+1)),""), "")</f>
        <v/>
      </c>
    </row>
    <row r="197" spans="27:28" x14ac:dyDescent="0.25">
      <c r="AA197" s="381"/>
      <c r="AB197" s="381" t="str" cm="1">
        <f t="array" ref="AB197">IF(ISNUMBER(AA197), IFERROR(VALUE(RIGHT(AA197,LEN(AA197)-MIN(FIND({0;1;2;3;4;5;6;7;8;9},AA197&amp;"0123456789"))+1)),""), "")</f>
        <v/>
      </c>
    </row>
    <row r="198" spans="27:28" x14ac:dyDescent="0.25">
      <c r="AA198" s="381"/>
      <c r="AB198" s="381" t="str" cm="1">
        <f t="array" ref="AB198">IF(ISNUMBER(AA198), IFERROR(VALUE(RIGHT(AA198,LEN(AA198)-MIN(FIND({0;1;2;3;4;5;6;7;8;9},AA198&amp;"0123456789"))+1)),""), "")</f>
        <v/>
      </c>
    </row>
    <row r="199" spans="27:28" x14ac:dyDescent="0.25">
      <c r="AA199" s="381"/>
      <c r="AB199" s="381" t="str" cm="1">
        <f t="array" ref="AB199">IF(ISNUMBER(AA199), IFERROR(VALUE(RIGHT(AA199,LEN(AA199)-MIN(FIND({0;1;2;3;4;5;6;7;8;9},AA199&amp;"0123456789"))+1)),""), "")</f>
        <v/>
      </c>
    </row>
    <row r="200" spans="27:28" x14ac:dyDescent="0.25">
      <c r="AA200" s="381"/>
      <c r="AB200" s="381" t="str" cm="1">
        <f t="array" ref="AB200">IF(ISNUMBER(AA200), IFERROR(VALUE(RIGHT(AA200,LEN(AA200)-MIN(FIND({0;1;2;3;4;5;6;7;8;9},AA200&amp;"0123456789"))+1)),""), "")</f>
        <v/>
      </c>
    </row>
    <row r="201" spans="27:28" x14ac:dyDescent="0.25">
      <c r="AA201" s="381"/>
      <c r="AB201" s="381" t="str" cm="1">
        <f t="array" ref="AB201">IF(ISNUMBER(AA201), IFERROR(VALUE(RIGHT(AA201,LEN(AA201)-MIN(FIND({0;1;2;3;4;5;6;7;8;9},AA201&amp;"0123456789"))+1)),""), "")</f>
        <v/>
      </c>
    </row>
    <row r="202" spans="27:28" x14ac:dyDescent="0.25">
      <c r="AA202" s="381"/>
      <c r="AB202" s="381" t="str" cm="1">
        <f t="array" ref="AB202">IF(ISNUMBER(AA202), IFERROR(VALUE(RIGHT(AA202,LEN(AA202)-MIN(FIND({0;1;2;3;4;5;6;7;8;9},AA202&amp;"0123456789"))+1)),""), "")</f>
        <v/>
      </c>
    </row>
    <row r="203" spans="27:28" x14ac:dyDescent="0.25">
      <c r="AA203" s="381"/>
      <c r="AB203" s="381" t="str" cm="1">
        <f t="array" ref="AB203">IF(ISNUMBER(AA203), IFERROR(VALUE(RIGHT(AA203,LEN(AA203)-MIN(FIND({0;1;2;3;4;5;6;7;8;9},AA203&amp;"0123456789"))+1)),""), "")</f>
        <v/>
      </c>
    </row>
    <row r="204" spans="27:28" x14ac:dyDescent="0.25">
      <c r="AA204" s="381"/>
      <c r="AB204" s="381" t="str" cm="1">
        <f t="array" ref="AB204">IF(ISNUMBER(AA204), IFERROR(VALUE(RIGHT(AA204,LEN(AA204)-MIN(FIND({0;1;2;3;4;5;6;7;8;9},AA204&amp;"0123456789"))+1)),""), "")</f>
        <v/>
      </c>
    </row>
    <row r="205" spans="27:28" x14ac:dyDescent="0.25">
      <c r="AA205" s="381"/>
      <c r="AB205" s="381" t="str" cm="1">
        <f t="array" ref="AB205">IF(ISNUMBER(AA205), IFERROR(VALUE(RIGHT(AA205,LEN(AA205)-MIN(FIND({0;1;2;3;4;5;6;7;8;9},AA205&amp;"0123456789"))+1)),""), "")</f>
        <v/>
      </c>
    </row>
    <row r="206" spans="27:28" x14ac:dyDescent="0.25">
      <c r="AA206" s="381"/>
      <c r="AB206" s="381" t="str" cm="1">
        <f t="array" ref="AB206">IF(ISNUMBER(AA206), IFERROR(VALUE(RIGHT(AA206,LEN(AA206)-MIN(FIND({0;1;2;3;4;5;6;7;8;9},AA206&amp;"0123456789"))+1)),""), "")</f>
        <v/>
      </c>
    </row>
    <row r="207" spans="27:28" x14ac:dyDescent="0.25">
      <c r="AA207" s="381"/>
      <c r="AB207" s="381" t="str" cm="1">
        <f t="array" ref="AB207">IF(ISNUMBER(AA207), IFERROR(VALUE(RIGHT(AA207,LEN(AA207)-MIN(FIND({0;1;2;3;4;5;6;7;8;9},AA207&amp;"0123456789"))+1)),""), "")</f>
        <v/>
      </c>
    </row>
    <row r="208" spans="27:28" x14ac:dyDescent="0.25">
      <c r="AA208" s="381"/>
      <c r="AB208" s="381" t="str" cm="1">
        <f t="array" ref="AB208">IF(ISNUMBER(AA208), IFERROR(VALUE(RIGHT(AA208,LEN(AA208)-MIN(FIND({0;1;2;3;4;5;6;7;8;9},AA208&amp;"0123456789"))+1)),""), "")</f>
        <v/>
      </c>
    </row>
    <row r="209" spans="27:28" x14ac:dyDescent="0.25">
      <c r="AA209" s="381"/>
      <c r="AB209" s="381" t="str" cm="1">
        <f t="array" ref="AB209">IF(ISNUMBER(AA209), IFERROR(VALUE(RIGHT(AA209,LEN(AA209)-MIN(FIND({0;1;2;3;4;5;6;7;8;9},AA209&amp;"0123456789"))+1)),""), "")</f>
        <v/>
      </c>
    </row>
    <row r="210" spans="27:28" x14ac:dyDescent="0.25">
      <c r="AA210" s="381"/>
      <c r="AB210" s="381" t="str" cm="1">
        <f t="array" ref="AB210">IF(ISNUMBER(AA210), IFERROR(VALUE(RIGHT(AA210,LEN(AA210)-MIN(FIND({0;1;2;3;4;5;6;7;8;9},AA210&amp;"0123456789"))+1)),""), "")</f>
        <v/>
      </c>
    </row>
    <row r="211" spans="27:28" x14ac:dyDescent="0.25">
      <c r="AA211" s="381"/>
      <c r="AB211" s="381" t="str" cm="1">
        <f t="array" ref="AB211">IF(ISNUMBER(AA211), IFERROR(VALUE(RIGHT(AA211,LEN(AA211)-MIN(FIND({0;1;2;3;4;5;6;7;8;9},AA211&amp;"0123456789"))+1)),""), "")</f>
        <v/>
      </c>
    </row>
    <row r="212" spans="27:28" x14ac:dyDescent="0.25">
      <c r="AA212" s="381"/>
      <c r="AB212" s="381" t="str" cm="1">
        <f t="array" ref="AB212">IF(ISNUMBER(AA212), IFERROR(VALUE(RIGHT(AA212,LEN(AA212)-MIN(FIND({0;1;2;3;4;5;6;7;8;9},AA212&amp;"0123456789"))+1)),""), "")</f>
        <v/>
      </c>
    </row>
    <row r="213" spans="27:28" x14ac:dyDescent="0.25">
      <c r="AA213" s="381"/>
      <c r="AB213" s="381" t="str" cm="1">
        <f t="array" ref="AB213">IF(ISNUMBER(AA213), IFERROR(VALUE(RIGHT(AA213,LEN(AA213)-MIN(FIND({0;1;2;3;4;5;6;7;8;9},AA213&amp;"0123456789"))+1)),""), "")</f>
        <v/>
      </c>
    </row>
    <row r="214" spans="27:28" x14ac:dyDescent="0.25">
      <c r="AA214" s="381"/>
      <c r="AB214" s="381" t="str" cm="1">
        <f t="array" ref="AB214">IF(ISNUMBER(AA214), IFERROR(VALUE(RIGHT(AA214,LEN(AA214)-MIN(FIND({0;1;2;3;4;5;6;7;8;9},AA214&amp;"0123456789"))+1)),""), "")</f>
        <v/>
      </c>
    </row>
    <row r="215" spans="27:28" x14ac:dyDescent="0.25">
      <c r="AA215" s="381"/>
      <c r="AB215" s="381" t="str" cm="1">
        <f t="array" ref="AB215">IF(ISNUMBER(AA215), IFERROR(VALUE(RIGHT(AA215,LEN(AA215)-MIN(FIND({0;1;2;3;4;5;6;7;8;9},AA215&amp;"0123456789"))+1)),""), "")</f>
        <v/>
      </c>
    </row>
    <row r="216" spans="27:28" x14ac:dyDescent="0.25">
      <c r="AA216" s="381"/>
      <c r="AB216" s="381" t="str" cm="1">
        <f t="array" ref="AB216">IF(ISNUMBER(AA216), IFERROR(VALUE(RIGHT(AA216,LEN(AA216)-MIN(FIND({0;1;2;3;4;5;6;7;8;9},AA216&amp;"0123456789"))+1)),""), "")</f>
        <v/>
      </c>
    </row>
    <row r="217" spans="27:28" x14ac:dyDescent="0.25">
      <c r="AA217" s="381"/>
      <c r="AB217" s="381" t="str" cm="1">
        <f t="array" ref="AB217">IF(ISNUMBER(AA217), IFERROR(VALUE(RIGHT(AA217,LEN(AA217)-MIN(FIND({0;1;2;3;4;5;6;7;8;9},AA217&amp;"0123456789"))+1)),""), "")</f>
        <v/>
      </c>
    </row>
    <row r="218" spans="27:28" x14ac:dyDescent="0.25">
      <c r="AA218" s="381"/>
      <c r="AB218" s="381" t="str" cm="1">
        <f t="array" ref="AB218">IF(ISNUMBER(AA218), IFERROR(VALUE(RIGHT(AA218,LEN(AA218)-MIN(FIND({0;1;2;3;4;5;6;7;8;9},AA218&amp;"0123456789"))+1)),""), "")</f>
        <v/>
      </c>
    </row>
    <row r="219" spans="27:28" x14ac:dyDescent="0.25">
      <c r="AA219" s="381"/>
      <c r="AB219" s="381" t="str" cm="1">
        <f t="array" ref="AB219">IF(ISNUMBER(AA219), IFERROR(VALUE(RIGHT(AA219,LEN(AA219)-MIN(FIND({0;1;2;3;4;5;6;7;8;9},AA219&amp;"0123456789"))+1)),""), "")</f>
        <v/>
      </c>
    </row>
    <row r="220" spans="27:28" x14ac:dyDescent="0.25">
      <c r="AA220" s="381"/>
      <c r="AB220" s="381" t="str" cm="1">
        <f t="array" ref="AB220">IF(ISNUMBER(AA220), IFERROR(VALUE(RIGHT(AA220,LEN(AA220)-MIN(FIND({0;1;2;3;4;5;6;7;8;9},AA220&amp;"0123456789"))+1)),""), "")</f>
        <v/>
      </c>
    </row>
    <row r="221" spans="27:28" x14ac:dyDescent="0.25">
      <c r="AA221" s="381"/>
      <c r="AB221" s="381" t="str" cm="1">
        <f t="array" ref="AB221">IF(ISNUMBER(AA221), IFERROR(VALUE(RIGHT(AA221,LEN(AA221)-MIN(FIND({0;1;2;3;4;5;6;7;8;9},AA221&amp;"0123456789"))+1)),""), "")</f>
        <v/>
      </c>
    </row>
    <row r="222" spans="27:28" x14ac:dyDescent="0.25">
      <c r="AA222" s="381"/>
      <c r="AB222" s="381" t="str" cm="1">
        <f t="array" ref="AB222">IF(ISNUMBER(AA222), IFERROR(VALUE(RIGHT(AA222,LEN(AA222)-MIN(FIND({0;1;2;3;4;5;6;7;8;9},AA222&amp;"0123456789"))+1)),""), "")</f>
        <v/>
      </c>
    </row>
    <row r="223" spans="27:28" x14ac:dyDescent="0.25">
      <c r="AA223" s="381"/>
      <c r="AB223" s="381" t="str" cm="1">
        <f t="array" ref="AB223">IF(ISNUMBER(AA223), IFERROR(VALUE(RIGHT(AA223,LEN(AA223)-MIN(FIND({0;1;2;3;4;5;6;7;8;9},AA223&amp;"0123456789"))+1)),""), "")</f>
        <v/>
      </c>
    </row>
    <row r="224" spans="27:28" x14ac:dyDescent="0.25">
      <c r="AA224" s="381"/>
      <c r="AB224" s="381" t="str" cm="1">
        <f t="array" ref="AB224">IF(ISNUMBER(AA224), IFERROR(VALUE(RIGHT(AA224,LEN(AA224)-MIN(FIND({0;1;2;3;4;5;6;7;8;9},AA224&amp;"0123456789"))+1)),""), "")</f>
        <v/>
      </c>
    </row>
    <row r="225" spans="27:28" x14ac:dyDescent="0.25">
      <c r="AA225" s="381"/>
      <c r="AB225" s="381" t="str" cm="1">
        <f t="array" ref="AB225">IF(ISNUMBER(AA225), IFERROR(VALUE(RIGHT(AA225,LEN(AA225)-MIN(FIND({0;1;2;3;4;5;6;7;8;9},AA225&amp;"0123456789"))+1)),""), "")</f>
        <v/>
      </c>
    </row>
    <row r="226" spans="27:28" x14ac:dyDescent="0.25">
      <c r="AA226" s="381"/>
      <c r="AB226" s="381" t="str" cm="1">
        <f t="array" ref="AB226">IF(ISNUMBER(AA226), IFERROR(VALUE(RIGHT(AA226,LEN(AA226)-MIN(FIND({0;1;2;3;4;5;6;7;8;9},AA226&amp;"0123456789"))+1)),""), "")</f>
        <v/>
      </c>
    </row>
    <row r="227" spans="27:28" x14ac:dyDescent="0.25">
      <c r="AA227" s="381"/>
      <c r="AB227" s="381" t="str" cm="1">
        <f t="array" ref="AB227">IF(ISNUMBER(AA227), IFERROR(VALUE(RIGHT(AA227,LEN(AA227)-MIN(FIND({0;1;2;3;4;5;6;7;8;9},AA227&amp;"0123456789"))+1)),""), "")</f>
        <v/>
      </c>
    </row>
    <row r="228" spans="27:28" x14ac:dyDescent="0.25">
      <c r="AA228" s="381"/>
      <c r="AB228" s="381" t="str" cm="1">
        <f t="array" ref="AB228">IF(ISNUMBER(AA228), IFERROR(VALUE(RIGHT(AA228,LEN(AA228)-MIN(FIND({0;1;2;3;4;5;6;7;8;9},AA228&amp;"0123456789"))+1)),""), "")</f>
        <v/>
      </c>
    </row>
    <row r="229" spans="27:28" x14ac:dyDescent="0.25">
      <c r="AA229" s="381"/>
      <c r="AB229" s="381" t="str" cm="1">
        <f t="array" ref="AB229">IF(ISNUMBER(AA229), IFERROR(VALUE(RIGHT(AA229,LEN(AA229)-MIN(FIND({0;1;2;3;4;5;6;7;8;9},AA229&amp;"0123456789"))+1)),""), "")</f>
        <v/>
      </c>
    </row>
    <row r="230" spans="27:28" x14ac:dyDescent="0.25">
      <c r="AA230" s="381"/>
      <c r="AB230" s="381" t="str" cm="1">
        <f t="array" ref="AB230">IF(ISNUMBER(AA230), IFERROR(VALUE(RIGHT(AA230,LEN(AA230)-MIN(FIND({0;1;2;3;4;5;6;7;8;9},AA230&amp;"0123456789"))+1)),""), "")</f>
        <v/>
      </c>
    </row>
    <row r="231" spans="27:28" x14ac:dyDescent="0.25">
      <c r="AA231" s="381"/>
      <c r="AB231" s="381" t="str" cm="1">
        <f t="array" ref="AB231">IF(ISNUMBER(AA231), IFERROR(VALUE(RIGHT(AA231,LEN(AA231)-MIN(FIND({0;1;2;3;4;5;6;7;8;9},AA231&amp;"0123456789"))+1)),""), "")</f>
        <v/>
      </c>
    </row>
    <row r="232" spans="27:28" x14ac:dyDescent="0.25">
      <c r="AA232" s="381"/>
      <c r="AB232" s="381" t="str" cm="1">
        <f t="array" ref="AB232">IF(ISNUMBER(AA232), IFERROR(VALUE(RIGHT(AA232,LEN(AA232)-MIN(FIND({0;1;2;3;4;5;6;7;8;9},AA232&amp;"0123456789"))+1)),""), "")</f>
        <v/>
      </c>
    </row>
    <row r="233" spans="27:28" x14ac:dyDescent="0.25">
      <c r="AA233" s="381"/>
      <c r="AB233" s="381" t="str" cm="1">
        <f t="array" ref="AB233">IF(ISNUMBER(AA233), IFERROR(VALUE(RIGHT(AA233,LEN(AA233)-MIN(FIND({0;1;2;3;4;5;6;7;8;9},AA233&amp;"0123456789"))+1)),""), "")</f>
        <v/>
      </c>
    </row>
    <row r="234" spans="27:28" x14ac:dyDescent="0.25">
      <c r="AA234" s="381"/>
      <c r="AB234" s="381" t="str" cm="1">
        <f t="array" ref="AB234">IF(ISNUMBER(AA234), IFERROR(VALUE(RIGHT(AA234,LEN(AA234)-MIN(FIND({0;1;2;3;4;5;6;7;8;9},AA234&amp;"0123456789"))+1)),""), "")</f>
        <v/>
      </c>
    </row>
    <row r="235" spans="27:28" x14ac:dyDescent="0.25">
      <c r="AA235" s="381"/>
      <c r="AB235" s="381" t="str" cm="1">
        <f t="array" ref="AB235">IF(ISNUMBER(AA235), IFERROR(VALUE(RIGHT(AA235,LEN(AA235)-MIN(FIND({0;1;2;3;4;5;6;7;8;9},AA235&amp;"0123456789"))+1)),""), "")</f>
        <v/>
      </c>
    </row>
    <row r="236" spans="27:28" x14ac:dyDescent="0.25">
      <c r="AA236" s="381"/>
      <c r="AB236" s="381" t="str" cm="1">
        <f t="array" ref="AB236">IF(ISNUMBER(AA236), IFERROR(VALUE(RIGHT(AA236,LEN(AA236)-MIN(FIND({0;1;2;3;4;5;6;7;8;9},AA236&amp;"0123456789"))+1)),""), "")</f>
        <v/>
      </c>
    </row>
    <row r="237" spans="27:28" x14ac:dyDescent="0.25">
      <c r="AB237" s="381" t="str" cm="1">
        <f t="array" ref="AB237">IF(ISNUMBER(AA237), IFERROR(VALUE(RIGHT(AA237,LEN(AA237)-MIN(FIND({0;1;2;3;4;5;6;7;8;9},AA237&amp;"0123456789"))+1)),""), "")</f>
        <v/>
      </c>
    </row>
    <row r="238" spans="27:28" x14ac:dyDescent="0.25">
      <c r="AB238" s="381" t="str" cm="1">
        <f t="array" ref="AB238">IF(ISNUMBER(AA238), IFERROR(VALUE(RIGHT(AA238,LEN(AA238)-MIN(FIND({0;1;2;3;4;5;6;7;8;9},AA238&amp;"0123456789"))+1)),""), "")</f>
        <v/>
      </c>
    </row>
    <row r="239" spans="27:28" x14ac:dyDescent="0.25">
      <c r="AB239" s="381" t="str" cm="1">
        <f t="array" ref="AB239">IF(ISNUMBER(AA239), IFERROR(VALUE(RIGHT(AA239,LEN(AA239)-MIN(FIND({0;1;2;3;4;5;6;7;8;9},AA239&amp;"0123456789"))+1)),""), "")</f>
        <v/>
      </c>
    </row>
    <row r="240" spans="27:28" x14ac:dyDescent="0.25">
      <c r="AB240" s="381" t="str" cm="1">
        <f t="array" ref="AB240">IF(ISNUMBER(AA240), IFERROR(VALUE(RIGHT(AA240,LEN(AA240)-MIN(FIND({0;1;2;3;4;5;6;7;8;9},AA240&amp;"0123456789"))+1)),""), "")</f>
        <v/>
      </c>
    </row>
    <row r="241" spans="28:28" x14ac:dyDescent="0.25">
      <c r="AB241" s="381" t="str" cm="1">
        <f t="array" ref="AB241">IF(ISNUMBER(AA241), IFERROR(VALUE(RIGHT(AA241,LEN(AA241)-MIN(FIND({0;1;2;3;4;5;6;7;8;9},AA241&amp;"0123456789"))+1)),""), "")</f>
        <v/>
      </c>
    </row>
    <row r="242" spans="28:28" x14ac:dyDescent="0.25">
      <c r="AB242" s="381" t="str" cm="1">
        <f t="array" ref="AB242">IF(ISNUMBER(AA242), IFERROR(VALUE(RIGHT(AA242,LEN(AA242)-MIN(FIND({0;1;2;3;4;5;6;7;8;9},AA242&amp;"0123456789"))+1)),""), "")</f>
        <v/>
      </c>
    </row>
    <row r="243" spans="28:28" x14ac:dyDescent="0.25">
      <c r="AB243" s="381" t="str" cm="1">
        <f t="array" ref="AB243">IF(ISNUMBER(AA243), IFERROR(VALUE(RIGHT(AA243,LEN(AA243)-MIN(FIND({0;1;2;3;4;5;6;7;8;9},AA243&amp;"0123456789"))+1)),""), "")</f>
        <v/>
      </c>
    </row>
    <row r="244" spans="28:28" x14ac:dyDescent="0.25">
      <c r="AB244" s="381" t="str" cm="1">
        <f t="array" ref="AB244">IF(ISNUMBER(AA244), IFERROR(VALUE(RIGHT(AA244,LEN(AA244)-MIN(FIND({0;1;2;3;4;5;6;7;8;9},AA244&amp;"0123456789"))+1)),""), "")</f>
        <v/>
      </c>
    </row>
    <row r="245" spans="28:28" x14ac:dyDescent="0.25">
      <c r="AB245" s="381" t="str" cm="1">
        <f t="array" ref="AB245">IF(ISNUMBER(AA245), IFERROR(VALUE(RIGHT(AA245,LEN(AA245)-MIN(FIND({0;1;2;3;4;5;6;7;8;9},AA245&amp;"0123456789"))+1)),""), "")</f>
        <v/>
      </c>
    </row>
    <row r="246" spans="28:28" x14ac:dyDescent="0.25">
      <c r="AB246" s="381" t="str" cm="1">
        <f t="array" ref="AB246">IF(ISNUMBER(AA246), IFERROR(VALUE(RIGHT(AA246,LEN(AA246)-MIN(FIND({0;1;2;3;4;5;6;7;8;9},AA246&amp;"0123456789"))+1)),""), "")</f>
        <v/>
      </c>
    </row>
    <row r="247" spans="28:28" x14ac:dyDescent="0.25">
      <c r="AB247" s="381" t="str" cm="1">
        <f t="array" ref="AB247">IF(ISNUMBER(AA247), IFERROR(VALUE(RIGHT(AA247,LEN(AA247)-MIN(FIND({0;1;2;3;4;5;6;7;8;9},AA247&amp;"0123456789"))+1)),""), "")</f>
        <v/>
      </c>
    </row>
    <row r="248" spans="28:28" x14ac:dyDescent="0.25">
      <c r="AB248" s="381" t="str" cm="1">
        <f t="array" ref="AB248">IF(ISNUMBER(AA248), IFERROR(VALUE(RIGHT(AA248,LEN(AA248)-MIN(FIND({0;1;2;3;4;5;6;7;8;9},AA248&amp;"0123456789"))+1)),""), "")</f>
        <v/>
      </c>
    </row>
    <row r="249" spans="28:28" x14ac:dyDescent="0.25">
      <c r="AB249" s="381" t="str" cm="1">
        <f t="array" ref="AB249">IF(ISNUMBER(AA249), IFERROR(VALUE(RIGHT(AA249,LEN(AA249)-MIN(FIND({0;1;2;3;4;5;6;7;8;9},AA249&amp;"0123456789"))+1)),""), "")</f>
        <v/>
      </c>
    </row>
    <row r="250" spans="28:28" x14ac:dyDescent="0.25">
      <c r="AB250" s="381" t="str" cm="1">
        <f t="array" ref="AB250">IF(ISNUMBER(AA250), IFERROR(VALUE(RIGHT(AA250,LEN(AA250)-MIN(FIND({0;1;2;3;4;5;6;7;8;9},AA250&amp;"0123456789"))+1)),""), "")</f>
        <v/>
      </c>
    </row>
    <row r="251" spans="28:28" x14ac:dyDescent="0.25">
      <c r="AB251" s="381" t="str" cm="1">
        <f t="array" ref="AB251">IF(ISNUMBER(AA251), IFERROR(VALUE(RIGHT(AA251,LEN(AA251)-MIN(FIND({0;1;2;3;4;5;6;7;8;9},AA251&amp;"0123456789"))+1)),""), "")</f>
        <v/>
      </c>
    </row>
    <row r="252" spans="28:28" x14ac:dyDescent="0.25">
      <c r="AB252" s="381" t="str" cm="1">
        <f t="array" ref="AB252">IF(ISNUMBER(AA252), IFERROR(VALUE(RIGHT(AA252,LEN(AA252)-MIN(FIND({0;1;2;3;4;5;6;7;8;9},AA252&amp;"0123456789"))+1)),""), "")</f>
        <v/>
      </c>
    </row>
    <row r="253" spans="28:28" x14ac:dyDescent="0.25">
      <c r="AB253" s="381" t="str" cm="1">
        <f t="array" ref="AB253">IF(ISNUMBER(AA253), IFERROR(VALUE(RIGHT(AA253,LEN(AA253)-MIN(FIND({0;1;2;3;4;5;6;7;8;9},AA253&amp;"0123456789"))+1)),""), "")</f>
        <v/>
      </c>
    </row>
    <row r="254" spans="28:28" x14ac:dyDescent="0.25">
      <c r="AB254" s="381" t="str" cm="1">
        <f t="array" ref="AB254">IF(ISNUMBER(AA254), IFERROR(VALUE(RIGHT(AA254,LEN(AA254)-MIN(FIND({0;1;2;3;4;5;6;7;8;9},AA254&amp;"0123456789"))+1)),""), "")</f>
        <v/>
      </c>
    </row>
    <row r="255" spans="28:28" x14ac:dyDescent="0.25">
      <c r="AB255" s="381" t="str" cm="1">
        <f t="array" ref="AB255">IF(ISNUMBER(AA255), IFERROR(VALUE(RIGHT(AA255,LEN(AA255)-MIN(FIND({0;1;2;3;4;5;6;7;8;9},AA255&amp;"0123456789"))+1)),""), "")</f>
        <v/>
      </c>
    </row>
    <row r="256" spans="28:28" x14ac:dyDescent="0.25">
      <c r="AB256" s="381" t="str" cm="1">
        <f t="array" ref="AB256">IF(ISNUMBER(AA256), IFERROR(VALUE(RIGHT(AA256,LEN(AA256)-MIN(FIND({0;1;2;3;4;5;6;7;8;9},AA256&amp;"0123456789"))+1)),""), "")</f>
        <v/>
      </c>
    </row>
    <row r="257" spans="28:28" x14ac:dyDescent="0.25">
      <c r="AB257" s="381" t="str" cm="1">
        <f t="array" ref="AB257">IF(ISNUMBER(AA257), IFERROR(VALUE(RIGHT(AA257,LEN(AA257)-MIN(FIND({0;1;2;3;4;5;6;7;8;9},AA257&amp;"0123456789"))+1)),""), "")</f>
        <v/>
      </c>
    </row>
    <row r="258" spans="28:28" x14ac:dyDescent="0.25">
      <c r="AB258" s="381" t="str" cm="1">
        <f t="array" ref="AB258">IF(ISNUMBER(AA258), IFERROR(VALUE(RIGHT(AA258,LEN(AA258)-MIN(FIND({0;1;2;3;4;5;6;7;8;9},AA258&amp;"0123456789"))+1)),""), "")</f>
        <v/>
      </c>
    </row>
    <row r="259" spans="28:28" x14ac:dyDescent="0.25">
      <c r="AB259" s="381" t="str" cm="1">
        <f t="array" ref="AB259">IF(ISNUMBER(AA259), IFERROR(VALUE(RIGHT(AA259,LEN(AA259)-MIN(FIND({0;1;2;3;4;5;6;7;8;9},AA259&amp;"0123456789"))+1)),""), "")</f>
        <v/>
      </c>
    </row>
    <row r="260" spans="28:28" x14ac:dyDescent="0.25">
      <c r="AB260" s="381" t="str" cm="1">
        <f t="array" ref="AB260">IF(ISNUMBER(AA260), IFERROR(VALUE(RIGHT(AA260,LEN(AA260)-MIN(FIND({0;1;2;3;4;5;6;7;8;9},AA260&amp;"0123456789"))+1)),""), "")</f>
        <v/>
      </c>
    </row>
    <row r="261" spans="28:28" x14ac:dyDescent="0.25">
      <c r="AB261" s="381" t="str" cm="1">
        <f t="array" ref="AB261">IF(ISNUMBER(AA261), IFERROR(VALUE(RIGHT(AA261,LEN(AA261)-MIN(FIND({0;1;2;3;4;5;6;7;8;9},AA261&amp;"0123456789"))+1)),""), "")</f>
        <v/>
      </c>
    </row>
    <row r="262" spans="28:28" x14ac:dyDescent="0.25">
      <c r="AB262" s="381" t="str" cm="1">
        <f t="array" ref="AB262">IF(ISNUMBER(AA262), IFERROR(VALUE(RIGHT(AA262,LEN(AA262)-MIN(FIND({0;1;2;3;4;5;6;7;8;9},AA262&amp;"0123456789"))+1)),""), "")</f>
        <v/>
      </c>
    </row>
    <row r="263" spans="28:28" x14ac:dyDescent="0.25">
      <c r="AB263" s="381" t="str" cm="1">
        <f t="array" ref="AB263">IF(ISNUMBER(AA263), IFERROR(VALUE(RIGHT(AA263,LEN(AA263)-MIN(FIND({0;1;2;3;4;5;6;7;8;9},AA263&amp;"0123456789"))+1)),""), "")</f>
        <v/>
      </c>
    </row>
    <row r="264" spans="28:28" x14ac:dyDescent="0.25">
      <c r="AB264" s="381" t="str" cm="1">
        <f t="array" ref="AB264">IF(ISNUMBER(AA264), IFERROR(VALUE(RIGHT(AA264,LEN(AA264)-MIN(FIND({0;1;2;3;4;5;6;7;8;9},AA264&amp;"0123456789"))+1)),""), "")</f>
        <v/>
      </c>
    </row>
    <row r="265" spans="28:28" x14ac:dyDescent="0.25">
      <c r="AB265" s="381" t="str" cm="1">
        <f t="array" ref="AB265">IF(ISNUMBER(AA265), IFERROR(VALUE(RIGHT(AA265,LEN(AA265)-MIN(FIND({0;1;2;3;4;5;6;7;8;9},AA265&amp;"0123456789"))+1)),""), "")</f>
        <v/>
      </c>
    </row>
    <row r="266" spans="28:28" x14ac:dyDescent="0.25">
      <c r="AB266" s="381" t="str" cm="1">
        <f t="array" ref="AB266">IF(ISNUMBER(AA266), IFERROR(VALUE(RIGHT(AA266,LEN(AA266)-MIN(FIND({0;1;2;3;4;5;6;7;8;9},AA266&amp;"0123456789"))+1)),""), "")</f>
        <v/>
      </c>
    </row>
    <row r="267" spans="28:28" x14ac:dyDescent="0.25">
      <c r="AB267" s="381" t="str" cm="1">
        <f t="array" ref="AB267">IF(ISNUMBER(AA267), IFERROR(VALUE(RIGHT(AA267,LEN(AA267)-MIN(FIND({0;1;2;3;4;5;6;7;8;9},AA267&amp;"0123456789"))+1)),""), "")</f>
        <v/>
      </c>
    </row>
    <row r="268" spans="28:28" x14ac:dyDescent="0.25">
      <c r="AB268" s="381" t="str" cm="1">
        <f t="array" ref="AB268">IF(ISNUMBER(AA268), IFERROR(VALUE(RIGHT(AA268,LEN(AA268)-MIN(FIND({0;1;2;3;4;5;6;7;8;9},AA268&amp;"0123456789"))+1)),""), "")</f>
        <v/>
      </c>
    </row>
    <row r="269" spans="28:28" x14ac:dyDescent="0.25">
      <c r="AB269" s="381" t="str" cm="1">
        <f t="array" ref="AB269">IF(ISNUMBER(AA269), IFERROR(VALUE(RIGHT(AA269,LEN(AA269)-MIN(FIND({0;1;2;3;4;5;6;7;8;9},AA269&amp;"0123456789"))+1)),""), "")</f>
        <v/>
      </c>
    </row>
    <row r="270" spans="28:28" x14ac:dyDescent="0.25">
      <c r="AB270" s="381" t="str" cm="1">
        <f t="array" ref="AB270">IF(ISNUMBER(AA270), IFERROR(VALUE(RIGHT(AA270,LEN(AA270)-MIN(FIND({0;1;2;3;4;5;6;7;8;9},AA270&amp;"0123456789"))+1)),""), "")</f>
        <v/>
      </c>
    </row>
    <row r="271" spans="28:28" x14ac:dyDescent="0.25">
      <c r="AB271" s="381" t="str" cm="1">
        <f t="array" ref="AB271">IF(ISNUMBER(AA271), IFERROR(VALUE(RIGHT(AA271,LEN(AA271)-MIN(FIND({0;1;2;3;4;5;6;7;8;9},AA271&amp;"0123456789"))+1)),""), "")</f>
        <v/>
      </c>
    </row>
    <row r="272" spans="28:28" x14ac:dyDescent="0.25">
      <c r="AB272" s="381" t="str" cm="1">
        <f t="array" ref="AB272">IF(ISNUMBER(AA272), IFERROR(VALUE(RIGHT(AA272,LEN(AA272)-MIN(FIND({0;1;2;3;4;5;6;7;8;9},AA272&amp;"0123456789"))+1)),""), "")</f>
        <v/>
      </c>
    </row>
    <row r="273" spans="28:28" x14ac:dyDescent="0.25">
      <c r="AB273" s="381" t="str" cm="1">
        <f t="array" ref="AB273">IF(ISNUMBER(AA273), IFERROR(VALUE(RIGHT(AA273,LEN(AA273)-MIN(FIND({0;1;2;3;4;5;6;7;8;9},AA273&amp;"0123456789"))+1)),""), "")</f>
        <v/>
      </c>
    </row>
    <row r="274" spans="28:28" x14ac:dyDescent="0.25">
      <c r="AB274" s="381" t="str" cm="1">
        <f t="array" ref="AB274">IF(ISNUMBER(AA274), IFERROR(VALUE(RIGHT(AA274,LEN(AA274)-MIN(FIND({0;1;2;3;4;5;6;7;8;9},AA274&amp;"0123456789"))+1)),""), "")</f>
        <v/>
      </c>
    </row>
    <row r="275" spans="28:28" x14ac:dyDescent="0.25">
      <c r="AB275" s="381" t="str" cm="1">
        <f t="array" ref="AB275">IF(ISNUMBER(AA275), IFERROR(VALUE(RIGHT(AA275,LEN(AA275)-MIN(FIND({0;1;2;3;4;5;6;7;8;9},AA275&amp;"0123456789"))+1)),""), "")</f>
        <v/>
      </c>
    </row>
    <row r="276" spans="28:28" x14ac:dyDescent="0.25">
      <c r="AB276" s="381" t="str" cm="1">
        <f t="array" ref="AB276">IF(ISNUMBER(AA276), IFERROR(VALUE(RIGHT(AA276,LEN(AA276)-MIN(FIND({0;1;2;3;4;5;6;7;8;9},AA276&amp;"0123456789"))+1)),""), "")</f>
        <v/>
      </c>
    </row>
    <row r="277" spans="28:28" x14ac:dyDescent="0.25">
      <c r="AB277" s="381" t="str" cm="1">
        <f t="array" ref="AB277">IF(ISNUMBER(AA277), IFERROR(VALUE(RIGHT(AA277,LEN(AA277)-MIN(FIND({0;1;2;3;4;5;6;7;8;9},AA277&amp;"0123456789"))+1)),""), "")</f>
        <v/>
      </c>
    </row>
    <row r="278" spans="28:28" x14ac:dyDescent="0.25">
      <c r="AB278" s="381" t="str" cm="1">
        <f t="array" ref="AB278">IF(ISNUMBER(AA278), IFERROR(VALUE(RIGHT(AA278,LEN(AA278)-MIN(FIND({0;1;2;3;4;5;6;7;8;9},AA278&amp;"0123456789"))+1)),""), "")</f>
        <v/>
      </c>
    </row>
    <row r="279" spans="28:28" x14ac:dyDescent="0.25">
      <c r="AB279" s="381" t="str" cm="1">
        <f t="array" ref="AB279">IF(ISNUMBER(AA279), IFERROR(VALUE(RIGHT(AA279,LEN(AA279)-MIN(FIND({0;1;2;3;4;5;6;7;8;9},AA279&amp;"0123456789"))+1)),""), "")</f>
        <v/>
      </c>
    </row>
    <row r="280" spans="28:28" x14ac:dyDescent="0.25">
      <c r="AB280" s="381" t="str" cm="1">
        <f t="array" ref="AB280">IF(ISNUMBER(AA280), IFERROR(VALUE(RIGHT(AA280,LEN(AA280)-MIN(FIND({0;1;2;3;4;5;6;7;8;9},AA280&amp;"0123456789"))+1)),""), "")</f>
        <v/>
      </c>
    </row>
    <row r="281" spans="28:28" x14ac:dyDescent="0.25">
      <c r="AB281" s="381" t="str" cm="1">
        <f t="array" ref="AB281">IF(ISNUMBER(AA281), IFERROR(VALUE(RIGHT(AA281,LEN(AA281)-MIN(FIND({0;1;2;3;4;5;6;7;8;9},AA281&amp;"0123456789"))+1)),""), "")</f>
        <v/>
      </c>
    </row>
    <row r="282" spans="28:28" x14ac:dyDescent="0.25">
      <c r="AB282" s="381" t="str" cm="1">
        <f t="array" ref="AB282">IF(ISNUMBER(AA282), IFERROR(VALUE(RIGHT(AA282,LEN(AA282)-MIN(FIND({0;1;2;3;4;5;6;7;8;9},AA282&amp;"0123456789"))+1)),""), "")</f>
        <v/>
      </c>
    </row>
    <row r="283" spans="28:28" x14ac:dyDescent="0.25">
      <c r="AB283" s="381" t="str" cm="1">
        <f t="array" ref="AB283">IF(ISNUMBER(AA283), IFERROR(VALUE(RIGHT(AA283,LEN(AA283)-MIN(FIND({0;1;2;3;4;5;6;7;8;9},AA283&amp;"0123456789"))+1)),""), "")</f>
        <v/>
      </c>
    </row>
    <row r="284" spans="28:28" x14ac:dyDescent="0.25">
      <c r="AB284" s="381" t="str" cm="1">
        <f t="array" ref="AB284">IF(ISNUMBER(AA284), IFERROR(VALUE(RIGHT(AA284,LEN(AA284)-MIN(FIND({0;1;2;3;4;5;6;7;8;9},AA284&amp;"0123456789"))+1)),""), "")</f>
        <v/>
      </c>
    </row>
    <row r="285" spans="28:28" x14ac:dyDescent="0.25">
      <c r="AB285" s="381" t="str" cm="1">
        <f t="array" ref="AB285">IF(ISNUMBER(AA285), IFERROR(VALUE(RIGHT(AA285,LEN(AA285)-MIN(FIND({0;1;2;3;4;5;6;7;8;9},AA285&amp;"0123456789"))+1)),""), "")</f>
        <v/>
      </c>
    </row>
    <row r="286" spans="28:28" x14ac:dyDescent="0.25">
      <c r="AB286" s="381" t="str" cm="1">
        <f t="array" ref="AB286">IF(ISNUMBER(AA286), IFERROR(VALUE(RIGHT(AA286,LEN(AA286)-MIN(FIND({0;1;2;3;4;5;6;7;8;9},AA286&amp;"0123456789"))+1)),""), "")</f>
        <v/>
      </c>
    </row>
    <row r="287" spans="28:28" x14ac:dyDescent="0.25">
      <c r="AB287" s="381" t="str" cm="1">
        <f t="array" ref="AB287">IF(ISNUMBER(AA287), IFERROR(VALUE(RIGHT(AA287,LEN(AA287)-MIN(FIND({0;1;2;3;4;5;6;7;8;9},AA287&amp;"0123456789"))+1)),""), "")</f>
        <v/>
      </c>
    </row>
    <row r="288" spans="28:28" x14ac:dyDescent="0.25">
      <c r="AB288" s="381" t="str" cm="1">
        <f t="array" ref="AB288">IF(ISNUMBER(AA288), IFERROR(VALUE(RIGHT(AA288,LEN(AA288)-MIN(FIND({0;1;2;3;4;5;6;7;8;9},AA288&amp;"0123456789"))+1)),""), "")</f>
        <v/>
      </c>
    </row>
    <row r="289" spans="28:28" x14ac:dyDescent="0.25">
      <c r="AB289" s="381" t="str" cm="1">
        <f t="array" ref="AB289">IF(ISNUMBER(AA289), IFERROR(VALUE(RIGHT(AA289,LEN(AA289)-MIN(FIND({0;1;2;3;4;5;6;7;8;9},AA289&amp;"0123456789"))+1)),""), "")</f>
        <v/>
      </c>
    </row>
    <row r="290" spans="28:28" x14ac:dyDescent="0.25">
      <c r="AB290" s="381" t="str" cm="1">
        <f t="array" ref="AB290">IF(ISNUMBER(AA290), IFERROR(VALUE(RIGHT(AA290,LEN(AA290)-MIN(FIND({0;1;2;3;4;5;6;7;8;9},AA290&amp;"0123456789"))+1)),""), "")</f>
        <v/>
      </c>
    </row>
    <row r="291" spans="28:28" x14ac:dyDescent="0.25">
      <c r="AB291" s="381" t="str" cm="1">
        <f t="array" ref="AB291">IF(ISNUMBER(AA291), IFERROR(VALUE(RIGHT(AA291,LEN(AA291)-MIN(FIND({0;1;2;3;4;5;6;7;8;9},AA291&amp;"0123456789"))+1)),""), "")</f>
        <v/>
      </c>
    </row>
    <row r="292" spans="28:28" x14ac:dyDescent="0.25">
      <c r="AB292" s="381" t="str" cm="1">
        <f t="array" ref="AB292">IF(ISNUMBER(AA292), IFERROR(VALUE(RIGHT(AA292,LEN(AA292)-MIN(FIND({0;1;2;3;4;5;6;7;8;9},AA292&amp;"0123456789"))+1)),""), "")</f>
        <v/>
      </c>
    </row>
    <row r="293" spans="28:28" x14ac:dyDescent="0.25">
      <c r="AB293" s="381" t="str" cm="1">
        <f t="array" ref="AB293">IF(ISNUMBER(AA293), IFERROR(VALUE(RIGHT(AA293,LEN(AA293)-MIN(FIND({0;1;2;3;4;5;6;7;8;9},AA293&amp;"0123456789"))+1)),""), "")</f>
        <v/>
      </c>
    </row>
    <row r="294" spans="28:28" x14ac:dyDescent="0.25">
      <c r="AB294" s="381" t="str" cm="1">
        <f t="array" ref="AB294">IF(ISNUMBER(AA294), IFERROR(VALUE(RIGHT(AA294,LEN(AA294)-MIN(FIND({0;1;2;3;4;5;6;7;8;9},AA294&amp;"0123456789"))+1)),""), "")</f>
        <v/>
      </c>
    </row>
    <row r="295" spans="28:28" x14ac:dyDescent="0.25">
      <c r="AB295" s="381" t="str" cm="1">
        <f t="array" ref="AB295">IF(ISNUMBER(AA295), IFERROR(VALUE(RIGHT(AA295,LEN(AA295)-MIN(FIND({0;1;2;3;4;5;6;7;8;9},AA295&amp;"0123456789"))+1)),""), "")</f>
        <v/>
      </c>
    </row>
    <row r="296" spans="28:28" x14ac:dyDescent="0.25">
      <c r="AB296" s="381" t="str" cm="1">
        <f t="array" ref="AB296">IF(ISNUMBER(AA296), IFERROR(VALUE(RIGHT(AA296,LEN(AA296)-MIN(FIND({0;1;2;3;4;5;6;7;8;9},AA296&amp;"0123456789"))+1)),""), "")</f>
        <v/>
      </c>
    </row>
    <row r="297" spans="28:28" x14ac:dyDescent="0.25">
      <c r="AB297" s="381" t="str" cm="1">
        <f t="array" ref="AB297">IF(ISNUMBER(AA297), IFERROR(VALUE(RIGHT(AA297,LEN(AA297)-MIN(FIND({0;1;2;3;4;5;6;7;8;9},AA297&amp;"0123456789"))+1)),""), "")</f>
        <v/>
      </c>
    </row>
    <row r="298" spans="28:28" x14ac:dyDescent="0.25">
      <c r="AB298" s="381" t="str" cm="1">
        <f t="array" ref="AB298">IF(ISNUMBER(AA298), IFERROR(VALUE(RIGHT(AA298,LEN(AA298)-MIN(FIND({0;1;2;3;4;5;6;7;8;9},AA298&amp;"0123456789"))+1)),""), "")</f>
        <v/>
      </c>
    </row>
    <row r="299" spans="28:28" x14ac:dyDescent="0.25">
      <c r="AB299" s="381" t="str" cm="1">
        <f t="array" ref="AB299">IF(ISNUMBER(AA299), IFERROR(VALUE(RIGHT(AA299,LEN(AA299)-MIN(FIND({0;1;2;3;4;5;6;7;8;9},AA299&amp;"0123456789"))+1)),""), "")</f>
        <v/>
      </c>
    </row>
    <row r="300" spans="28:28" x14ac:dyDescent="0.25">
      <c r="AB300" s="381" t="str" cm="1">
        <f t="array" ref="AB300">IF(ISNUMBER(AA300), IFERROR(VALUE(RIGHT(AA300,LEN(AA300)-MIN(FIND({0;1;2;3;4;5;6;7;8;9},AA300&amp;"0123456789"))+1)),""), "")</f>
        <v/>
      </c>
    </row>
    <row r="301" spans="28:28" x14ac:dyDescent="0.25">
      <c r="AB301" s="381" t="str" cm="1">
        <f t="array" ref="AB301">IF(ISNUMBER(AA301), IFERROR(VALUE(RIGHT(AA301,LEN(AA301)-MIN(FIND({0;1;2;3;4;5;6;7;8;9},AA301&amp;"0123456789"))+1)),""), "")</f>
        <v/>
      </c>
    </row>
    <row r="302" spans="28:28" x14ac:dyDescent="0.25">
      <c r="AB302" s="381" t="str" cm="1">
        <f t="array" ref="AB302">IF(ISNUMBER(AA302), IFERROR(VALUE(RIGHT(AA302,LEN(AA302)-MIN(FIND({0;1;2;3;4;5;6;7;8;9},AA302&amp;"0123456789"))+1)),""), "")</f>
        <v/>
      </c>
    </row>
    <row r="303" spans="28:28" x14ac:dyDescent="0.25">
      <c r="AB303" s="381" t="str" cm="1">
        <f t="array" ref="AB303">IF(ISNUMBER(AA303), IFERROR(VALUE(RIGHT(AA303,LEN(AA303)-MIN(FIND({0;1;2;3;4;5;6;7;8;9},AA303&amp;"0123456789"))+1)),""), "")</f>
        <v/>
      </c>
    </row>
    <row r="304" spans="28:28" x14ac:dyDescent="0.25">
      <c r="AB304" s="381" t="str" cm="1">
        <f t="array" ref="AB304">IF(ISNUMBER(AA304), IFERROR(VALUE(RIGHT(AA304,LEN(AA304)-MIN(FIND({0;1;2;3;4;5;6;7;8;9},AA304&amp;"0123456789"))+1)),""), "")</f>
        <v/>
      </c>
    </row>
    <row r="305" spans="28:28" x14ac:dyDescent="0.25">
      <c r="AB305" s="381" t="str" cm="1">
        <f t="array" ref="AB305">IF(ISNUMBER(AA305), IFERROR(VALUE(RIGHT(AA305,LEN(AA305)-MIN(FIND({0;1;2;3;4;5;6;7;8;9},AA305&amp;"0123456789"))+1)),""), "")</f>
        <v/>
      </c>
    </row>
    <row r="306" spans="28:28" x14ac:dyDescent="0.25">
      <c r="AB306" s="381" t="str" cm="1">
        <f t="array" ref="AB306">IF(ISNUMBER(AA306), IFERROR(VALUE(RIGHT(AA306,LEN(AA306)-MIN(FIND({0;1;2;3;4;5;6;7;8;9},AA306&amp;"0123456789"))+1)),""), "")</f>
        <v/>
      </c>
    </row>
    <row r="307" spans="28:28" x14ac:dyDescent="0.25">
      <c r="AB307" s="381" t="str" cm="1">
        <f t="array" ref="AB307">IF(ISNUMBER(AA307), IFERROR(VALUE(RIGHT(AA307,LEN(AA307)-MIN(FIND({0;1;2;3;4;5;6;7;8;9},AA307&amp;"0123456789"))+1)),""), "")</f>
        <v/>
      </c>
    </row>
    <row r="308" spans="28:28" x14ac:dyDescent="0.25">
      <c r="AB308" s="381" t="str" cm="1">
        <f t="array" ref="AB308">IF(ISNUMBER(AA308), IFERROR(VALUE(RIGHT(AA308,LEN(AA308)-MIN(FIND({0;1;2;3;4;5;6;7;8;9},AA308&amp;"0123456789"))+1)),""), "")</f>
        <v/>
      </c>
    </row>
    <row r="309" spans="28:28" x14ac:dyDescent="0.25">
      <c r="AB309" s="381" t="str" cm="1">
        <f t="array" ref="AB309">IF(ISNUMBER(AA309), IFERROR(VALUE(RIGHT(AA309,LEN(AA309)-MIN(FIND({0;1;2;3;4;5;6;7;8;9},AA309&amp;"0123456789"))+1)),""), "")</f>
        <v/>
      </c>
    </row>
    <row r="310" spans="28:28" x14ac:dyDescent="0.25">
      <c r="AB310" s="381" t="str" cm="1">
        <f t="array" ref="AB310">IF(ISNUMBER(AA310), IFERROR(VALUE(RIGHT(AA310,LEN(AA310)-MIN(FIND({0;1;2;3;4;5;6;7;8;9},AA310&amp;"0123456789"))+1)),""), "")</f>
        <v/>
      </c>
    </row>
    <row r="311" spans="28:28" x14ac:dyDescent="0.25">
      <c r="AB311" s="381" t="str" cm="1">
        <f t="array" ref="AB311">IF(ISNUMBER(AA311), IFERROR(VALUE(RIGHT(AA311,LEN(AA311)-MIN(FIND({0;1;2;3;4;5;6;7;8;9},AA311&amp;"0123456789"))+1)),""), "")</f>
        <v/>
      </c>
    </row>
    <row r="312" spans="28:28" x14ac:dyDescent="0.25">
      <c r="AB312" s="381" t="str" cm="1">
        <f t="array" ref="AB312">IF(ISNUMBER(AA312), IFERROR(VALUE(RIGHT(AA312,LEN(AA312)-MIN(FIND({0;1;2;3;4;5;6;7;8;9},AA312&amp;"0123456789"))+1)),""), "")</f>
        <v/>
      </c>
    </row>
    <row r="313" spans="28:28" x14ac:dyDescent="0.25">
      <c r="AB313" s="381" t="str" cm="1">
        <f t="array" ref="AB313">IF(ISNUMBER(AA313), IFERROR(VALUE(RIGHT(AA313,LEN(AA313)-MIN(FIND({0;1;2;3;4;5;6;7;8;9},AA313&amp;"0123456789"))+1)),""), "")</f>
        <v/>
      </c>
    </row>
    <row r="314" spans="28:28" x14ac:dyDescent="0.25">
      <c r="AB314" s="381" t="str" cm="1">
        <f t="array" ref="AB314">IF(ISNUMBER(AA314), IFERROR(VALUE(RIGHT(AA314,LEN(AA314)-MIN(FIND({0;1;2;3;4;5;6;7;8;9},AA314&amp;"0123456789"))+1)),""), "")</f>
        <v/>
      </c>
    </row>
    <row r="315" spans="28:28" x14ac:dyDescent="0.25">
      <c r="AB315" s="381" t="str" cm="1">
        <f t="array" ref="AB315">IF(ISNUMBER(AA315), IFERROR(VALUE(RIGHT(AA315,LEN(AA315)-MIN(FIND({0;1;2;3;4;5;6;7;8;9},AA315&amp;"0123456789"))+1)),""), "")</f>
        <v/>
      </c>
    </row>
    <row r="316" spans="28:28" x14ac:dyDescent="0.25">
      <c r="AB316" s="381" t="str" cm="1">
        <f t="array" ref="AB316">IF(ISNUMBER(AA316), IFERROR(VALUE(RIGHT(AA316,LEN(AA316)-MIN(FIND({0;1;2;3;4;5;6;7;8;9},AA316&amp;"0123456789"))+1)),""), "")</f>
        <v/>
      </c>
    </row>
    <row r="317" spans="28:28" x14ac:dyDescent="0.25">
      <c r="AB317" s="381" t="str" cm="1">
        <f t="array" ref="AB317">IF(ISNUMBER(AA317), IFERROR(VALUE(RIGHT(AA317,LEN(AA317)-MIN(FIND({0;1;2;3;4;5;6;7;8;9},AA317&amp;"0123456789"))+1)),""), "")</f>
        <v/>
      </c>
    </row>
    <row r="318" spans="28:28" x14ac:dyDescent="0.25">
      <c r="AB318" s="381" t="str" cm="1">
        <f t="array" ref="AB318">IF(ISNUMBER(AA318), IFERROR(VALUE(RIGHT(AA318,LEN(AA318)-MIN(FIND({0;1;2;3;4;5;6;7;8;9},AA318&amp;"0123456789"))+1)),""), "")</f>
        <v/>
      </c>
    </row>
    <row r="319" spans="28:28" x14ac:dyDescent="0.25">
      <c r="AB319" s="381" t="str" cm="1">
        <f t="array" ref="AB319">IF(ISNUMBER(AA319), IFERROR(VALUE(RIGHT(AA319,LEN(AA319)-MIN(FIND({0;1;2;3;4;5;6;7;8;9},AA319&amp;"0123456789"))+1)),""), "")</f>
        <v/>
      </c>
    </row>
    <row r="320" spans="28:28" x14ac:dyDescent="0.25">
      <c r="AB320" s="381" t="str" cm="1">
        <f t="array" ref="AB320">IF(ISNUMBER(AA320), IFERROR(VALUE(RIGHT(AA320,LEN(AA320)-MIN(FIND({0;1;2;3;4;5;6;7;8;9},AA320&amp;"0123456789"))+1)),""), "")</f>
        <v/>
      </c>
    </row>
    <row r="321" spans="28:28" x14ac:dyDescent="0.25">
      <c r="AB321" s="381" t="str" cm="1">
        <f t="array" ref="AB321">IF(ISNUMBER(AA321), IFERROR(VALUE(RIGHT(AA321,LEN(AA321)-MIN(FIND({0;1;2;3;4;5;6;7;8;9},AA321&amp;"0123456789"))+1)),""), "")</f>
        <v/>
      </c>
    </row>
    <row r="322" spans="28:28" x14ac:dyDescent="0.25">
      <c r="AB322" s="381" t="str" cm="1">
        <f t="array" ref="AB322">IF(ISNUMBER(AA322), IFERROR(VALUE(RIGHT(AA322,LEN(AA322)-MIN(FIND({0;1;2;3;4;5;6;7;8;9},AA322&amp;"0123456789"))+1)),""), "")</f>
        <v/>
      </c>
    </row>
    <row r="323" spans="28:28" x14ac:dyDescent="0.25">
      <c r="AB323" s="381" t="str" cm="1">
        <f t="array" ref="AB323">IF(ISNUMBER(AA323), IFERROR(VALUE(RIGHT(AA323,LEN(AA323)-MIN(FIND({0;1;2;3;4;5;6;7;8;9},AA323&amp;"0123456789"))+1)),""), "")</f>
        <v/>
      </c>
    </row>
    <row r="324" spans="28:28" x14ac:dyDescent="0.25">
      <c r="AB324" s="381" t="str" cm="1">
        <f t="array" ref="AB324">IF(ISNUMBER(AA324), IFERROR(VALUE(RIGHT(AA324,LEN(AA324)-MIN(FIND({0;1;2;3;4;5;6;7;8;9},AA324&amp;"0123456789"))+1)),""), "")</f>
        <v/>
      </c>
    </row>
    <row r="325" spans="28:28" x14ac:dyDescent="0.25">
      <c r="AB325" s="381" t="str" cm="1">
        <f t="array" ref="AB325">IF(ISNUMBER(AA325), IFERROR(VALUE(RIGHT(AA325,LEN(AA325)-MIN(FIND({0;1;2;3;4;5;6;7;8;9},AA325&amp;"0123456789"))+1)),""), "")</f>
        <v/>
      </c>
    </row>
    <row r="326" spans="28:28" x14ac:dyDescent="0.25">
      <c r="AB326" s="381" t="str" cm="1">
        <f t="array" ref="AB326">IF(ISNUMBER(AA326), IFERROR(VALUE(RIGHT(AA326,LEN(AA326)-MIN(FIND({0;1;2;3;4;5;6;7;8;9},AA326&amp;"0123456789"))+1)),""), "")</f>
        <v/>
      </c>
    </row>
    <row r="327" spans="28:28" x14ac:dyDescent="0.25">
      <c r="AB327" s="381" t="str" cm="1">
        <f t="array" ref="AB327">IF(ISNUMBER(AA327), IFERROR(VALUE(RIGHT(AA327,LEN(AA327)-MIN(FIND({0;1;2;3;4;5;6;7;8;9},AA327&amp;"0123456789"))+1)),""), "")</f>
        <v/>
      </c>
    </row>
    <row r="328" spans="28:28" x14ac:dyDescent="0.25">
      <c r="AB328" s="381" t="str" cm="1">
        <f t="array" ref="AB328">IF(ISNUMBER(AA328), IFERROR(VALUE(RIGHT(AA328,LEN(AA328)-MIN(FIND({0;1;2;3;4;5;6;7;8;9},AA328&amp;"0123456789"))+1)),""), "")</f>
        <v/>
      </c>
    </row>
    <row r="329" spans="28:28" x14ac:dyDescent="0.25">
      <c r="AB329" s="381" t="str" cm="1">
        <f t="array" ref="AB329">IF(ISNUMBER(AA329), IFERROR(VALUE(RIGHT(AA329,LEN(AA329)-MIN(FIND({0;1;2;3;4;5;6;7;8;9},AA329&amp;"0123456789"))+1)),""), "")</f>
        <v/>
      </c>
    </row>
    <row r="330" spans="28:28" x14ac:dyDescent="0.25">
      <c r="AB330" s="381" t="str" cm="1">
        <f t="array" ref="AB330">IF(ISNUMBER(AA330), IFERROR(VALUE(RIGHT(AA330,LEN(AA330)-MIN(FIND({0;1;2;3;4;5;6;7;8;9},AA330&amp;"0123456789"))+1)),""), "")</f>
        <v/>
      </c>
    </row>
    <row r="331" spans="28:28" x14ac:dyDescent="0.25">
      <c r="AB331" s="381" t="str" cm="1">
        <f t="array" ref="AB331">IF(ISNUMBER(AA331), IFERROR(VALUE(RIGHT(AA331,LEN(AA331)-MIN(FIND({0;1;2;3;4;5;6;7;8;9},AA331&amp;"0123456789"))+1)),""), "")</f>
        <v/>
      </c>
    </row>
    <row r="332" spans="28:28" x14ac:dyDescent="0.25">
      <c r="AB332" s="381" t="str" cm="1">
        <f t="array" ref="AB332">IF(ISNUMBER(AA332), IFERROR(VALUE(RIGHT(AA332,LEN(AA332)-MIN(FIND({0;1;2;3;4;5;6;7;8;9},AA332&amp;"0123456789"))+1)),""), "")</f>
        <v/>
      </c>
    </row>
    <row r="333" spans="28:28" x14ac:dyDescent="0.25">
      <c r="AB333" s="381" t="str" cm="1">
        <f t="array" ref="AB333">IF(ISNUMBER(AA333), IFERROR(VALUE(RIGHT(AA333,LEN(AA333)-MIN(FIND({0;1;2;3;4;5;6;7;8;9},AA333&amp;"0123456789"))+1)),""), "")</f>
        <v/>
      </c>
    </row>
    <row r="334" spans="28:28" x14ac:dyDescent="0.25">
      <c r="AB334" s="381" t="str" cm="1">
        <f t="array" ref="AB334">IF(ISNUMBER(AA334), IFERROR(VALUE(RIGHT(AA334,LEN(AA334)-MIN(FIND({0;1;2;3;4;5;6;7;8;9},AA334&amp;"0123456789"))+1)),""), "")</f>
        <v/>
      </c>
    </row>
    <row r="335" spans="28:28" x14ac:dyDescent="0.25">
      <c r="AB335" s="381" t="str" cm="1">
        <f t="array" ref="AB335">IF(ISNUMBER(AA335), IFERROR(VALUE(RIGHT(AA335,LEN(AA335)-MIN(FIND({0;1;2;3;4;5;6;7;8;9},AA335&amp;"0123456789"))+1)),""), "")</f>
        <v/>
      </c>
    </row>
    <row r="336" spans="28:28" x14ac:dyDescent="0.25">
      <c r="AB336" s="381" t="str" cm="1">
        <f t="array" ref="AB336">IF(ISNUMBER(AA336), IFERROR(VALUE(RIGHT(AA336,LEN(AA336)-MIN(FIND({0;1;2;3;4;5;6;7;8;9},AA336&amp;"0123456789"))+1)),""), "")</f>
        <v/>
      </c>
    </row>
    <row r="337" spans="28:28" x14ac:dyDescent="0.25">
      <c r="AB337" s="381" t="str" cm="1">
        <f t="array" ref="AB337">IF(ISNUMBER(AA337), IFERROR(VALUE(RIGHT(AA337,LEN(AA337)-MIN(FIND({0;1;2;3;4;5;6;7;8;9},AA337&amp;"0123456789"))+1)),""), "")</f>
        <v/>
      </c>
    </row>
    <row r="338" spans="28:28" x14ac:dyDescent="0.25">
      <c r="AB338" s="381" t="str" cm="1">
        <f t="array" ref="AB338">IF(ISNUMBER(AA338), IFERROR(VALUE(RIGHT(AA338,LEN(AA338)-MIN(FIND({0;1;2;3;4;5;6;7;8;9},AA338&amp;"0123456789"))+1)),""), "")</f>
        <v/>
      </c>
    </row>
    <row r="339" spans="28:28" x14ac:dyDescent="0.25">
      <c r="AB339" s="381" t="str" cm="1">
        <f t="array" ref="AB339">IF(ISNUMBER(AA339), IFERROR(VALUE(RIGHT(AA339,LEN(AA339)-MIN(FIND({0;1;2;3;4;5;6;7;8;9},AA339&amp;"0123456789"))+1)),""), "")</f>
        <v/>
      </c>
    </row>
    <row r="340" spans="28:28" x14ac:dyDescent="0.25">
      <c r="AB340" s="381" t="str" cm="1">
        <f t="array" ref="AB340">IF(ISNUMBER(AA340), IFERROR(VALUE(RIGHT(AA340,LEN(AA340)-MIN(FIND({0;1;2;3;4;5;6;7;8;9},AA340&amp;"0123456789"))+1)),""), "")</f>
        <v/>
      </c>
    </row>
    <row r="341" spans="28:28" x14ac:dyDescent="0.25">
      <c r="AB341" s="381" t="str" cm="1">
        <f t="array" ref="AB341">IF(ISNUMBER(AA341), IFERROR(VALUE(RIGHT(AA341,LEN(AA341)-MIN(FIND({0;1;2;3;4;5;6;7;8;9},AA341&amp;"0123456789"))+1)),""), "")</f>
        <v/>
      </c>
    </row>
    <row r="342" spans="28:28" x14ac:dyDescent="0.25">
      <c r="AB342" s="381" t="str" cm="1">
        <f t="array" ref="AB342">IF(ISNUMBER(AA342), IFERROR(VALUE(RIGHT(AA342,LEN(AA342)-MIN(FIND({0;1;2;3;4;5;6;7;8;9},AA342&amp;"0123456789"))+1)),""), "")</f>
        <v/>
      </c>
    </row>
    <row r="343" spans="28:28" x14ac:dyDescent="0.25">
      <c r="AB343" s="381" t="str" cm="1">
        <f t="array" ref="AB343">IF(ISNUMBER(AA343), IFERROR(VALUE(RIGHT(AA343,LEN(AA343)-MIN(FIND({0;1;2;3;4;5;6;7;8;9},AA343&amp;"0123456789"))+1)),""), "")</f>
        <v/>
      </c>
    </row>
    <row r="344" spans="28:28" x14ac:dyDescent="0.25">
      <c r="AB344" s="381" t="str" cm="1">
        <f t="array" ref="AB344">IF(ISNUMBER(AA344), IFERROR(VALUE(RIGHT(AA344,LEN(AA344)-MIN(FIND({0;1;2;3;4;5;6;7;8;9},AA344&amp;"0123456789"))+1)),""), "")</f>
        <v/>
      </c>
    </row>
    <row r="345" spans="28:28" x14ac:dyDescent="0.25">
      <c r="AB345" s="381" t="str" cm="1">
        <f t="array" ref="AB345">IF(ISNUMBER(AA345), IFERROR(VALUE(RIGHT(AA345,LEN(AA345)-MIN(FIND({0;1;2;3;4;5;6;7;8;9},AA345&amp;"0123456789"))+1)),""), "")</f>
        <v/>
      </c>
    </row>
    <row r="346" spans="28:28" x14ac:dyDescent="0.25">
      <c r="AB346" s="381" t="str" cm="1">
        <f t="array" ref="AB346">IF(ISNUMBER(AA346), IFERROR(VALUE(RIGHT(AA346,LEN(AA346)-MIN(FIND({0;1;2;3;4;5;6;7;8;9},AA346&amp;"0123456789"))+1)),""), "")</f>
        <v/>
      </c>
    </row>
    <row r="347" spans="28:28" x14ac:dyDescent="0.25">
      <c r="AB347" s="381" t="str" cm="1">
        <f t="array" ref="AB347">IF(ISNUMBER(AA347), IFERROR(VALUE(RIGHT(AA347,LEN(AA347)-MIN(FIND({0;1;2;3;4;5;6;7;8;9},AA347&amp;"0123456789"))+1)),""), "")</f>
        <v/>
      </c>
    </row>
    <row r="348" spans="28:28" x14ac:dyDescent="0.25">
      <c r="AB348" s="381" t="str" cm="1">
        <f t="array" ref="AB348">IF(ISNUMBER(AA348), IFERROR(VALUE(RIGHT(AA348,LEN(AA348)-MIN(FIND({0;1;2;3;4;5;6;7;8;9},AA348&amp;"0123456789"))+1)),""), "")</f>
        <v/>
      </c>
    </row>
    <row r="349" spans="28:28" x14ac:dyDescent="0.25">
      <c r="AB349" s="381" t="str" cm="1">
        <f t="array" ref="AB349">IF(ISNUMBER(AA349), IFERROR(VALUE(RIGHT(AA349,LEN(AA349)-MIN(FIND({0;1;2;3;4;5;6;7;8;9},AA349&amp;"0123456789"))+1)),""), "")</f>
        <v/>
      </c>
    </row>
    <row r="350" spans="28:28" x14ac:dyDescent="0.25">
      <c r="AB350" s="381" t="str" cm="1">
        <f t="array" ref="AB350">IF(ISNUMBER(AA350), IFERROR(VALUE(RIGHT(AA350,LEN(AA350)-MIN(FIND({0;1;2;3;4;5;6;7;8;9},AA350&amp;"0123456789"))+1)),""), "")</f>
        <v/>
      </c>
    </row>
    <row r="351" spans="28:28" x14ac:dyDescent="0.25">
      <c r="AB351" s="381" t="str" cm="1">
        <f t="array" ref="AB351">IF(ISNUMBER(AA351), IFERROR(VALUE(RIGHT(AA351,LEN(AA351)-MIN(FIND({0;1;2;3;4;5;6;7;8;9},AA351&amp;"0123456789"))+1)),""), "")</f>
        <v/>
      </c>
    </row>
    <row r="352" spans="28:28" x14ac:dyDescent="0.25">
      <c r="AB352" s="381" t="str" cm="1">
        <f t="array" ref="AB352">IF(ISNUMBER(AA352), IFERROR(VALUE(RIGHT(AA352,LEN(AA352)-MIN(FIND({0;1;2;3;4;5;6;7;8;9},AA352&amp;"0123456789"))+1)),""), "")</f>
        <v/>
      </c>
    </row>
    <row r="353" spans="28:28" x14ac:dyDescent="0.25">
      <c r="AB353" s="381" t="str" cm="1">
        <f t="array" ref="AB353">IF(ISNUMBER(AA353), IFERROR(VALUE(RIGHT(AA353,LEN(AA353)-MIN(FIND({0;1;2;3;4;5;6;7;8;9},AA353&amp;"0123456789"))+1)),""), "")</f>
        <v/>
      </c>
    </row>
    <row r="354" spans="28:28" x14ac:dyDescent="0.25">
      <c r="AB354" s="381" t="str" cm="1">
        <f t="array" ref="AB354">IF(ISNUMBER(AA354), IFERROR(VALUE(RIGHT(AA354,LEN(AA354)-MIN(FIND({0;1;2;3;4;5;6;7;8;9},AA354&amp;"0123456789"))+1)),""), "")</f>
        <v/>
      </c>
    </row>
    <row r="355" spans="28:28" x14ac:dyDescent="0.25">
      <c r="AB355" s="381" t="str" cm="1">
        <f t="array" ref="AB355">IF(ISNUMBER(AA355), IFERROR(VALUE(RIGHT(AA355,LEN(AA355)-MIN(FIND({0;1;2;3;4;5;6;7;8;9},AA355&amp;"0123456789"))+1)),""), "")</f>
        <v/>
      </c>
    </row>
    <row r="356" spans="28:28" x14ac:dyDescent="0.25">
      <c r="AB356" s="381" t="str" cm="1">
        <f t="array" ref="AB356">IF(ISNUMBER(AA356), IFERROR(VALUE(RIGHT(AA356,LEN(AA356)-MIN(FIND({0;1;2;3;4;5;6;7;8;9},AA356&amp;"0123456789"))+1)),""), "")</f>
        <v/>
      </c>
    </row>
    <row r="357" spans="28:28" x14ac:dyDescent="0.25">
      <c r="AB357" s="381" t="str" cm="1">
        <f t="array" ref="AB357">IF(ISNUMBER(AA357), IFERROR(VALUE(RIGHT(AA357,LEN(AA357)-MIN(FIND({0;1;2;3;4;5;6;7;8;9},AA357&amp;"0123456789"))+1)),""), "")</f>
        <v/>
      </c>
    </row>
    <row r="358" spans="28:28" x14ac:dyDescent="0.25">
      <c r="AB358" s="381" t="str" cm="1">
        <f t="array" ref="AB358">IF(ISNUMBER(AA358), IFERROR(VALUE(RIGHT(AA358,LEN(AA358)-MIN(FIND({0;1;2;3;4;5;6;7;8;9},AA358&amp;"0123456789"))+1)),""), "")</f>
        <v/>
      </c>
    </row>
    <row r="359" spans="28:28" x14ac:dyDescent="0.25">
      <c r="AB359" s="381" t="str" cm="1">
        <f t="array" ref="AB359">IF(ISNUMBER(AA359), IFERROR(VALUE(RIGHT(AA359,LEN(AA359)-MIN(FIND({0;1;2;3;4;5;6;7;8;9},AA359&amp;"0123456789"))+1)),""), "")</f>
        <v/>
      </c>
    </row>
    <row r="360" spans="28:28" x14ac:dyDescent="0.25">
      <c r="AB360" s="381" t="str" cm="1">
        <f t="array" ref="AB360">IF(ISNUMBER(AA360), IFERROR(VALUE(RIGHT(AA360,LEN(AA360)-MIN(FIND({0;1;2;3;4;5;6;7;8;9},AA360&amp;"0123456789"))+1)),""), "")</f>
        <v/>
      </c>
    </row>
    <row r="361" spans="28:28" x14ac:dyDescent="0.25">
      <c r="AB361" s="381" t="str" cm="1">
        <f t="array" ref="AB361">IF(ISNUMBER(AA361), IFERROR(VALUE(RIGHT(AA361,LEN(AA361)-MIN(FIND({0;1;2;3;4;5;6;7;8;9},AA361&amp;"0123456789"))+1)),""), "")</f>
        <v/>
      </c>
    </row>
    <row r="362" spans="28:28" x14ac:dyDescent="0.25">
      <c r="AB362" s="381" t="str" cm="1">
        <f t="array" ref="AB362">IF(ISNUMBER(AA362), IFERROR(VALUE(RIGHT(AA362,LEN(AA362)-MIN(FIND({0;1;2;3;4;5;6;7;8;9},AA362&amp;"0123456789"))+1)),""), "")</f>
        <v/>
      </c>
    </row>
    <row r="363" spans="28:28" x14ac:dyDescent="0.25">
      <c r="AB363" s="381" t="str" cm="1">
        <f t="array" ref="AB363">IF(ISNUMBER(AA363), IFERROR(VALUE(RIGHT(AA363,LEN(AA363)-MIN(FIND({0;1;2;3;4;5;6;7;8;9},AA363&amp;"0123456789"))+1)),""), "")</f>
        <v/>
      </c>
    </row>
    <row r="364" spans="28:28" x14ac:dyDescent="0.25">
      <c r="AB364" s="381" t="str" cm="1">
        <f t="array" ref="AB364">IF(ISNUMBER(AA364), IFERROR(VALUE(RIGHT(AA364,LEN(AA364)-MIN(FIND({0;1;2;3;4;5;6;7;8;9},AA364&amp;"0123456789"))+1)),""), "")</f>
        <v/>
      </c>
    </row>
    <row r="365" spans="28:28" x14ac:dyDescent="0.25">
      <c r="AB365" s="381" t="str" cm="1">
        <f t="array" ref="AB365">IF(ISNUMBER(AA365), IFERROR(VALUE(RIGHT(AA365,LEN(AA365)-MIN(FIND({0;1;2;3;4;5;6;7;8;9},AA365&amp;"0123456789"))+1)),""), "")</f>
        <v/>
      </c>
    </row>
    <row r="366" spans="28:28" x14ac:dyDescent="0.25">
      <c r="AB366" s="381" t="str" cm="1">
        <f t="array" ref="AB366">IF(ISNUMBER(AA366), IFERROR(VALUE(RIGHT(AA366,LEN(AA366)-MIN(FIND({0;1;2;3;4;5;6;7;8;9},AA366&amp;"0123456789"))+1)),""), "")</f>
        <v/>
      </c>
    </row>
    <row r="367" spans="28:28" x14ac:dyDescent="0.25">
      <c r="AB367" s="381" t="str" cm="1">
        <f t="array" ref="AB367">IF(ISNUMBER(AA367), IFERROR(VALUE(RIGHT(AA367,LEN(AA367)-MIN(FIND({0;1;2;3;4;5;6;7;8;9},AA367&amp;"0123456789"))+1)),""), "")</f>
        <v/>
      </c>
    </row>
    <row r="368" spans="28:28" x14ac:dyDescent="0.25">
      <c r="AB368" s="381" t="str" cm="1">
        <f t="array" ref="AB368">IF(ISNUMBER(AA368), IFERROR(VALUE(RIGHT(AA368,LEN(AA368)-MIN(FIND({0;1;2;3;4;5;6;7;8;9},AA368&amp;"0123456789"))+1)),""), "")</f>
        <v/>
      </c>
    </row>
    <row r="369" spans="28:28" x14ac:dyDescent="0.25">
      <c r="AB369" s="381" t="str" cm="1">
        <f t="array" ref="AB369">IF(ISNUMBER(AA369), IFERROR(VALUE(RIGHT(AA369,LEN(AA369)-MIN(FIND({0;1;2;3;4;5;6;7;8;9},AA369&amp;"0123456789"))+1)),""), "")</f>
        <v/>
      </c>
    </row>
    <row r="370" spans="28:28" x14ac:dyDescent="0.25">
      <c r="AB370" s="381" t="str" cm="1">
        <f t="array" ref="AB370">IF(ISNUMBER(AA370), IFERROR(VALUE(RIGHT(AA370,LEN(AA370)-MIN(FIND({0;1;2;3;4;5;6;7;8;9},AA370&amp;"0123456789"))+1)),""), "")</f>
        <v/>
      </c>
    </row>
    <row r="371" spans="28:28" x14ac:dyDescent="0.25">
      <c r="AB371" s="381" t="str" cm="1">
        <f t="array" ref="AB371">IF(ISNUMBER(AA371), IFERROR(VALUE(RIGHT(AA371,LEN(AA371)-MIN(FIND({0;1;2;3;4;5;6;7;8;9},AA371&amp;"0123456789"))+1)),""), "")</f>
        <v/>
      </c>
    </row>
    <row r="372" spans="28:28" x14ac:dyDescent="0.25">
      <c r="AB372" s="381" t="str" cm="1">
        <f t="array" ref="AB372">IF(ISNUMBER(AA372), IFERROR(VALUE(RIGHT(AA372,LEN(AA372)-MIN(FIND({0;1;2;3;4;5;6;7;8;9},AA372&amp;"0123456789"))+1)),""), "")</f>
        <v/>
      </c>
    </row>
    <row r="373" spans="28:28" x14ac:dyDescent="0.25">
      <c r="AB373" s="381" t="str" cm="1">
        <f t="array" ref="AB373">IF(ISNUMBER(AA373), IFERROR(VALUE(RIGHT(AA373,LEN(AA373)-MIN(FIND({0;1;2;3;4;5;6;7;8;9},AA373&amp;"0123456789"))+1)),""), "")</f>
        <v/>
      </c>
    </row>
    <row r="374" spans="28:28" x14ac:dyDescent="0.25">
      <c r="AB374" s="381" t="str" cm="1">
        <f t="array" ref="AB374">IF(ISNUMBER(AA374), IFERROR(VALUE(RIGHT(AA374,LEN(AA374)-MIN(FIND({0;1;2;3;4;5;6;7;8;9},AA374&amp;"0123456789"))+1)),""), "")</f>
        <v/>
      </c>
    </row>
    <row r="375" spans="28:28" x14ac:dyDescent="0.25">
      <c r="AB375" s="381" t="str" cm="1">
        <f t="array" ref="AB375">IF(ISNUMBER(AA375), IFERROR(VALUE(RIGHT(AA375,LEN(AA375)-MIN(FIND({0;1;2;3;4;5;6;7;8;9},AA375&amp;"0123456789"))+1)),""), "")</f>
        <v/>
      </c>
    </row>
    <row r="376" spans="28:28" x14ac:dyDescent="0.25">
      <c r="AB376" s="381" t="str" cm="1">
        <f t="array" ref="AB376">IF(ISNUMBER(AA376), IFERROR(VALUE(RIGHT(AA376,LEN(AA376)-MIN(FIND({0;1;2;3;4;5;6;7;8;9},AA376&amp;"0123456789"))+1)),""), "")</f>
        <v/>
      </c>
    </row>
    <row r="377" spans="28:28" x14ac:dyDescent="0.25">
      <c r="AB377" s="381" t="str" cm="1">
        <f t="array" ref="AB377">IF(ISNUMBER(AA377), IFERROR(VALUE(RIGHT(AA377,LEN(AA377)-MIN(FIND({0;1;2;3;4;5;6;7;8;9},AA377&amp;"0123456789"))+1)),""), "")</f>
        <v/>
      </c>
    </row>
    <row r="378" spans="28:28" x14ac:dyDescent="0.25">
      <c r="AB378" s="381" t="str" cm="1">
        <f t="array" ref="AB378">IF(ISNUMBER(AA378), IFERROR(VALUE(RIGHT(AA378,LEN(AA378)-MIN(FIND({0;1;2;3;4;5;6;7;8;9},AA378&amp;"0123456789"))+1)),""), "")</f>
        <v/>
      </c>
    </row>
    <row r="379" spans="28:28" x14ac:dyDescent="0.25">
      <c r="AB379" s="381" t="str" cm="1">
        <f t="array" ref="AB379">IF(ISNUMBER(AA379), IFERROR(VALUE(RIGHT(AA379,LEN(AA379)-MIN(FIND({0;1;2;3;4;5;6;7;8;9},AA379&amp;"0123456789"))+1)),""), "")</f>
        <v/>
      </c>
    </row>
    <row r="380" spans="28:28" x14ac:dyDescent="0.25">
      <c r="AB380" s="381" t="str" cm="1">
        <f t="array" ref="AB380">IF(ISNUMBER(AA380), IFERROR(VALUE(RIGHT(AA380,LEN(AA380)-MIN(FIND({0;1;2;3;4;5;6;7;8;9},AA380&amp;"0123456789"))+1)),""), "")</f>
        <v/>
      </c>
    </row>
    <row r="381" spans="28:28" x14ac:dyDescent="0.25">
      <c r="AB381" s="381" t="str" cm="1">
        <f t="array" ref="AB381">IF(ISNUMBER(AA381), IFERROR(VALUE(RIGHT(AA381,LEN(AA381)-MIN(FIND({0;1;2;3;4;5;6;7;8;9},AA381&amp;"0123456789"))+1)),""), "")</f>
        <v/>
      </c>
    </row>
    <row r="382" spans="28:28" x14ac:dyDescent="0.25">
      <c r="AB382" s="381" t="str" cm="1">
        <f t="array" ref="AB382">IF(ISNUMBER(AA382), IFERROR(VALUE(RIGHT(AA382,LEN(AA382)-MIN(FIND({0;1;2;3;4;5;6;7;8;9},AA382&amp;"0123456789"))+1)),""), "")</f>
        <v/>
      </c>
    </row>
    <row r="383" spans="28:28" x14ac:dyDescent="0.25">
      <c r="AB383" s="381" t="str" cm="1">
        <f t="array" ref="AB383">IF(ISNUMBER(AA383), IFERROR(VALUE(RIGHT(AA383,LEN(AA383)-MIN(FIND({0;1;2;3;4;5;6;7;8;9},AA383&amp;"0123456789"))+1)),""), "")</f>
        <v/>
      </c>
    </row>
    <row r="384" spans="28:28" x14ac:dyDescent="0.25">
      <c r="AB384" s="381" t="str" cm="1">
        <f t="array" ref="AB384">IF(ISNUMBER(AA384), IFERROR(VALUE(RIGHT(AA384,LEN(AA384)-MIN(FIND({0;1;2;3;4;5;6;7;8;9},AA384&amp;"0123456789"))+1)),""), "")</f>
        <v/>
      </c>
    </row>
    <row r="385" spans="28:28" x14ac:dyDescent="0.25">
      <c r="AB385" s="381" t="str" cm="1">
        <f t="array" ref="AB385">IF(ISNUMBER(AA385), IFERROR(VALUE(RIGHT(AA385,LEN(AA385)-MIN(FIND({0;1;2;3;4;5;6;7;8;9},AA385&amp;"0123456789"))+1)),""), "")</f>
        <v/>
      </c>
    </row>
    <row r="386" spans="28:28" x14ac:dyDescent="0.25">
      <c r="AB386" s="381" t="str" cm="1">
        <f t="array" ref="AB386">IF(ISNUMBER(AA386), IFERROR(VALUE(RIGHT(AA386,LEN(AA386)-MIN(FIND({0;1;2;3;4;5;6;7;8;9},AA386&amp;"0123456789"))+1)),""), "")</f>
        <v/>
      </c>
    </row>
    <row r="387" spans="28:28" x14ac:dyDescent="0.25">
      <c r="AB387" s="381" t="str" cm="1">
        <f t="array" ref="AB387">IF(ISNUMBER(AA387), IFERROR(VALUE(RIGHT(AA387,LEN(AA387)-MIN(FIND({0;1;2;3;4;5;6;7;8;9},AA387&amp;"0123456789"))+1)),""), "")</f>
        <v/>
      </c>
    </row>
    <row r="388" spans="28:28" x14ac:dyDescent="0.25">
      <c r="AB388" s="381" t="str" cm="1">
        <f t="array" ref="AB388">IF(ISNUMBER(AA388), IFERROR(VALUE(RIGHT(AA388,LEN(AA388)-MIN(FIND({0;1;2;3;4;5;6;7;8;9},AA388&amp;"0123456789"))+1)),""), "")</f>
        <v/>
      </c>
    </row>
    <row r="389" spans="28:28" x14ac:dyDescent="0.25">
      <c r="AB389" s="381" t="str" cm="1">
        <f t="array" ref="AB389">IF(ISNUMBER(AA389), IFERROR(VALUE(RIGHT(AA389,LEN(AA389)-MIN(FIND({0;1;2;3;4;5;6;7;8;9},AA389&amp;"0123456789"))+1)),""), "")</f>
        <v/>
      </c>
    </row>
    <row r="390" spans="28:28" x14ac:dyDescent="0.25">
      <c r="AB390" s="381" t="str" cm="1">
        <f t="array" ref="AB390">IF(ISNUMBER(AA390), IFERROR(VALUE(RIGHT(AA390,LEN(AA390)-MIN(FIND({0;1;2;3;4;5;6;7;8;9},AA390&amp;"0123456789"))+1)),""), "")</f>
        <v/>
      </c>
    </row>
    <row r="391" spans="28:28" x14ac:dyDescent="0.25">
      <c r="AB391" s="381" t="str" cm="1">
        <f t="array" ref="AB391">IF(ISNUMBER(AA391), IFERROR(VALUE(RIGHT(AA391,LEN(AA391)-MIN(FIND({0;1;2;3;4;5;6;7;8;9},AA391&amp;"0123456789"))+1)),""), "")</f>
        <v/>
      </c>
    </row>
    <row r="392" spans="28:28" x14ac:dyDescent="0.25">
      <c r="AB392" s="381" t="str" cm="1">
        <f t="array" ref="AB392">IF(ISNUMBER(AA392), IFERROR(VALUE(RIGHT(AA392,LEN(AA392)-MIN(FIND({0;1;2;3;4;5;6;7;8;9},AA392&amp;"0123456789"))+1)),""), "")</f>
        <v/>
      </c>
    </row>
    <row r="393" spans="28:28" x14ac:dyDescent="0.25">
      <c r="AB393" s="381" t="str" cm="1">
        <f t="array" ref="AB393">IF(ISNUMBER(AA393), IFERROR(VALUE(RIGHT(AA393,LEN(AA393)-MIN(FIND({0;1;2;3;4;5;6;7;8;9},AA393&amp;"0123456789"))+1)),""), "")</f>
        <v/>
      </c>
    </row>
    <row r="394" spans="28:28" x14ac:dyDescent="0.25">
      <c r="AB394" s="381" t="str" cm="1">
        <f t="array" ref="AB394">IF(ISNUMBER(AA394), IFERROR(VALUE(RIGHT(AA394,LEN(AA394)-MIN(FIND({0;1;2;3;4;5;6;7;8;9},AA394&amp;"0123456789"))+1)),""), "")</f>
        <v/>
      </c>
    </row>
    <row r="395" spans="28:28" x14ac:dyDescent="0.25">
      <c r="AB395" s="381" t="str" cm="1">
        <f t="array" ref="AB395">IF(ISNUMBER(AA395), IFERROR(VALUE(RIGHT(AA395,LEN(AA395)-MIN(FIND({0;1;2;3;4;5;6;7;8;9},AA395&amp;"0123456789"))+1)),""), "")</f>
        <v/>
      </c>
    </row>
    <row r="396" spans="28:28" x14ac:dyDescent="0.25">
      <c r="AB396" s="381" t="str" cm="1">
        <f t="array" ref="AB396">IF(ISNUMBER(AA396), IFERROR(VALUE(RIGHT(AA396,LEN(AA396)-MIN(FIND({0;1;2;3;4;5;6;7;8;9},AA396&amp;"0123456789"))+1)),""), "")</f>
        <v/>
      </c>
    </row>
    <row r="397" spans="28:28" x14ac:dyDescent="0.25">
      <c r="AB397" s="381" t="str" cm="1">
        <f t="array" ref="AB397">IF(ISNUMBER(AA397), IFERROR(VALUE(RIGHT(AA397,LEN(AA397)-MIN(FIND({0;1;2;3;4;5;6;7;8;9},AA397&amp;"0123456789"))+1)),""), "")</f>
        <v/>
      </c>
    </row>
    <row r="398" spans="28:28" x14ac:dyDescent="0.25">
      <c r="AB398" s="381" t="str" cm="1">
        <f t="array" ref="AB398">IF(ISNUMBER(AA398), IFERROR(VALUE(RIGHT(AA398,LEN(AA398)-MIN(FIND({0;1;2;3;4;5;6;7;8;9},AA398&amp;"0123456789"))+1)),""), "")</f>
        <v/>
      </c>
    </row>
    <row r="399" spans="28:28" x14ac:dyDescent="0.25">
      <c r="AB399" s="381" t="str" cm="1">
        <f t="array" ref="AB399">IF(ISNUMBER(AA399), IFERROR(VALUE(RIGHT(AA399,LEN(AA399)-MIN(FIND({0;1;2;3;4;5;6;7;8;9},AA399&amp;"0123456789"))+1)),""), "")</f>
        <v/>
      </c>
    </row>
    <row r="400" spans="28:28" x14ac:dyDescent="0.25">
      <c r="AB400" s="381" t="str" cm="1">
        <f t="array" ref="AB400">IF(ISNUMBER(AA400), IFERROR(VALUE(RIGHT(AA400,LEN(AA400)-MIN(FIND({0;1;2;3;4;5;6;7;8;9},AA400&amp;"0123456789"))+1)),""), "")</f>
        <v/>
      </c>
    </row>
    <row r="401" spans="28:28" x14ac:dyDescent="0.25">
      <c r="AB401" s="381" t="str" cm="1">
        <f t="array" ref="AB401">IF(ISNUMBER(AA401), IFERROR(VALUE(RIGHT(AA401,LEN(AA401)-MIN(FIND({0;1;2;3;4;5;6;7;8;9},AA401&amp;"0123456789"))+1)),""), "")</f>
        <v/>
      </c>
    </row>
    <row r="402" spans="28:28" x14ac:dyDescent="0.25">
      <c r="AB402" s="381" t="str" cm="1">
        <f t="array" ref="AB402">IF(ISNUMBER(AA402), IFERROR(VALUE(RIGHT(AA402,LEN(AA402)-MIN(FIND({0;1;2;3;4;5;6;7;8;9},AA402&amp;"0123456789"))+1)),""), "")</f>
        <v/>
      </c>
    </row>
    <row r="403" spans="28:28" x14ac:dyDescent="0.25">
      <c r="AB403" s="381" t="str" cm="1">
        <f t="array" ref="AB403">IF(ISNUMBER(AA403), IFERROR(VALUE(RIGHT(AA403,LEN(AA403)-MIN(FIND({0;1;2;3;4;5;6;7;8;9},AA403&amp;"0123456789"))+1)),""), "")</f>
        <v/>
      </c>
    </row>
    <row r="404" spans="28:28" x14ac:dyDescent="0.25">
      <c r="AB404" s="381" t="str" cm="1">
        <f t="array" ref="AB404">IF(ISNUMBER(AA404), IFERROR(VALUE(RIGHT(AA404,LEN(AA404)-MIN(FIND({0;1;2;3;4;5;6;7;8;9},AA404&amp;"0123456789"))+1)),""), "")</f>
        <v/>
      </c>
    </row>
    <row r="405" spans="28:28" x14ac:dyDescent="0.25">
      <c r="AB405" s="381" t="str" cm="1">
        <f t="array" ref="AB405">IF(ISNUMBER(AA405), IFERROR(VALUE(RIGHT(AA405,LEN(AA405)-MIN(FIND({0;1;2;3;4;5;6;7;8;9},AA405&amp;"0123456789"))+1)),""), "")</f>
        <v/>
      </c>
    </row>
    <row r="406" spans="28:28" x14ac:dyDescent="0.25">
      <c r="AB406" s="381" t="str" cm="1">
        <f t="array" ref="AB406">IF(ISNUMBER(AA406), IFERROR(VALUE(RIGHT(AA406,LEN(AA406)-MIN(FIND({0;1;2;3;4;5;6;7;8;9},AA406&amp;"0123456789"))+1)),""), "")</f>
        <v/>
      </c>
    </row>
    <row r="407" spans="28:28" x14ac:dyDescent="0.25">
      <c r="AB407" s="381" t="str" cm="1">
        <f t="array" ref="AB407">IF(ISNUMBER(AA407), IFERROR(VALUE(RIGHT(AA407,LEN(AA407)-MIN(FIND({0;1;2;3;4;5;6;7;8;9},AA407&amp;"0123456789"))+1)),""), "")</f>
        <v/>
      </c>
    </row>
    <row r="408" spans="28:28" x14ac:dyDescent="0.25">
      <c r="AB408" s="381" t="str" cm="1">
        <f t="array" ref="AB408">IF(ISNUMBER(AA408), IFERROR(VALUE(RIGHT(AA408,LEN(AA408)-MIN(FIND({0;1;2;3;4;5;6;7;8;9},AA408&amp;"0123456789"))+1)),""), "")</f>
        <v/>
      </c>
    </row>
    <row r="409" spans="28:28" x14ac:dyDescent="0.25">
      <c r="AB409" s="381" t="str" cm="1">
        <f t="array" ref="AB409">IF(ISNUMBER(AA409), IFERROR(VALUE(RIGHT(AA409,LEN(AA409)-MIN(FIND({0;1;2;3;4;5;6;7;8;9},AA409&amp;"0123456789"))+1)),""), "")</f>
        <v/>
      </c>
    </row>
    <row r="410" spans="28:28" x14ac:dyDescent="0.25">
      <c r="AB410" s="381" t="str" cm="1">
        <f t="array" ref="AB410">IF(ISNUMBER(AA410), IFERROR(VALUE(RIGHT(AA410,LEN(AA410)-MIN(FIND({0;1;2;3;4;5;6;7;8;9},AA410&amp;"0123456789"))+1)),""), "")</f>
        <v/>
      </c>
    </row>
    <row r="411" spans="28:28" x14ac:dyDescent="0.25">
      <c r="AB411" s="381" t="str" cm="1">
        <f t="array" ref="AB411">IF(ISNUMBER(AA411), IFERROR(VALUE(RIGHT(AA411,LEN(AA411)-MIN(FIND({0;1;2;3;4;5;6;7;8;9},AA411&amp;"0123456789"))+1)),""), "")</f>
        <v/>
      </c>
    </row>
    <row r="412" spans="28:28" x14ac:dyDescent="0.25">
      <c r="AB412" s="381" t="str" cm="1">
        <f t="array" ref="AB412">IF(ISNUMBER(AA412), IFERROR(VALUE(RIGHT(AA412,LEN(AA412)-MIN(FIND({0;1;2;3;4;5;6;7;8;9},AA412&amp;"0123456789"))+1)),""), "")</f>
        <v/>
      </c>
    </row>
    <row r="413" spans="28:28" x14ac:dyDescent="0.25">
      <c r="AB413" s="381" t="str" cm="1">
        <f t="array" ref="AB413">IF(ISNUMBER(AA413), IFERROR(VALUE(RIGHT(AA413,LEN(AA413)-MIN(FIND({0;1;2;3;4;5;6;7;8;9},AA413&amp;"0123456789"))+1)),""), "")</f>
        <v/>
      </c>
    </row>
    <row r="414" spans="28:28" x14ac:dyDescent="0.25">
      <c r="AB414" s="381" t="str" cm="1">
        <f t="array" ref="AB414">IF(ISNUMBER(AA414), IFERROR(VALUE(RIGHT(AA414,LEN(AA414)-MIN(FIND({0;1;2;3;4;5;6;7;8;9},AA414&amp;"0123456789"))+1)),""), "")</f>
        <v/>
      </c>
    </row>
    <row r="415" spans="28:28" x14ac:dyDescent="0.25">
      <c r="AB415" s="381" t="str" cm="1">
        <f t="array" ref="AB415">IF(ISNUMBER(AA415), IFERROR(VALUE(RIGHT(AA415,LEN(AA415)-MIN(FIND({0;1;2;3;4;5;6;7;8;9},AA415&amp;"0123456789"))+1)),""), "")</f>
        <v/>
      </c>
    </row>
    <row r="416" spans="28:28" x14ac:dyDescent="0.25">
      <c r="AB416" s="381" t="str" cm="1">
        <f t="array" ref="AB416">IF(ISNUMBER(AA416), IFERROR(VALUE(RIGHT(AA416,LEN(AA416)-MIN(FIND({0;1;2;3;4;5;6;7;8;9},AA416&amp;"0123456789"))+1)),""), "")</f>
        <v/>
      </c>
    </row>
    <row r="417" spans="28:28" x14ac:dyDescent="0.25">
      <c r="AB417" s="381" t="str" cm="1">
        <f t="array" ref="AB417">IF(ISNUMBER(AA417), IFERROR(VALUE(RIGHT(AA417,LEN(AA417)-MIN(FIND({0;1;2;3;4;5;6;7;8;9},AA417&amp;"0123456789"))+1)),""), "")</f>
        <v/>
      </c>
    </row>
    <row r="418" spans="28:28" x14ac:dyDescent="0.25">
      <c r="AB418" s="381" t="str" cm="1">
        <f t="array" ref="AB418">IF(ISNUMBER(AA418), IFERROR(VALUE(RIGHT(AA418,LEN(AA418)-MIN(FIND({0;1;2;3;4;5;6;7;8;9},AA418&amp;"0123456789"))+1)),""), "")</f>
        <v/>
      </c>
    </row>
    <row r="419" spans="28:28" x14ac:dyDescent="0.25">
      <c r="AB419" s="381" t="str" cm="1">
        <f t="array" ref="AB419">IF(ISNUMBER(AA419), IFERROR(VALUE(RIGHT(AA419,LEN(AA419)-MIN(FIND({0;1;2;3;4;5;6;7;8;9},AA419&amp;"0123456789"))+1)),""), "")</f>
        <v/>
      </c>
    </row>
    <row r="420" spans="28:28" x14ac:dyDescent="0.25">
      <c r="AB420" s="381" t="str" cm="1">
        <f t="array" ref="AB420">IF(ISNUMBER(AA420), IFERROR(VALUE(RIGHT(AA420,LEN(AA420)-MIN(FIND({0;1;2;3;4;5;6;7;8;9},AA420&amp;"0123456789"))+1)),""), "")</f>
        <v/>
      </c>
    </row>
    <row r="421" spans="28:28" x14ac:dyDescent="0.25">
      <c r="AB421" s="381" t="str" cm="1">
        <f t="array" ref="AB421">IF(ISNUMBER(AA421), IFERROR(VALUE(RIGHT(AA421,LEN(AA421)-MIN(FIND({0;1;2;3;4;5;6;7;8;9},AA421&amp;"0123456789"))+1)),""), "")</f>
        <v/>
      </c>
    </row>
    <row r="422" spans="28:28" x14ac:dyDescent="0.25">
      <c r="AB422" s="381" t="str" cm="1">
        <f t="array" ref="AB422">IF(ISNUMBER(AA422), IFERROR(VALUE(RIGHT(AA422,LEN(AA422)-MIN(FIND({0;1;2;3;4;5;6;7;8;9},AA422&amp;"0123456789"))+1)),""), "")</f>
        <v/>
      </c>
    </row>
    <row r="423" spans="28:28" x14ac:dyDescent="0.25">
      <c r="AB423" s="381" t="str" cm="1">
        <f t="array" ref="AB423">IF(ISNUMBER(AA423), IFERROR(VALUE(RIGHT(AA423,LEN(AA423)-MIN(FIND({0;1;2;3;4;5;6;7;8;9},AA423&amp;"0123456789"))+1)),""), "")</f>
        <v/>
      </c>
    </row>
    <row r="424" spans="28:28" x14ac:dyDescent="0.25">
      <c r="AB424" s="381" t="str" cm="1">
        <f t="array" ref="AB424">IF(ISNUMBER(AA424), IFERROR(VALUE(RIGHT(AA424,LEN(AA424)-MIN(FIND({0;1;2;3;4;5;6;7;8;9},AA424&amp;"0123456789"))+1)),""), "")</f>
        <v/>
      </c>
    </row>
    <row r="425" spans="28:28" x14ac:dyDescent="0.25">
      <c r="AB425" s="381" t="str" cm="1">
        <f t="array" ref="AB425">IF(ISNUMBER(AA425), IFERROR(VALUE(RIGHT(AA425,LEN(AA425)-MIN(FIND({0;1;2;3;4;5;6;7;8;9},AA425&amp;"0123456789"))+1)),""), "")</f>
        <v/>
      </c>
    </row>
    <row r="426" spans="28:28" x14ac:dyDescent="0.25">
      <c r="AB426" s="381" t="str" cm="1">
        <f t="array" ref="AB426">IF(ISNUMBER(AA426), IFERROR(VALUE(RIGHT(AA426,LEN(AA426)-MIN(FIND({0;1;2;3;4;5;6;7;8;9},AA426&amp;"0123456789"))+1)),""), "")</f>
        <v/>
      </c>
    </row>
    <row r="427" spans="28:28" x14ac:dyDescent="0.25">
      <c r="AB427" s="381" t="str" cm="1">
        <f t="array" ref="AB427">IF(ISNUMBER(AA427), IFERROR(VALUE(RIGHT(AA427,LEN(AA427)-MIN(FIND({0;1;2;3;4;5;6;7;8;9},AA427&amp;"0123456789"))+1)),""), "")</f>
        <v/>
      </c>
    </row>
    <row r="428" spans="28:28" x14ac:dyDescent="0.25">
      <c r="AB428" s="381" t="str" cm="1">
        <f t="array" ref="AB428">IF(ISNUMBER(AA428), IFERROR(VALUE(RIGHT(AA428,LEN(AA428)-MIN(FIND({0;1;2;3;4;5;6;7;8;9},AA428&amp;"0123456789"))+1)),""), "")</f>
        <v/>
      </c>
    </row>
    <row r="429" spans="28:28" x14ac:dyDescent="0.25">
      <c r="AB429" s="381" t="str" cm="1">
        <f t="array" ref="AB429">IF(ISNUMBER(AA429), IFERROR(VALUE(RIGHT(AA429,LEN(AA429)-MIN(FIND({0;1;2;3;4;5;6;7;8;9},AA429&amp;"0123456789"))+1)),""), "")</f>
        <v/>
      </c>
    </row>
    <row r="430" spans="28:28" x14ac:dyDescent="0.25">
      <c r="AB430" s="381" t="str" cm="1">
        <f t="array" ref="AB430">IF(ISNUMBER(AA430), IFERROR(VALUE(RIGHT(AA430,LEN(AA430)-MIN(FIND({0;1;2;3;4;5;6;7;8;9},AA430&amp;"0123456789"))+1)),""), "")</f>
        <v/>
      </c>
    </row>
    <row r="431" spans="28:28" x14ac:dyDescent="0.25">
      <c r="AB431" s="381" t="str" cm="1">
        <f t="array" ref="AB431">IF(ISNUMBER(AA431), IFERROR(VALUE(RIGHT(AA431,LEN(AA431)-MIN(FIND({0;1;2;3;4;5;6;7;8;9},AA431&amp;"0123456789"))+1)),""), "")</f>
        <v/>
      </c>
    </row>
    <row r="432" spans="28:28" x14ac:dyDescent="0.25">
      <c r="AB432" s="381" t="str" cm="1">
        <f t="array" ref="AB432">IF(ISNUMBER(AA432), IFERROR(VALUE(RIGHT(AA432,LEN(AA432)-MIN(FIND({0;1;2;3;4;5;6;7;8;9},AA432&amp;"0123456789"))+1)),""), "")</f>
        <v/>
      </c>
    </row>
    <row r="433" spans="28:28" x14ac:dyDescent="0.25">
      <c r="AB433" s="381" t="str" cm="1">
        <f t="array" ref="AB433">IF(ISNUMBER(AA433), IFERROR(VALUE(RIGHT(AA433,LEN(AA433)-MIN(FIND({0;1;2;3;4;5;6;7;8;9},AA433&amp;"0123456789"))+1)),""), "")</f>
        <v/>
      </c>
    </row>
    <row r="434" spans="28:28" x14ac:dyDescent="0.25">
      <c r="AB434" s="381" t="str" cm="1">
        <f t="array" ref="AB434">IF(ISNUMBER(AA434), IFERROR(VALUE(RIGHT(AA434,LEN(AA434)-MIN(FIND({0;1;2;3;4;5;6;7;8;9},AA434&amp;"0123456789"))+1)),""), "")</f>
        <v/>
      </c>
    </row>
    <row r="435" spans="28:28" x14ac:dyDescent="0.25">
      <c r="AB435" s="381" t="str" cm="1">
        <f t="array" ref="AB435">IF(ISNUMBER(AA435), IFERROR(VALUE(RIGHT(AA435,LEN(AA435)-MIN(FIND({0;1;2;3;4;5;6;7;8;9},AA435&amp;"0123456789"))+1)),""), "")</f>
        <v/>
      </c>
    </row>
    <row r="436" spans="28:28" x14ac:dyDescent="0.25">
      <c r="AB436" s="381" t="str" cm="1">
        <f t="array" ref="AB436">IF(ISNUMBER(AA436), IFERROR(VALUE(RIGHT(AA436,LEN(AA436)-MIN(FIND({0;1;2;3;4;5;6;7;8;9},AA436&amp;"0123456789"))+1)),""), "")</f>
        <v/>
      </c>
    </row>
    <row r="437" spans="28:28" x14ac:dyDescent="0.25">
      <c r="AB437" s="381" t="str" cm="1">
        <f t="array" ref="AB437">IF(ISNUMBER(AA437), IFERROR(VALUE(RIGHT(AA437,LEN(AA437)-MIN(FIND({0;1;2;3;4;5;6;7;8;9},AA437&amp;"0123456789"))+1)),""), "")</f>
        <v/>
      </c>
    </row>
    <row r="438" spans="28:28" x14ac:dyDescent="0.25">
      <c r="AB438" s="381" t="str" cm="1">
        <f t="array" ref="AB438">IF(ISNUMBER(AA438), IFERROR(VALUE(RIGHT(AA438,LEN(AA438)-MIN(FIND({0;1;2;3;4;5;6;7;8;9},AA438&amp;"0123456789"))+1)),""), "")</f>
        <v/>
      </c>
    </row>
    <row r="439" spans="28:28" x14ac:dyDescent="0.25">
      <c r="AB439" s="381" t="str" cm="1">
        <f t="array" ref="AB439">IF(ISNUMBER(AA439), IFERROR(VALUE(RIGHT(AA439,LEN(AA439)-MIN(FIND({0;1;2;3;4;5;6;7;8;9},AA439&amp;"0123456789"))+1)),""), "")</f>
        <v/>
      </c>
    </row>
    <row r="440" spans="28:28" x14ac:dyDescent="0.25">
      <c r="AB440" s="381" t="str" cm="1">
        <f t="array" ref="AB440">IF(ISNUMBER(AA440), IFERROR(VALUE(RIGHT(AA440,LEN(AA440)-MIN(FIND({0;1;2;3;4;5;6;7;8;9},AA440&amp;"0123456789"))+1)),""), "")</f>
        <v/>
      </c>
    </row>
    <row r="441" spans="28:28" x14ac:dyDescent="0.25">
      <c r="AB441" s="381" t="str" cm="1">
        <f t="array" ref="AB441">IF(ISNUMBER(AA441), IFERROR(VALUE(RIGHT(AA441,LEN(AA441)-MIN(FIND({0;1;2;3;4;5;6;7;8;9},AA441&amp;"0123456789"))+1)),""), "")</f>
        <v/>
      </c>
    </row>
    <row r="442" spans="28:28" x14ac:dyDescent="0.25">
      <c r="AB442" s="381" t="str" cm="1">
        <f t="array" ref="AB442">IF(ISNUMBER(AA442), IFERROR(VALUE(RIGHT(AA442,LEN(AA442)-MIN(FIND({0;1;2;3;4;5;6;7;8;9},AA442&amp;"0123456789"))+1)),""), "")</f>
        <v/>
      </c>
    </row>
    <row r="443" spans="28:28" x14ac:dyDescent="0.25">
      <c r="AB443" s="381" t="str" cm="1">
        <f t="array" ref="AB443">IF(ISNUMBER(AA443), IFERROR(VALUE(RIGHT(AA443,LEN(AA443)-MIN(FIND({0;1;2;3;4;5;6;7;8;9},AA443&amp;"0123456789"))+1)),""), "")</f>
        <v/>
      </c>
    </row>
    <row r="444" spans="28:28" x14ac:dyDescent="0.25">
      <c r="AB444" s="381" t="str" cm="1">
        <f t="array" ref="AB444">IF(ISNUMBER(AA444), IFERROR(VALUE(RIGHT(AA444,LEN(AA444)-MIN(FIND({0;1;2;3;4;5;6;7;8;9},AA444&amp;"0123456789"))+1)),""), "")</f>
        <v/>
      </c>
    </row>
    <row r="445" spans="28:28" x14ac:dyDescent="0.25">
      <c r="AB445" s="381" t="str" cm="1">
        <f t="array" ref="AB445">IF(ISNUMBER(AA445), IFERROR(VALUE(RIGHT(AA445,LEN(AA445)-MIN(FIND({0;1;2;3;4;5;6;7;8;9},AA445&amp;"0123456789"))+1)),""), "")</f>
        <v/>
      </c>
    </row>
    <row r="446" spans="28:28" x14ac:dyDescent="0.25">
      <c r="AB446" s="381" t="str" cm="1">
        <f t="array" ref="AB446">IF(ISNUMBER(AA446), IFERROR(VALUE(RIGHT(AA446,LEN(AA446)-MIN(FIND({0;1;2;3;4;5;6;7;8;9},AA446&amp;"0123456789"))+1)),""), "")</f>
        <v/>
      </c>
    </row>
    <row r="447" spans="28:28" x14ac:dyDescent="0.25">
      <c r="AB447" s="381" t="str" cm="1">
        <f t="array" ref="AB447">IF(ISNUMBER(AA447), IFERROR(VALUE(RIGHT(AA447,LEN(AA447)-MIN(FIND({0;1;2;3;4;5;6;7;8;9},AA447&amp;"0123456789"))+1)),""), "")</f>
        <v/>
      </c>
    </row>
    <row r="448" spans="28:28" x14ac:dyDescent="0.25">
      <c r="AB448" s="381" t="str" cm="1">
        <f t="array" ref="AB448">IF(ISNUMBER(AA448), IFERROR(VALUE(RIGHT(AA448,LEN(AA448)-MIN(FIND({0;1;2;3;4;5;6;7;8;9},AA448&amp;"0123456789"))+1)),""), "")</f>
        <v/>
      </c>
    </row>
    <row r="449" spans="28:28" x14ac:dyDescent="0.25">
      <c r="AB449" s="381" t="str" cm="1">
        <f t="array" ref="AB449">IF(ISNUMBER(AA449), IFERROR(VALUE(RIGHT(AA449,LEN(AA449)-MIN(FIND({0;1;2;3;4;5;6;7;8;9},AA449&amp;"0123456789"))+1)),""), "")</f>
        <v/>
      </c>
    </row>
    <row r="450" spans="28:28" x14ac:dyDescent="0.25">
      <c r="AB450" s="381" t="str" cm="1">
        <f t="array" ref="AB450">IF(ISNUMBER(AA450), IFERROR(VALUE(RIGHT(AA450,LEN(AA450)-MIN(FIND({0;1;2;3;4;5;6;7;8;9},AA450&amp;"0123456789"))+1)),""), "")</f>
        <v/>
      </c>
    </row>
    <row r="451" spans="28:28" x14ac:dyDescent="0.25">
      <c r="AB451" s="381" t="str" cm="1">
        <f t="array" ref="AB451">IF(ISNUMBER(AA451), IFERROR(VALUE(RIGHT(AA451,LEN(AA451)-MIN(FIND({0;1;2;3;4;5;6;7;8;9},AA451&amp;"0123456789"))+1)),""), "")</f>
        <v/>
      </c>
    </row>
    <row r="452" spans="28:28" x14ac:dyDescent="0.25">
      <c r="AB452" s="381" t="str" cm="1">
        <f t="array" ref="AB452">IF(ISNUMBER(AA452), IFERROR(VALUE(RIGHT(AA452,LEN(AA452)-MIN(FIND({0;1;2;3;4;5;6;7;8;9},AA452&amp;"0123456789"))+1)),""), "")</f>
        <v/>
      </c>
    </row>
    <row r="453" spans="28:28" x14ac:dyDescent="0.25">
      <c r="AB453" s="381" t="str" cm="1">
        <f t="array" ref="AB453">IF(ISNUMBER(AA453), IFERROR(VALUE(RIGHT(AA453,LEN(AA453)-MIN(FIND({0;1;2;3;4;5;6;7;8;9},AA453&amp;"0123456789"))+1)),""), "")</f>
        <v/>
      </c>
    </row>
    <row r="454" spans="28:28" x14ac:dyDescent="0.25">
      <c r="AB454" s="381" t="str" cm="1">
        <f t="array" ref="AB454">IF(ISNUMBER(AA454), IFERROR(VALUE(RIGHT(AA454,LEN(AA454)-MIN(FIND({0;1;2;3;4;5;6;7;8;9},AA454&amp;"0123456789"))+1)),""), "")</f>
        <v/>
      </c>
    </row>
    <row r="455" spans="28:28" x14ac:dyDescent="0.25">
      <c r="AB455" s="381" t="str" cm="1">
        <f t="array" ref="AB455">IF(ISNUMBER(AA455), IFERROR(VALUE(RIGHT(AA455,LEN(AA455)-MIN(FIND({0;1;2;3;4;5;6;7;8;9},AA455&amp;"0123456789"))+1)),""), "")</f>
        <v/>
      </c>
    </row>
    <row r="456" spans="28:28" x14ac:dyDescent="0.25">
      <c r="AB456" s="381" t="str" cm="1">
        <f t="array" ref="AB456">IF(ISNUMBER(AA456), IFERROR(VALUE(RIGHT(AA456,LEN(AA456)-MIN(FIND({0;1;2;3;4;5;6;7;8;9},AA456&amp;"0123456789"))+1)),""), "")</f>
        <v/>
      </c>
    </row>
    <row r="457" spans="28:28" x14ac:dyDescent="0.25">
      <c r="AB457" s="381" t="str" cm="1">
        <f t="array" ref="AB457">IF(ISNUMBER(AA457), IFERROR(VALUE(RIGHT(AA457,LEN(AA457)-MIN(FIND({0;1;2;3;4;5;6;7;8;9},AA457&amp;"0123456789"))+1)),""), "")</f>
        <v/>
      </c>
    </row>
    <row r="458" spans="28:28" x14ac:dyDescent="0.25">
      <c r="AB458" s="381" t="str" cm="1">
        <f t="array" ref="AB458">IF(ISNUMBER(AA458), IFERROR(VALUE(RIGHT(AA458,LEN(AA458)-MIN(FIND({0;1;2;3;4;5;6;7;8;9},AA458&amp;"0123456789"))+1)),""), "")</f>
        <v/>
      </c>
    </row>
    <row r="459" spans="28:28" x14ac:dyDescent="0.25">
      <c r="AB459" s="381" t="str" cm="1">
        <f t="array" ref="AB459">IF(ISNUMBER(AA459), IFERROR(VALUE(RIGHT(AA459,LEN(AA459)-MIN(FIND({0;1;2;3;4;5;6;7;8;9},AA459&amp;"0123456789"))+1)),""), "")</f>
        <v/>
      </c>
    </row>
    <row r="460" spans="28:28" x14ac:dyDescent="0.25">
      <c r="AB460" s="381" t="str" cm="1">
        <f t="array" ref="AB460">IF(ISNUMBER(AA460), IFERROR(VALUE(RIGHT(AA460,LEN(AA460)-MIN(FIND({0;1;2;3;4;5;6;7;8;9},AA460&amp;"0123456789"))+1)),""), "")</f>
        <v/>
      </c>
    </row>
    <row r="461" spans="28:28" x14ac:dyDescent="0.25">
      <c r="AB461" s="381" t="str" cm="1">
        <f t="array" ref="AB461">IF(ISNUMBER(AA461), IFERROR(VALUE(RIGHT(AA461,LEN(AA461)-MIN(FIND({0;1;2;3;4;5;6;7;8;9},AA461&amp;"0123456789"))+1)),""), "")</f>
        <v/>
      </c>
    </row>
    <row r="462" spans="28:28" x14ac:dyDescent="0.25">
      <c r="AB462" s="381" t="str" cm="1">
        <f t="array" ref="AB462">IF(ISNUMBER(AA462), IFERROR(VALUE(RIGHT(AA462,LEN(AA462)-MIN(FIND({0;1;2;3;4;5;6;7;8;9},AA462&amp;"0123456789"))+1)),""), "")</f>
        <v/>
      </c>
    </row>
    <row r="463" spans="28:28" x14ac:dyDescent="0.25">
      <c r="AB463" s="381" t="str" cm="1">
        <f t="array" ref="AB463">IF(ISNUMBER(AA463), IFERROR(VALUE(RIGHT(AA463,LEN(AA463)-MIN(FIND({0;1;2;3;4;5;6;7;8;9},AA463&amp;"0123456789"))+1)),""), "")</f>
        <v/>
      </c>
    </row>
    <row r="464" spans="28:28" x14ac:dyDescent="0.25">
      <c r="AB464" s="381" t="str" cm="1">
        <f t="array" ref="AB464">IF(ISNUMBER(AA464), IFERROR(VALUE(RIGHT(AA464,LEN(AA464)-MIN(FIND({0;1;2;3;4;5;6;7;8;9},AA464&amp;"0123456789"))+1)),""), "")</f>
        <v/>
      </c>
    </row>
    <row r="465" spans="28:28" x14ac:dyDescent="0.25">
      <c r="AB465" s="381" t="str" cm="1">
        <f t="array" ref="AB465">IF(ISNUMBER(AA465), IFERROR(VALUE(RIGHT(AA465,LEN(AA465)-MIN(FIND({0;1;2;3;4;5;6;7;8;9},AA465&amp;"0123456789"))+1)),""), "")</f>
        <v/>
      </c>
    </row>
    <row r="466" spans="28:28" x14ac:dyDescent="0.25">
      <c r="AB466" s="381" t="str" cm="1">
        <f t="array" ref="AB466">IF(ISNUMBER(AA466), IFERROR(VALUE(RIGHT(AA466,LEN(AA466)-MIN(FIND({0;1;2;3;4;5;6;7;8;9},AA466&amp;"0123456789"))+1)),""), "")</f>
        <v/>
      </c>
    </row>
    <row r="467" spans="28:28" x14ac:dyDescent="0.25">
      <c r="AB467" s="381" t="str" cm="1">
        <f t="array" ref="AB467">IF(ISNUMBER(AA467), IFERROR(VALUE(RIGHT(AA467,LEN(AA467)-MIN(FIND({0;1;2;3;4;5;6;7;8;9},AA467&amp;"0123456789"))+1)),""), "")</f>
        <v/>
      </c>
    </row>
    <row r="468" spans="28:28" x14ac:dyDescent="0.25">
      <c r="AB468" s="381" t="str" cm="1">
        <f t="array" ref="AB468">IF(ISNUMBER(AA468), IFERROR(VALUE(RIGHT(AA468,LEN(AA468)-MIN(FIND({0;1;2;3;4;5;6;7;8;9},AA468&amp;"0123456789"))+1)),""), "")</f>
        <v/>
      </c>
    </row>
    <row r="469" spans="28:28" x14ac:dyDescent="0.25">
      <c r="AB469" s="381" t="str" cm="1">
        <f t="array" ref="AB469">IF(ISNUMBER(AA469), IFERROR(VALUE(RIGHT(AA469,LEN(AA469)-MIN(FIND({0;1;2;3;4;5;6;7;8;9},AA469&amp;"0123456789"))+1)),""), "")</f>
        <v/>
      </c>
    </row>
    <row r="470" spans="28:28" x14ac:dyDescent="0.25">
      <c r="AB470" s="381" t="str" cm="1">
        <f t="array" ref="AB470">IF(ISNUMBER(AA470), IFERROR(VALUE(RIGHT(AA470,LEN(AA470)-MIN(FIND({0;1;2;3;4;5;6;7;8;9},AA470&amp;"0123456789"))+1)),""), "")</f>
        <v/>
      </c>
    </row>
    <row r="471" spans="28:28" x14ac:dyDescent="0.25">
      <c r="AB471" s="381" t="str" cm="1">
        <f t="array" ref="AB471">IF(ISNUMBER(AA471), IFERROR(VALUE(RIGHT(AA471,LEN(AA471)-MIN(FIND({0;1;2;3;4;5;6;7;8;9},AA471&amp;"0123456789"))+1)),""), "")</f>
        <v/>
      </c>
    </row>
    <row r="472" spans="28:28" x14ac:dyDescent="0.25">
      <c r="AB472" s="381" t="str" cm="1">
        <f t="array" ref="AB472">IF(ISNUMBER(AA472), IFERROR(VALUE(RIGHT(AA472,LEN(AA472)-MIN(FIND({0;1;2;3;4;5;6;7;8;9},AA472&amp;"0123456789"))+1)),""), "")</f>
        <v/>
      </c>
    </row>
    <row r="473" spans="28:28" x14ac:dyDescent="0.25">
      <c r="AB473" s="381" t="str" cm="1">
        <f t="array" ref="AB473">IF(ISNUMBER(AA473), IFERROR(VALUE(RIGHT(AA473,LEN(AA473)-MIN(FIND({0;1;2;3;4;5;6;7;8;9},AA473&amp;"0123456789"))+1)),""), "")</f>
        <v/>
      </c>
    </row>
    <row r="474" spans="28:28" x14ac:dyDescent="0.25">
      <c r="AB474" s="381" t="str" cm="1">
        <f t="array" ref="AB474">IF(ISNUMBER(AA474), IFERROR(VALUE(RIGHT(AA474,LEN(AA474)-MIN(FIND({0;1;2;3;4;5;6;7;8;9},AA474&amp;"0123456789"))+1)),""), "")</f>
        <v/>
      </c>
    </row>
    <row r="475" spans="28:28" x14ac:dyDescent="0.25">
      <c r="AB475" s="381" t="str" cm="1">
        <f t="array" ref="AB475">IF(ISNUMBER(AA475), IFERROR(VALUE(RIGHT(AA475,LEN(AA475)-MIN(FIND({0;1;2;3;4;5;6;7;8;9},AA475&amp;"0123456789"))+1)),""), "")</f>
        <v/>
      </c>
    </row>
    <row r="476" spans="28:28" x14ac:dyDescent="0.25">
      <c r="AB476" s="381" t="str" cm="1">
        <f t="array" ref="AB476">IF(ISNUMBER(AA476), IFERROR(VALUE(RIGHT(AA476,LEN(AA476)-MIN(FIND({0;1;2;3;4;5;6;7;8;9},AA476&amp;"0123456789"))+1)),""), "")</f>
        <v/>
      </c>
    </row>
    <row r="477" spans="28:28" x14ac:dyDescent="0.25">
      <c r="AB477" s="381" t="str" cm="1">
        <f t="array" ref="AB477">IF(ISNUMBER(AA477), IFERROR(VALUE(RIGHT(AA477,LEN(AA477)-MIN(FIND({0;1;2;3;4;5;6;7;8;9},AA477&amp;"0123456789"))+1)),""), "")</f>
        <v/>
      </c>
    </row>
    <row r="478" spans="28:28" x14ac:dyDescent="0.25">
      <c r="AB478" s="381" t="str" cm="1">
        <f t="array" ref="AB478">IF(ISNUMBER(AA478), IFERROR(VALUE(RIGHT(AA478,LEN(AA478)-MIN(FIND({0;1;2;3;4;5;6;7;8;9},AA478&amp;"0123456789"))+1)),""), "")</f>
        <v/>
      </c>
    </row>
    <row r="479" spans="28:28" x14ac:dyDescent="0.25">
      <c r="AB479" s="381" t="str" cm="1">
        <f t="array" ref="AB479">IF(ISNUMBER(AA479), IFERROR(VALUE(RIGHT(AA479,LEN(AA479)-MIN(FIND({0;1;2;3;4;5;6;7;8;9},AA479&amp;"0123456789"))+1)),""), "")</f>
        <v/>
      </c>
    </row>
    <row r="480" spans="28:28" x14ac:dyDescent="0.25">
      <c r="AB480" s="381" t="str" cm="1">
        <f t="array" ref="AB480">IF(ISNUMBER(AA480), IFERROR(VALUE(RIGHT(AA480,LEN(AA480)-MIN(FIND({0;1;2;3;4;5;6;7;8;9},AA480&amp;"0123456789"))+1)),""), "")</f>
        <v/>
      </c>
    </row>
    <row r="481" spans="28:28" x14ac:dyDescent="0.25">
      <c r="AB481" s="381" t="str" cm="1">
        <f t="array" ref="AB481">IF(ISNUMBER(AA481), IFERROR(VALUE(RIGHT(AA481,LEN(AA481)-MIN(FIND({0;1;2;3;4;5;6;7;8;9},AA481&amp;"0123456789"))+1)),""), "")</f>
        <v/>
      </c>
    </row>
    <row r="482" spans="28:28" x14ac:dyDescent="0.25">
      <c r="AB482" s="381" t="str" cm="1">
        <f t="array" ref="AB482">IF(ISNUMBER(AA482), IFERROR(VALUE(RIGHT(AA482,LEN(AA482)-MIN(FIND({0;1;2;3;4;5;6;7;8;9},AA482&amp;"0123456789"))+1)),""), "")</f>
        <v/>
      </c>
    </row>
    <row r="483" spans="28:28" x14ac:dyDescent="0.25">
      <c r="AB483" s="381" t="str" cm="1">
        <f t="array" ref="AB483">IF(ISNUMBER(AA483), IFERROR(VALUE(RIGHT(AA483,LEN(AA483)-MIN(FIND({0;1;2;3;4;5;6;7;8;9},AA483&amp;"0123456789"))+1)),""), "")</f>
        <v/>
      </c>
    </row>
    <row r="484" spans="28:28" x14ac:dyDescent="0.25">
      <c r="AB484" s="381" t="str" cm="1">
        <f t="array" ref="AB484">IF(ISNUMBER(AA484), IFERROR(VALUE(RIGHT(AA484,LEN(AA484)-MIN(FIND({0;1;2;3;4;5;6;7;8;9},AA484&amp;"0123456789"))+1)),""), "")</f>
        <v/>
      </c>
    </row>
    <row r="485" spans="28:28" x14ac:dyDescent="0.25">
      <c r="AB485" s="381" t="str" cm="1">
        <f t="array" ref="AB485">IF(ISNUMBER(AA485), IFERROR(VALUE(RIGHT(AA485,LEN(AA485)-MIN(FIND({0;1;2;3;4;5;6;7;8;9},AA485&amp;"0123456789"))+1)),""), "")</f>
        <v/>
      </c>
    </row>
    <row r="486" spans="28:28" x14ac:dyDescent="0.25">
      <c r="AB486" s="381" t="str" cm="1">
        <f t="array" ref="AB486">IF(ISNUMBER(AA486), IFERROR(VALUE(RIGHT(AA486,LEN(AA486)-MIN(FIND({0;1;2;3;4;5;6;7;8;9},AA486&amp;"0123456789"))+1)),""), "")</f>
        <v/>
      </c>
    </row>
    <row r="487" spans="28:28" x14ac:dyDescent="0.25">
      <c r="AB487" s="381" t="str" cm="1">
        <f t="array" ref="AB487">IF(ISNUMBER(AA487), IFERROR(VALUE(RIGHT(AA487,LEN(AA487)-MIN(FIND({0;1;2;3;4;5;6;7;8;9},AA487&amp;"0123456789"))+1)),""), "")</f>
        <v/>
      </c>
    </row>
    <row r="488" spans="28:28" x14ac:dyDescent="0.25">
      <c r="AB488" s="381" t="str" cm="1">
        <f t="array" ref="AB488">IF(ISNUMBER(AA488), IFERROR(VALUE(RIGHT(AA488,LEN(AA488)-MIN(FIND({0;1;2;3;4;5;6;7;8;9},AA488&amp;"0123456789"))+1)),""), "")</f>
        <v/>
      </c>
    </row>
    <row r="489" spans="28:28" x14ac:dyDescent="0.25">
      <c r="AB489" s="381" t="str" cm="1">
        <f t="array" ref="AB489">IF(ISNUMBER(AA489), IFERROR(VALUE(RIGHT(AA489,LEN(AA489)-MIN(FIND({0;1;2;3;4;5;6;7;8;9},AA489&amp;"0123456789"))+1)),""), "")</f>
        <v/>
      </c>
    </row>
    <row r="490" spans="28:28" x14ac:dyDescent="0.25">
      <c r="AB490" s="381" t="str" cm="1">
        <f t="array" ref="AB490">IF(ISNUMBER(AA490), IFERROR(VALUE(RIGHT(AA490,LEN(AA490)-MIN(FIND({0;1;2;3;4;5;6;7;8;9},AA490&amp;"0123456789"))+1)),""), "")</f>
        <v/>
      </c>
    </row>
    <row r="491" spans="28:28" x14ac:dyDescent="0.25">
      <c r="AB491" s="381" t="str" cm="1">
        <f t="array" ref="AB491">IF(ISNUMBER(AA491), IFERROR(VALUE(RIGHT(AA491,LEN(AA491)-MIN(FIND({0;1;2;3;4;5;6;7;8;9},AA491&amp;"0123456789"))+1)),""), "")</f>
        <v/>
      </c>
    </row>
    <row r="492" spans="28:28" x14ac:dyDescent="0.25">
      <c r="AB492" s="381" t="str" cm="1">
        <f t="array" ref="AB492">IF(ISNUMBER(AA492), IFERROR(VALUE(RIGHT(AA492,LEN(AA492)-MIN(FIND({0;1;2;3;4;5;6;7;8;9},AA492&amp;"0123456789"))+1)),""), "")</f>
        <v/>
      </c>
    </row>
    <row r="493" spans="28:28" x14ac:dyDescent="0.25">
      <c r="AB493" s="381" t="str" cm="1">
        <f t="array" ref="AB493">IF(ISNUMBER(AA493), IFERROR(VALUE(RIGHT(AA493,LEN(AA493)-MIN(FIND({0;1;2;3;4;5;6;7;8;9},AA493&amp;"0123456789"))+1)),""), "")</f>
        <v/>
      </c>
    </row>
    <row r="494" spans="28:28" x14ac:dyDescent="0.25">
      <c r="AB494" s="381" t="str" cm="1">
        <f t="array" ref="AB494">IF(ISNUMBER(AA494), IFERROR(VALUE(RIGHT(AA494,LEN(AA494)-MIN(FIND({0;1;2;3;4;5;6;7;8;9},AA494&amp;"0123456789"))+1)),""), "")</f>
        <v/>
      </c>
    </row>
    <row r="495" spans="28:28" x14ac:dyDescent="0.25">
      <c r="AB495" s="381" t="str" cm="1">
        <f t="array" ref="AB495">IF(ISNUMBER(AA495), IFERROR(VALUE(RIGHT(AA495,LEN(AA495)-MIN(FIND({0;1;2;3;4;5;6;7;8;9},AA495&amp;"0123456789"))+1)),""), "")</f>
        <v/>
      </c>
    </row>
    <row r="496" spans="28:28" x14ac:dyDescent="0.25">
      <c r="AB496" s="381" t="str" cm="1">
        <f t="array" ref="AB496">IF(ISNUMBER(AA496), IFERROR(VALUE(RIGHT(AA496,LEN(AA496)-MIN(FIND({0;1;2;3;4;5;6;7;8;9},AA496&amp;"0123456789"))+1)),""), "")</f>
        <v/>
      </c>
    </row>
    <row r="497" spans="28:28" x14ac:dyDescent="0.25">
      <c r="AB497" s="381" t="str" cm="1">
        <f t="array" ref="AB497">IF(ISNUMBER(AA497), IFERROR(VALUE(RIGHT(AA497,LEN(AA497)-MIN(FIND({0;1;2;3;4;5;6;7;8;9},AA497&amp;"0123456789"))+1)),""), "")</f>
        <v/>
      </c>
    </row>
    <row r="498" spans="28:28" x14ac:dyDescent="0.25">
      <c r="AB498" s="381" t="str" cm="1">
        <f t="array" ref="AB498">IF(ISNUMBER(AA498), IFERROR(VALUE(RIGHT(AA498,LEN(AA498)-MIN(FIND({0;1;2;3;4;5;6;7;8;9},AA498&amp;"0123456789"))+1)),""), "")</f>
        <v/>
      </c>
    </row>
    <row r="499" spans="28:28" x14ac:dyDescent="0.25">
      <c r="AB499" s="381" t="str" cm="1">
        <f t="array" ref="AB499">IF(ISNUMBER(AA499), IFERROR(VALUE(RIGHT(AA499,LEN(AA499)-MIN(FIND({0;1;2;3;4;5;6;7;8;9},AA499&amp;"0123456789"))+1)),""), "")</f>
        <v/>
      </c>
    </row>
    <row r="500" spans="28:28" x14ac:dyDescent="0.25">
      <c r="AB500" s="381" t="str" cm="1">
        <f t="array" ref="AB500">IF(ISNUMBER(AA500), IFERROR(VALUE(RIGHT(AA500,LEN(AA500)-MIN(FIND({0;1;2;3;4;5;6;7;8;9},AA500&amp;"0123456789"))+1)),""), "")</f>
        <v/>
      </c>
    </row>
    <row r="501" spans="28:28" x14ac:dyDescent="0.25">
      <c r="AB501" s="381"/>
    </row>
    <row r="502" spans="28:28" x14ac:dyDescent="0.25">
      <c r="AB502" s="381"/>
    </row>
    <row r="503" spans="28:28" x14ac:dyDescent="0.25">
      <c r="AB503" s="381"/>
    </row>
    <row r="504" spans="28:28" x14ac:dyDescent="0.25">
      <c r="AB504" s="381"/>
    </row>
    <row r="505" spans="28:28" x14ac:dyDescent="0.25">
      <c r="AB505" s="381"/>
    </row>
    <row r="506" spans="28:28" x14ac:dyDescent="0.25">
      <c r="AB506" s="381"/>
    </row>
    <row r="507" spans="28:28" x14ac:dyDescent="0.25">
      <c r="AB507" s="381"/>
    </row>
    <row r="508" spans="28:28" x14ac:dyDescent="0.25">
      <c r="AB508" s="381"/>
    </row>
    <row r="509" spans="28:28" x14ac:dyDescent="0.25">
      <c r="AB509" s="381"/>
    </row>
    <row r="510" spans="28:28" x14ac:dyDescent="0.25">
      <c r="AB510" s="381"/>
    </row>
    <row r="511" spans="28:28" x14ac:dyDescent="0.25">
      <c r="AB511" s="381"/>
    </row>
    <row r="512" spans="28:28" x14ac:dyDescent="0.25">
      <c r="AB512" s="381"/>
    </row>
    <row r="513" spans="28:28" x14ac:dyDescent="0.25">
      <c r="AB513" s="381"/>
    </row>
    <row r="514" spans="28:28" x14ac:dyDescent="0.25">
      <c r="AB514" s="381"/>
    </row>
    <row r="515" spans="28:28" x14ac:dyDescent="0.25">
      <c r="AB515" s="381"/>
    </row>
    <row r="516" spans="28:28" x14ac:dyDescent="0.25">
      <c r="AB516" s="381"/>
    </row>
    <row r="517" spans="28:28" x14ac:dyDescent="0.25">
      <c r="AB517" s="381"/>
    </row>
    <row r="518" spans="28:28" x14ac:dyDescent="0.25">
      <c r="AB518" s="381"/>
    </row>
    <row r="519" spans="28:28" x14ac:dyDescent="0.25">
      <c r="AB519" s="381"/>
    </row>
    <row r="520" spans="28:28" x14ac:dyDescent="0.25">
      <c r="AB520" s="381"/>
    </row>
    <row r="521" spans="28:28" x14ac:dyDescent="0.25">
      <c r="AB521" s="381"/>
    </row>
    <row r="522" spans="28:28" x14ac:dyDescent="0.25">
      <c r="AB522" s="381"/>
    </row>
    <row r="523" spans="28:28" x14ac:dyDescent="0.25">
      <c r="AB523" s="381"/>
    </row>
    <row r="524" spans="28:28" x14ac:dyDescent="0.25">
      <c r="AB524" s="381"/>
    </row>
    <row r="525" spans="28:28" x14ac:dyDescent="0.25">
      <c r="AB525" s="381"/>
    </row>
    <row r="526" spans="28:28" x14ac:dyDescent="0.25">
      <c r="AB526" s="381"/>
    </row>
    <row r="527" spans="28:28" x14ac:dyDescent="0.25">
      <c r="AB527" s="381"/>
    </row>
    <row r="528" spans="28:28" x14ac:dyDescent="0.25">
      <c r="AB528" s="381"/>
    </row>
    <row r="529" spans="28:28" x14ac:dyDescent="0.25">
      <c r="AB529" s="381"/>
    </row>
    <row r="530" spans="28:28" x14ac:dyDescent="0.25">
      <c r="AB530" s="381"/>
    </row>
    <row r="531" spans="28:28" x14ac:dyDescent="0.25">
      <c r="AB531" s="381"/>
    </row>
    <row r="532" spans="28:28" x14ac:dyDescent="0.25">
      <c r="AB532" s="381"/>
    </row>
    <row r="533" spans="28:28" x14ac:dyDescent="0.25">
      <c r="AB533" s="381"/>
    </row>
    <row r="534" spans="28:28" x14ac:dyDescent="0.25">
      <c r="AB534" s="381"/>
    </row>
    <row r="535" spans="28:28" x14ac:dyDescent="0.25">
      <c r="AB535" s="381"/>
    </row>
    <row r="536" spans="28:28" x14ac:dyDescent="0.25">
      <c r="AB536" s="381"/>
    </row>
    <row r="537" spans="28:28" x14ac:dyDescent="0.25">
      <c r="AB537" s="381"/>
    </row>
    <row r="538" spans="28:28" x14ac:dyDescent="0.25">
      <c r="AB538" s="381"/>
    </row>
    <row r="539" spans="28:28" x14ac:dyDescent="0.25">
      <c r="AB539" s="381"/>
    </row>
    <row r="540" spans="28:28" x14ac:dyDescent="0.25">
      <c r="AB540" s="381"/>
    </row>
    <row r="541" spans="28:28" x14ac:dyDescent="0.25">
      <c r="AB541" s="381"/>
    </row>
    <row r="542" spans="28:28" x14ac:dyDescent="0.25">
      <c r="AB542" s="381"/>
    </row>
    <row r="543" spans="28:28" x14ac:dyDescent="0.25">
      <c r="AB543" s="381"/>
    </row>
    <row r="544" spans="28:28" x14ac:dyDescent="0.25">
      <c r="AB544" s="381"/>
    </row>
    <row r="545" spans="28:28" x14ac:dyDescent="0.25">
      <c r="AB545" s="381"/>
    </row>
    <row r="546" spans="28:28" x14ac:dyDescent="0.25">
      <c r="AB546" s="381"/>
    </row>
    <row r="547" spans="28:28" x14ac:dyDescent="0.25">
      <c r="AB547" s="381"/>
    </row>
    <row r="548" spans="28:28" x14ac:dyDescent="0.25">
      <c r="AB548" s="381"/>
    </row>
    <row r="549" spans="28:28" x14ac:dyDescent="0.25">
      <c r="AB549" s="381"/>
    </row>
    <row r="550" spans="28:28" x14ac:dyDescent="0.25">
      <c r="AB550" s="381"/>
    </row>
    <row r="551" spans="28:28" x14ac:dyDescent="0.25">
      <c r="AB551" s="381"/>
    </row>
    <row r="552" spans="28:28" x14ac:dyDescent="0.25">
      <c r="AB552" s="381"/>
    </row>
    <row r="553" spans="28:28" x14ac:dyDescent="0.25">
      <c r="AB553" s="381"/>
    </row>
    <row r="554" spans="28:28" x14ac:dyDescent="0.25">
      <c r="AB554" s="381"/>
    </row>
    <row r="555" spans="28:28" x14ac:dyDescent="0.25">
      <c r="AB555" s="381"/>
    </row>
    <row r="556" spans="28:28" x14ac:dyDescent="0.25">
      <c r="AB556" s="381"/>
    </row>
    <row r="557" spans="28:28" x14ac:dyDescent="0.25">
      <c r="AB557" s="381"/>
    </row>
    <row r="558" spans="28:28" x14ac:dyDescent="0.25">
      <c r="AB558" s="381"/>
    </row>
    <row r="559" spans="28:28" x14ac:dyDescent="0.25">
      <c r="AB559" s="381"/>
    </row>
    <row r="560" spans="28:28" x14ac:dyDescent="0.25">
      <c r="AB560" s="381"/>
    </row>
    <row r="561" spans="28:28" x14ac:dyDescent="0.25">
      <c r="AB561" s="381"/>
    </row>
    <row r="562" spans="28:28" x14ac:dyDescent="0.25">
      <c r="AB562" s="381"/>
    </row>
    <row r="563" spans="28:28" x14ac:dyDescent="0.25">
      <c r="AB563" s="381"/>
    </row>
    <row r="564" spans="28:28" x14ac:dyDescent="0.25">
      <c r="AB564" s="381"/>
    </row>
    <row r="565" spans="28:28" x14ac:dyDescent="0.25">
      <c r="AB565" s="381"/>
    </row>
    <row r="566" spans="28:28" x14ac:dyDescent="0.25">
      <c r="AB566" s="381"/>
    </row>
    <row r="567" spans="28:28" x14ac:dyDescent="0.25">
      <c r="AB567" s="381"/>
    </row>
    <row r="568" spans="28:28" x14ac:dyDescent="0.25">
      <c r="AB568" s="381"/>
    </row>
    <row r="569" spans="28:28" x14ac:dyDescent="0.25">
      <c r="AB569" s="381"/>
    </row>
    <row r="570" spans="28:28" x14ac:dyDescent="0.25">
      <c r="AB570" s="381"/>
    </row>
    <row r="571" spans="28:28" x14ac:dyDescent="0.25">
      <c r="AB571" s="381"/>
    </row>
    <row r="572" spans="28:28" x14ac:dyDescent="0.25">
      <c r="AB572" s="381"/>
    </row>
    <row r="573" spans="28:28" x14ac:dyDescent="0.25">
      <c r="AB573" s="381"/>
    </row>
    <row r="574" spans="28:28" x14ac:dyDescent="0.25">
      <c r="AB574" s="381"/>
    </row>
    <row r="575" spans="28:28" x14ac:dyDescent="0.25">
      <c r="AB575" s="381"/>
    </row>
    <row r="576" spans="28:28" x14ac:dyDescent="0.25">
      <c r="AB576" s="381"/>
    </row>
    <row r="577" spans="28:28" x14ac:dyDescent="0.25">
      <c r="AB577" s="381"/>
    </row>
    <row r="578" spans="28:28" x14ac:dyDescent="0.25">
      <c r="AB578" s="381"/>
    </row>
    <row r="579" spans="28:28" x14ac:dyDescent="0.25">
      <c r="AB579" s="381"/>
    </row>
    <row r="580" spans="28:28" x14ac:dyDescent="0.25">
      <c r="AB580" s="381"/>
    </row>
    <row r="581" spans="28:28" x14ac:dyDescent="0.25">
      <c r="AB581" s="381"/>
    </row>
    <row r="582" spans="28:28" x14ac:dyDescent="0.25">
      <c r="AB582" s="381"/>
    </row>
    <row r="583" spans="28:28" x14ac:dyDescent="0.25">
      <c r="AB583" s="381"/>
    </row>
    <row r="584" spans="28:28" x14ac:dyDescent="0.25">
      <c r="AB584" s="381"/>
    </row>
    <row r="585" spans="28:28" x14ac:dyDescent="0.25">
      <c r="AB585" s="381"/>
    </row>
    <row r="586" spans="28:28" x14ac:dyDescent="0.25">
      <c r="AB586" s="381"/>
    </row>
    <row r="587" spans="28:28" x14ac:dyDescent="0.25">
      <c r="AB587" s="381"/>
    </row>
    <row r="588" spans="28:28" x14ac:dyDescent="0.25">
      <c r="AB588" s="381"/>
    </row>
    <row r="589" spans="28:28" x14ac:dyDescent="0.25">
      <c r="AB589" s="381"/>
    </row>
    <row r="590" spans="28:28" x14ac:dyDescent="0.25">
      <c r="AB590" s="381"/>
    </row>
    <row r="591" spans="28:28" x14ac:dyDescent="0.25">
      <c r="AB591" s="381"/>
    </row>
    <row r="592" spans="28:28" x14ac:dyDescent="0.25">
      <c r="AB592" s="381"/>
    </row>
    <row r="593" spans="28:28" x14ac:dyDescent="0.25">
      <c r="AB593" s="381"/>
    </row>
    <row r="594" spans="28:28" x14ac:dyDescent="0.25">
      <c r="AB594" s="381"/>
    </row>
    <row r="595" spans="28:28" x14ac:dyDescent="0.25">
      <c r="AB595" s="381"/>
    </row>
    <row r="596" spans="28:28" x14ac:dyDescent="0.25">
      <c r="AB596" s="381"/>
    </row>
    <row r="597" spans="28:28" x14ac:dyDescent="0.25">
      <c r="AB597" s="381"/>
    </row>
    <row r="598" spans="28:28" x14ac:dyDescent="0.25">
      <c r="AB598" s="381"/>
    </row>
    <row r="599" spans="28:28" x14ac:dyDescent="0.25">
      <c r="AB599" s="381"/>
    </row>
    <row r="600" spans="28:28" x14ac:dyDescent="0.25">
      <c r="AB600" s="381"/>
    </row>
    <row r="601" spans="28:28" x14ac:dyDescent="0.25">
      <c r="AB601" s="381"/>
    </row>
    <row r="602" spans="28:28" x14ac:dyDescent="0.25">
      <c r="AB602" s="381"/>
    </row>
    <row r="603" spans="28:28" x14ac:dyDescent="0.25">
      <c r="AB603" s="381"/>
    </row>
    <row r="604" spans="28:28" x14ac:dyDescent="0.25">
      <c r="AB604" s="381"/>
    </row>
    <row r="605" spans="28:28" x14ac:dyDescent="0.25">
      <c r="AB605" s="381"/>
    </row>
    <row r="606" spans="28:28" x14ac:dyDescent="0.25">
      <c r="AB606" s="381"/>
    </row>
    <row r="607" spans="28:28" x14ac:dyDescent="0.25">
      <c r="AB607" s="381"/>
    </row>
    <row r="608" spans="28:28" x14ac:dyDescent="0.25">
      <c r="AB608" s="381"/>
    </row>
    <row r="609" spans="28:28" x14ac:dyDescent="0.25">
      <c r="AB609" s="381"/>
    </row>
    <row r="610" spans="28:28" x14ac:dyDescent="0.25">
      <c r="AB610" s="381"/>
    </row>
    <row r="611" spans="28:28" x14ac:dyDescent="0.25">
      <c r="AB611" s="381"/>
    </row>
    <row r="612" spans="28:28" x14ac:dyDescent="0.25">
      <c r="AB612" s="381"/>
    </row>
    <row r="613" spans="28:28" x14ac:dyDescent="0.25">
      <c r="AB613" s="381"/>
    </row>
    <row r="614" spans="28:28" x14ac:dyDescent="0.25">
      <c r="AB614" s="381"/>
    </row>
    <row r="615" spans="28:28" x14ac:dyDescent="0.25">
      <c r="AB615" s="381"/>
    </row>
    <row r="616" spans="28:28" x14ac:dyDescent="0.25">
      <c r="AB616" s="381"/>
    </row>
    <row r="617" spans="28:28" x14ac:dyDescent="0.25">
      <c r="AB617" s="381"/>
    </row>
    <row r="618" spans="28:28" x14ac:dyDescent="0.25">
      <c r="AB618" s="381"/>
    </row>
    <row r="619" spans="28:28" x14ac:dyDescent="0.25">
      <c r="AB619" s="381"/>
    </row>
    <row r="620" spans="28:28" x14ac:dyDescent="0.25">
      <c r="AB620" s="381"/>
    </row>
    <row r="621" spans="28:28" x14ac:dyDescent="0.25">
      <c r="AB621" s="381"/>
    </row>
    <row r="622" spans="28:28" x14ac:dyDescent="0.25">
      <c r="AB622" s="381"/>
    </row>
    <row r="623" spans="28:28" x14ac:dyDescent="0.25">
      <c r="AB623" s="381"/>
    </row>
    <row r="624" spans="28:28" x14ac:dyDescent="0.25">
      <c r="AB624" s="381"/>
    </row>
    <row r="625" spans="28:28" x14ac:dyDescent="0.25">
      <c r="AB625" s="381"/>
    </row>
    <row r="626" spans="28:28" x14ac:dyDescent="0.25">
      <c r="AB626" s="381"/>
    </row>
    <row r="627" spans="28:28" x14ac:dyDescent="0.25">
      <c r="AB627" s="381"/>
    </row>
    <row r="628" spans="28:28" x14ac:dyDescent="0.25">
      <c r="AB628" s="381"/>
    </row>
    <row r="629" spans="28:28" x14ac:dyDescent="0.25">
      <c r="AB629" s="381"/>
    </row>
    <row r="630" spans="28:28" x14ac:dyDescent="0.25">
      <c r="AB630" s="381"/>
    </row>
    <row r="631" spans="28:28" x14ac:dyDescent="0.25">
      <c r="AB631" s="381"/>
    </row>
    <row r="632" spans="28:28" x14ac:dyDescent="0.25">
      <c r="AB632" s="381"/>
    </row>
    <row r="633" spans="28:28" x14ac:dyDescent="0.25">
      <c r="AB633" s="381"/>
    </row>
    <row r="634" spans="28:28" x14ac:dyDescent="0.25">
      <c r="AB634" s="381"/>
    </row>
    <row r="635" spans="28:28" x14ac:dyDescent="0.25">
      <c r="AB635" s="381"/>
    </row>
    <row r="636" spans="28:28" x14ac:dyDescent="0.25">
      <c r="AB636" s="381"/>
    </row>
    <row r="637" spans="28:28" x14ac:dyDescent="0.25">
      <c r="AB637" s="381"/>
    </row>
    <row r="638" spans="28:28" x14ac:dyDescent="0.25">
      <c r="AB638" s="381"/>
    </row>
    <row r="639" spans="28:28" x14ac:dyDescent="0.25">
      <c r="AB639" s="381"/>
    </row>
    <row r="640" spans="28:28" x14ac:dyDescent="0.25">
      <c r="AB640" s="381"/>
    </row>
    <row r="641" spans="28:28" x14ac:dyDescent="0.25">
      <c r="AB641" s="381"/>
    </row>
    <row r="642" spans="28:28" x14ac:dyDescent="0.25">
      <c r="AB642" s="381"/>
    </row>
    <row r="643" spans="28:28" x14ac:dyDescent="0.25">
      <c r="AB643" s="381"/>
    </row>
    <row r="644" spans="28:28" x14ac:dyDescent="0.25">
      <c r="AB644" s="381"/>
    </row>
    <row r="645" spans="28:28" x14ac:dyDescent="0.25">
      <c r="AB645" s="381"/>
    </row>
    <row r="646" spans="28:28" x14ac:dyDescent="0.25">
      <c r="AB646" s="381"/>
    </row>
    <row r="647" spans="28:28" x14ac:dyDescent="0.25">
      <c r="AB647" s="381"/>
    </row>
    <row r="648" spans="28:28" x14ac:dyDescent="0.25">
      <c r="AB648" s="381"/>
    </row>
    <row r="649" spans="28:28" x14ac:dyDescent="0.25">
      <c r="AB649" s="381"/>
    </row>
    <row r="650" spans="28:28" x14ac:dyDescent="0.25">
      <c r="AB650" s="381"/>
    </row>
    <row r="651" spans="28:28" x14ac:dyDescent="0.25">
      <c r="AB651" s="381"/>
    </row>
    <row r="652" spans="28:28" x14ac:dyDescent="0.25">
      <c r="AB652" s="381"/>
    </row>
    <row r="653" spans="28:28" x14ac:dyDescent="0.25">
      <c r="AB653" s="381"/>
    </row>
    <row r="654" spans="28:28" x14ac:dyDescent="0.25">
      <c r="AB654" s="381"/>
    </row>
    <row r="655" spans="28:28" x14ac:dyDescent="0.25">
      <c r="AB655" s="381"/>
    </row>
    <row r="656" spans="28:28" x14ac:dyDescent="0.25">
      <c r="AB656" s="381"/>
    </row>
    <row r="657" spans="28:28" x14ac:dyDescent="0.25">
      <c r="AB657" s="381"/>
    </row>
    <row r="658" spans="28:28" x14ac:dyDescent="0.25">
      <c r="AB658" s="381"/>
    </row>
    <row r="659" spans="28:28" x14ac:dyDescent="0.25">
      <c r="AB659" s="381"/>
    </row>
    <row r="660" spans="28:28" x14ac:dyDescent="0.25">
      <c r="AB660" s="381"/>
    </row>
    <row r="661" spans="28:28" x14ac:dyDescent="0.25">
      <c r="AB661" s="381"/>
    </row>
    <row r="662" spans="28:28" x14ac:dyDescent="0.25">
      <c r="AB662" s="381"/>
    </row>
    <row r="663" spans="28:28" x14ac:dyDescent="0.25">
      <c r="AB663" s="381"/>
    </row>
    <row r="664" spans="28:28" x14ac:dyDescent="0.25">
      <c r="AB664" s="381"/>
    </row>
    <row r="665" spans="28:28" x14ac:dyDescent="0.25">
      <c r="AB665" s="381"/>
    </row>
    <row r="666" spans="28:28" x14ac:dyDescent="0.25">
      <c r="AB666" s="381"/>
    </row>
    <row r="667" spans="28:28" x14ac:dyDescent="0.25">
      <c r="AB667" s="381"/>
    </row>
    <row r="668" spans="28:28" x14ac:dyDescent="0.25">
      <c r="AB668" s="381"/>
    </row>
    <row r="669" spans="28:28" x14ac:dyDescent="0.25">
      <c r="AB669" s="381"/>
    </row>
    <row r="670" spans="28:28" x14ac:dyDescent="0.25">
      <c r="AB670" s="381"/>
    </row>
    <row r="671" spans="28:28" x14ac:dyDescent="0.25">
      <c r="AB671" s="381"/>
    </row>
    <row r="672" spans="28:28" x14ac:dyDescent="0.25">
      <c r="AB672" s="381"/>
    </row>
    <row r="673" spans="28:28" x14ac:dyDescent="0.25">
      <c r="AB673" s="381"/>
    </row>
    <row r="674" spans="28:28" x14ac:dyDescent="0.25">
      <c r="AB674" s="381"/>
    </row>
    <row r="675" spans="28:28" x14ac:dyDescent="0.25">
      <c r="AB675" s="381"/>
    </row>
    <row r="676" spans="28:28" x14ac:dyDescent="0.25">
      <c r="AB676" s="381"/>
    </row>
    <row r="677" spans="28:28" x14ac:dyDescent="0.25">
      <c r="AB677" s="381"/>
    </row>
    <row r="678" spans="28:28" x14ac:dyDescent="0.25">
      <c r="AB678" s="381"/>
    </row>
    <row r="679" spans="28:28" x14ac:dyDescent="0.25">
      <c r="AB679" s="381"/>
    </row>
    <row r="680" spans="28:28" x14ac:dyDescent="0.25">
      <c r="AB680" s="381"/>
    </row>
    <row r="681" spans="28:28" x14ac:dyDescent="0.25">
      <c r="AB681" s="381"/>
    </row>
    <row r="682" spans="28:28" x14ac:dyDescent="0.25">
      <c r="AB682" s="381"/>
    </row>
    <row r="683" spans="28:28" x14ac:dyDescent="0.25">
      <c r="AB683" s="381"/>
    </row>
    <row r="684" spans="28:28" x14ac:dyDescent="0.25">
      <c r="AB684" s="381"/>
    </row>
    <row r="685" spans="28:28" x14ac:dyDescent="0.25">
      <c r="AB685" s="381"/>
    </row>
    <row r="686" spans="28:28" x14ac:dyDescent="0.25">
      <c r="AB686" s="381"/>
    </row>
    <row r="687" spans="28:28" x14ac:dyDescent="0.25">
      <c r="AB687" s="381"/>
    </row>
    <row r="688" spans="28:28" x14ac:dyDescent="0.25">
      <c r="AB688" s="381"/>
    </row>
    <row r="689" spans="28:28" x14ac:dyDescent="0.25">
      <c r="AB689" s="381"/>
    </row>
    <row r="690" spans="28:28" x14ac:dyDescent="0.25">
      <c r="AB690" s="381"/>
    </row>
    <row r="691" spans="28:28" x14ac:dyDescent="0.25">
      <c r="AB691" s="381"/>
    </row>
    <row r="692" spans="28:28" x14ac:dyDescent="0.25">
      <c r="AB692" s="381"/>
    </row>
    <row r="693" spans="28:28" x14ac:dyDescent="0.25">
      <c r="AB693" s="381"/>
    </row>
    <row r="694" spans="28:28" x14ac:dyDescent="0.25">
      <c r="AB694" s="381"/>
    </row>
    <row r="695" spans="28:28" x14ac:dyDescent="0.25">
      <c r="AB695" s="381"/>
    </row>
    <row r="696" spans="28:28" x14ac:dyDescent="0.25">
      <c r="AB696" s="381"/>
    </row>
    <row r="697" spans="28:28" x14ac:dyDescent="0.25">
      <c r="AB697" s="381"/>
    </row>
    <row r="698" spans="28:28" x14ac:dyDescent="0.25">
      <c r="AB698" s="381"/>
    </row>
    <row r="699" spans="28:28" x14ac:dyDescent="0.25">
      <c r="AB699" s="381"/>
    </row>
    <row r="700" spans="28:28" x14ac:dyDescent="0.25">
      <c r="AB700" s="381"/>
    </row>
    <row r="701" spans="28:28" x14ac:dyDescent="0.25">
      <c r="AB701" s="381"/>
    </row>
    <row r="702" spans="28:28" x14ac:dyDescent="0.25">
      <c r="AB702" s="381"/>
    </row>
    <row r="703" spans="28:28" x14ac:dyDescent="0.25">
      <c r="AB703" s="381"/>
    </row>
    <row r="704" spans="28:28" x14ac:dyDescent="0.25">
      <c r="AB704" s="381"/>
    </row>
    <row r="705" spans="28:28" x14ac:dyDescent="0.25">
      <c r="AB705" s="381"/>
    </row>
    <row r="706" spans="28:28" x14ac:dyDescent="0.25">
      <c r="AB706" s="381"/>
    </row>
    <row r="707" spans="28:28" x14ac:dyDescent="0.25">
      <c r="AB707" s="381"/>
    </row>
    <row r="708" spans="28:28" x14ac:dyDescent="0.25">
      <c r="AB708" s="381"/>
    </row>
    <row r="709" spans="28:28" x14ac:dyDescent="0.25">
      <c r="AB709" s="381"/>
    </row>
    <row r="710" spans="28:28" x14ac:dyDescent="0.25">
      <c r="AB710" s="381"/>
    </row>
    <row r="711" spans="28:28" x14ac:dyDescent="0.25">
      <c r="AB711" s="381"/>
    </row>
    <row r="712" spans="28:28" x14ac:dyDescent="0.25">
      <c r="AB712" s="381"/>
    </row>
    <row r="713" spans="28:28" x14ac:dyDescent="0.25">
      <c r="AB713" s="381"/>
    </row>
    <row r="714" spans="28:28" x14ac:dyDescent="0.25">
      <c r="AB714" s="381"/>
    </row>
    <row r="715" spans="28:28" x14ac:dyDescent="0.25">
      <c r="AB715" s="381"/>
    </row>
    <row r="716" spans="28:28" x14ac:dyDescent="0.25">
      <c r="AB716" s="381"/>
    </row>
    <row r="717" spans="28:28" x14ac:dyDescent="0.25">
      <c r="AB717" s="381"/>
    </row>
    <row r="718" spans="28:28" x14ac:dyDescent="0.25">
      <c r="AB718" s="381"/>
    </row>
    <row r="719" spans="28:28" x14ac:dyDescent="0.25">
      <c r="AB719" s="381"/>
    </row>
    <row r="720" spans="28:28" x14ac:dyDescent="0.25">
      <c r="AB720" s="381"/>
    </row>
    <row r="721" spans="28:28" x14ac:dyDescent="0.25">
      <c r="AB721" s="381"/>
    </row>
    <row r="722" spans="28:28" x14ac:dyDescent="0.25">
      <c r="AB722" s="381"/>
    </row>
    <row r="723" spans="28:28" x14ac:dyDescent="0.25">
      <c r="AB723" s="381"/>
    </row>
    <row r="724" spans="28:28" x14ac:dyDescent="0.25">
      <c r="AB724" s="381"/>
    </row>
    <row r="725" spans="28:28" x14ac:dyDescent="0.25">
      <c r="AB725" s="381"/>
    </row>
    <row r="726" spans="28:28" x14ac:dyDescent="0.25">
      <c r="AB726" s="381"/>
    </row>
    <row r="727" spans="28:28" x14ac:dyDescent="0.25">
      <c r="AB727" s="381"/>
    </row>
    <row r="728" spans="28:28" x14ac:dyDescent="0.25">
      <c r="AB728" s="381"/>
    </row>
    <row r="729" spans="28:28" x14ac:dyDescent="0.25">
      <c r="AB729" s="381"/>
    </row>
    <row r="730" spans="28:28" x14ac:dyDescent="0.25">
      <c r="AB730" s="381"/>
    </row>
    <row r="731" spans="28:28" x14ac:dyDescent="0.25">
      <c r="AB731" s="381"/>
    </row>
    <row r="732" spans="28:28" x14ac:dyDescent="0.25">
      <c r="AB732" s="381"/>
    </row>
    <row r="733" spans="28:28" x14ac:dyDescent="0.25">
      <c r="AB733" s="381"/>
    </row>
    <row r="734" spans="28:28" x14ac:dyDescent="0.25">
      <c r="AB734" s="381"/>
    </row>
    <row r="735" spans="28:28" x14ac:dyDescent="0.25">
      <c r="AB735" s="381"/>
    </row>
    <row r="736" spans="28:28" x14ac:dyDescent="0.25">
      <c r="AB736" s="381"/>
    </row>
    <row r="737" spans="28:28" x14ac:dyDescent="0.25">
      <c r="AB737" s="381"/>
    </row>
    <row r="738" spans="28:28" x14ac:dyDescent="0.25">
      <c r="AB738" s="381"/>
    </row>
    <row r="739" spans="28:28" x14ac:dyDescent="0.25">
      <c r="AB739" s="381"/>
    </row>
    <row r="740" spans="28:28" x14ac:dyDescent="0.25">
      <c r="AB740" s="381"/>
    </row>
    <row r="741" spans="28:28" x14ac:dyDescent="0.25">
      <c r="AB741" s="381"/>
    </row>
    <row r="742" spans="28:28" x14ac:dyDescent="0.25">
      <c r="AB742" s="381"/>
    </row>
    <row r="743" spans="28:28" x14ac:dyDescent="0.25">
      <c r="AB743" s="381"/>
    </row>
    <row r="744" spans="28:28" x14ac:dyDescent="0.25">
      <c r="AB744" s="381"/>
    </row>
    <row r="745" spans="28:28" x14ac:dyDescent="0.25">
      <c r="AB745" s="381"/>
    </row>
    <row r="746" spans="28:28" x14ac:dyDescent="0.25">
      <c r="AB746" s="381"/>
    </row>
    <row r="747" spans="28:28" x14ac:dyDescent="0.25">
      <c r="AB747" s="381"/>
    </row>
    <row r="748" spans="28:28" x14ac:dyDescent="0.25">
      <c r="AB748" s="381"/>
    </row>
    <row r="749" spans="28:28" x14ac:dyDescent="0.25">
      <c r="AB749" s="381"/>
    </row>
    <row r="750" spans="28:28" x14ac:dyDescent="0.25">
      <c r="AB750" s="381"/>
    </row>
    <row r="751" spans="28:28" x14ac:dyDescent="0.25">
      <c r="AB751" s="381"/>
    </row>
    <row r="752" spans="28:28" x14ac:dyDescent="0.25">
      <c r="AB752" s="381"/>
    </row>
    <row r="753" spans="28:28" x14ac:dyDescent="0.25">
      <c r="AB753" s="381"/>
    </row>
    <row r="754" spans="28:28" x14ac:dyDescent="0.25">
      <c r="AB754" s="381"/>
    </row>
    <row r="755" spans="28:28" x14ac:dyDescent="0.25">
      <c r="AB755" s="381"/>
    </row>
    <row r="756" spans="28:28" x14ac:dyDescent="0.25">
      <c r="AB756" s="381"/>
    </row>
    <row r="757" spans="28:28" x14ac:dyDescent="0.25">
      <c r="AB757" s="381"/>
    </row>
    <row r="758" spans="28:28" x14ac:dyDescent="0.25">
      <c r="AB758" s="381"/>
    </row>
    <row r="759" spans="28:28" x14ac:dyDescent="0.25">
      <c r="AB759" s="381"/>
    </row>
    <row r="760" spans="28:28" x14ac:dyDescent="0.25">
      <c r="AB760" s="381"/>
    </row>
    <row r="761" spans="28:28" x14ac:dyDescent="0.25">
      <c r="AB761" s="381"/>
    </row>
    <row r="762" spans="28:28" x14ac:dyDescent="0.25">
      <c r="AB762" s="381"/>
    </row>
    <row r="763" spans="28:28" x14ac:dyDescent="0.25">
      <c r="AB763" s="381"/>
    </row>
    <row r="764" spans="28:28" x14ac:dyDescent="0.25">
      <c r="AB764" s="381"/>
    </row>
    <row r="765" spans="28:28" x14ac:dyDescent="0.25">
      <c r="AB765" s="381"/>
    </row>
    <row r="766" spans="28:28" x14ac:dyDescent="0.25">
      <c r="AB766" s="381"/>
    </row>
    <row r="767" spans="28:28" x14ac:dyDescent="0.25">
      <c r="AB767" s="381"/>
    </row>
    <row r="768" spans="28:28" x14ac:dyDescent="0.25">
      <c r="AB768" s="381"/>
    </row>
    <row r="769" spans="28:28" x14ac:dyDescent="0.25">
      <c r="AB769" s="381"/>
    </row>
    <row r="770" spans="28:28" x14ac:dyDescent="0.25">
      <c r="AB770" s="381"/>
    </row>
    <row r="771" spans="28:28" x14ac:dyDescent="0.25">
      <c r="AB771" s="381"/>
    </row>
    <row r="772" spans="28:28" x14ac:dyDescent="0.25">
      <c r="AB772" s="381"/>
    </row>
    <row r="773" spans="28:28" x14ac:dyDescent="0.25">
      <c r="AB773" s="381"/>
    </row>
    <row r="774" spans="28:28" x14ac:dyDescent="0.25">
      <c r="AB774" s="381"/>
    </row>
    <row r="775" spans="28:28" x14ac:dyDescent="0.25">
      <c r="AB775" s="381"/>
    </row>
    <row r="776" spans="28:28" x14ac:dyDescent="0.25">
      <c r="AB776" s="381"/>
    </row>
    <row r="777" spans="28:28" x14ac:dyDescent="0.25">
      <c r="AB777" s="381"/>
    </row>
    <row r="778" spans="28:28" x14ac:dyDescent="0.25">
      <c r="AB778" s="381"/>
    </row>
    <row r="779" spans="28:28" x14ac:dyDescent="0.25">
      <c r="AB779" s="381"/>
    </row>
    <row r="780" spans="28:28" x14ac:dyDescent="0.25">
      <c r="AB780" s="381"/>
    </row>
    <row r="781" spans="28:28" x14ac:dyDescent="0.25">
      <c r="AB781" s="381"/>
    </row>
    <row r="782" spans="28:28" x14ac:dyDescent="0.25">
      <c r="AB782" s="381"/>
    </row>
    <row r="783" spans="28:28" x14ac:dyDescent="0.25">
      <c r="AB783" s="381"/>
    </row>
    <row r="784" spans="28:28" x14ac:dyDescent="0.25">
      <c r="AB784" s="381"/>
    </row>
    <row r="785" spans="28:28" x14ac:dyDescent="0.25">
      <c r="AB785" s="381"/>
    </row>
    <row r="786" spans="28:28" x14ac:dyDescent="0.25">
      <c r="AB786" s="381"/>
    </row>
    <row r="787" spans="28:28" x14ac:dyDescent="0.25">
      <c r="AB787" s="381"/>
    </row>
    <row r="788" spans="28:28" x14ac:dyDescent="0.25">
      <c r="AB788" s="381"/>
    </row>
    <row r="789" spans="28:28" x14ac:dyDescent="0.25">
      <c r="AB789" s="381"/>
    </row>
    <row r="790" spans="28:28" x14ac:dyDescent="0.25">
      <c r="AB790" s="381"/>
    </row>
    <row r="791" spans="28:28" x14ac:dyDescent="0.25">
      <c r="AB791" s="381"/>
    </row>
    <row r="792" spans="28:28" x14ac:dyDescent="0.25">
      <c r="AB792" s="381"/>
    </row>
    <row r="793" spans="28:28" x14ac:dyDescent="0.25">
      <c r="AB793" s="381"/>
    </row>
    <row r="794" spans="28:28" x14ac:dyDescent="0.25">
      <c r="AB794" s="381"/>
    </row>
    <row r="795" spans="28:28" x14ac:dyDescent="0.25">
      <c r="AB795" s="381"/>
    </row>
    <row r="796" spans="28:28" x14ac:dyDescent="0.25">
      <c r="AB796" s="381"/>
    </row>
    <row r="797" spans="28:28" x14ac:dyDescent="0.25">
      <c r="AB797" s="381"/>
    </row>
    <row r="798" spans="28:28" x14ac:dyDescent="0.25">
      <c r="AB798" s="381"/>
    </row>
    <row r="799" spans="28:28" x14ac:dyDescent="0.25">
      <c r="AB799" s="381"/>
    </row>
    <row r="800" spans="28:28" x14ac:dyDescent="0.25">
      <c r="AB800" s="381"/>
    </row>
    <row r="801" spans="28:28" x14ac:dyDescent="0.25">
      <c r="AB801" s="381"/>
    </row>
    <row r="802" spans="28:28" x14ac:dyDescent="0.25">
      <c r="AB802" s="381"/>
    </row>
    <row r="803" spans="28:28" x14ac:dyDescent="0.25">
      <c r="AB803" s="381"/>
    </row>
    <row r="804" spans="28:28" x14ac:dyDescent="0.25">
      <c r="AB804" s="381"/>
    </row>
    <row r="805" spans="28:28" x14ac:dyDescent="0.25">
      <c r="AB805" s="381"/>
    </row>
    <row r="806" spans="28:28" x14ac:dyDescent="0.25">
      <c r="AB806" s="381"/>
    </row>
    <row r="807" spans="28:28" x14ac:dyDescent="0.25">
      <c r="AB807" s="381"/>
    </row>
    <row r="808" spans="28:28" x14ac:dyDescent="0.25">
      <c r="AB808" s="381"/>
    </row>
    <row r="809" spans="28:28" x14ac:dyDescent="0.25">
      <c r="AB809" s="381"/>
    </row>
    <row r="810" spans="28:28" x14ac:dyDescent="0.25">
      <c r="AB810" s="381"/>
    </row>
    <row r="811" spans="28:28" x14ac:dyDescent="0.25">
      <c r="AB811" s="381"/>
    </row>
    <row r="812" spans="28:28" x14ac:dyDescent="0.25">
      <c r="AB812" s="381"/>
    </row>
    <row r="813" spans="28:28" x14ac:dyDescent="0.25">
      <c r="AB813" s="381"/>
    </row>
    <row r="814" spans="28:28" x14ac:dyDescent="0.25">
      <c r="AB814" s="381"/>
    </row>
    <row r="815" spans="28:28" x14ac:dyDescent="0.25">
      <c r="AB815" s="381"/>
    </row>
    <row r="816" spans="28:28" x14ac:dyDescent="0.25">
      <c r="AB816" s="381"/>
    </row>
    <row r="817" spans="28:28" x14ac:dyDescent="0.25">
      <c r="AB817" s="381"/>
    </row>
    <row r="818" spans="28:28" x14ac:dyDescent="0.25">
      <c r="AB818" s="381"/>
    </row>
    <row r="819" spans="28:28" x14ac:dyDescent="0.25">
      <c r="AB819" s="381"/>
    </row>
    <row r="820" spans="28:28" x14ac:dyDescent="0.25">
      <c r="AB820" s="381"/>
    </row>
    <row r="821" spans="28:28" x14ac:dyDescent="0.25">
      <c r="AB821" s="381"/>
    </row>
    <row r="822" spans="28:28" x14ac:dyDescent="0.25">
      <c r="AB822" s="381"/>
    </row>
    <row r="823" spans="28:28" x14ac:dyDescent="0.25">
      <c r="AB823" s="381"/>
    </row>
    <row r="824" spans="28:28" x14ac:dyDescent="0.25">
      <c r="AB824" s="381"/>
    </row>
    <row r="825" spans="28:28" x14ac:dyDescent="0.25">
      <c r="AB825" s="381"/>
    </row>
    <row r="826" spans="28:28" x14ac:dyDescent="0.25">
      <c r="AB826" s="381"/>
    </row>
    <row r="827" spans="28:28" x14ac:dyDescent="0.25">
      <c r="AB827" s="381"/>
    </row>
    <row r="828" spans="28:28" x14ac:dyDescent="0.25">
      <c r="AB828" s="381"/>
    </row>
    <row r="829" spans="28:28" x14ac:dyDescent="0.25">
      <c r="AB829" s="381"/>
    </row>
    <row r="830" spans="28:28" x14ac:dyDescent="0.25">
      <c r="AB830" s="381"/>
    </row>
    <row r="831" spans="28:28" x14ac:dyDescent="0.25">
      <c r="AB831" s="381"/>
    </row>
    <row r="832" spans="28:28" x14ac:dyDescent="0.25">
      <c r="AB832" s="381"/>
    </row>
    <row r="833" spans="28:28" x14ac:dyDescent="0.25">
      <c r="AB833" s="381"/>
    </row>
    <row r="834" spans="28:28" x14ac:dyDescent="0.25">
      <c r="AB834" s="381"/>
    </row>
    <row r="835" spans="28:28" x14ac:dyDescent="0.25">
      <c r="AB835" s="381"/>
    </row>
    <row r="836" spans="28:28" x14ac:dyDescent="0.25">
      <c r="AB836" s="381"/>
    </row>
    <row r="837" spans="28:28" x14ac:dyDescent="0.25">
      <c r="AB837" s="381"/>
    </row>
    <row r="838" spans="28:28" x14ac:dyDescent="0.25">
      <c r="AB838" s="381"/>
    </row>
    <row r="839" spans="28:28" x14ac:dyDescent="0.25">
      <c r="AB839" s="381"/>
    </row>
    <row r="840" spans="28:28" x14ac:dyDescent="0.25">
      <c r="AB840" s="381"/>
    </row>
    <row r="841" spans="28:28" x14ac:dyDescent="0.25">
      <c r="AB841" s="381"/>
    </row>
    <row r="842" spans="28:28" x14ac:dyDescent="0.25">
      <c r="AB842" s="381"/>
    </row>
    <row r="843" spans="28:28" x14ac:dyDescent="0.25">
      <c r="AB843" s="381"/>
    </row>
    <row r="844" spans="28:28" x14ac:dyDescent="0.25">
      <c r="AB844" s="381"/>
    </row>
    <row r="845" spans="28:28" x14ac:dyDescent="0.25">
      <c r="AB845" s="381"/>
    </row>
    <row r="846" spans="28:28" x14ac:dyDescent="0.25">
      <c r="AB846" s="381"/>
    </row>
    <row r="847" spans="28:28" x14ac:dyDescent="0.25">
      <c r="AB847" s="381"/>
    </row>
    <row r="848" spans="28:28" x14ac:dyDescent="0.25">
      <c r="AB848" s="381"/>
    </row>
    <row r="849" spans="28:28" x14ac:dyDescent="0.25">
      <c r="AB849" s="381"/>
    </row>
    <row r="850" spans="28:28" x14ac:dyDescent="0.25">
      <c r="AB850" s="381"/>
    </row>
    <row r="851" spans="28:28" x14ac:dyDescent="0.25">
      <c r="AB851" s="381"/>
    </row>
    <row r="852" spans="28:28" x14ac:dyDescent="0.25">
      <c r="AB852" s="381"/>
    </row>
    <row r="853" spans="28:28" x14ac:dyDescent="0.25">
      <c r="AB853" s="381"/>
    </row>
    <row r="854" spans="28:28" x14ac:dyDescent="0.25">
      <c r="AB854" s="381"/>
    </row>
    <row r="855" spans="28:28" x14ac:dyDescent="0.25">
      <c r="AB855" s="381"/>
    </row>
    <row r="856" spans="28:28" x14ac:dyDescent="0.25">
      <c r="AB856" s="381"/>
    </row>
    <row r="857" spans="28:28" x14ac:dyDescent="0.25">
      <c r="AB857" s="381"/>
    </row>
    <row r="858" spans="28:28" x14ac:dyDescent="0.25">
      <c r="AB858" s="381"/>
    </row>
    <row r="859" spans="28:28" x14ac:dyDescent="0.25">
      <c r="AB859" s="381"/>
    </row>
    <row r="860" spans="28:28" x14ac:dyDescent="0.25">
      <c r="AB860" s="381"/>
    </row>
    <row r="861" spans="28:28" x14ac:dyDescent="0.25">
      <c r="AB861" s="381"/>
    </row>
    <row r="862" spans="28:28" x14ac:dyDescent="0.25">
      <c r="AB862" s="381"/>
    </row>
    <row r="863" spans="28:28" x14ac:dyDescent="0.25">
      <c r="AB863" s="381"/>
    </row>
    <row r="864" spans="28:28" x14ac:dyDescent="0.25">
      <c r="AB864" s="381"/>
    </row>
    <row r="865" spans="28:28" x14ac:dyDescent="0.25">
      <c r="AB865" s="381"/>
    </row>
    <row r="866" spans="28:28" x14ac:dyDescent="0.25">
      <c r="AB866" s="381"/>
    </row>
    <row r="867" spans="28:28" x14ac:dyDescent="0.25">
      <c r="AB867" s="381"/>
    </row>
    <row r="868" spans="28:28" x14ac:dyDescent="0.25">
      <c r="AB868" s="381"/>
    </row>
    <row r="869" spans="28:28" x14ac:dyDescent="0.25">
      <c r="AB869" s="381"/>
    </row>
    <row r="870" spans="28:28" x14ac:dyDescent="0.25">
      <c r="AB870" s="381"/>
    </row>
    <row r="871" spans="28:28" x14ac:dyDescent="0.25">
      <c r="AB871" s="381"/>
    </row>
    <row r="872" spans="28:28" x14ac:dyDescent="0.25">
      <c r="AB872" s="381"/>
    </row>
    <row r="873" spans="28:28" x14ac:dyDescent="0.25">
      <c r="AB873" s="381"/>
    </row>
    <row r="874" spans="28:28" x14ac:dyDescent="0.25">
      <c r="AB874" s="381"/>
    </row>
    <row r="875" spans="28:28" x14ac:dyDescent="0.25">
      <c r="AB875" s="381"/>
    </row>
    <row r="876" spans="28:28" x14ac:dyDescent="0.25">
      <c r="AB876" s="381"/>
    </row>
    <row r="877" spans="28:28" x14ac:dyDescent="0.25">
      <c r="AB877" s="381"/>
    </row>
    <row r="878" spans="28:28" x14ac:dyDescent="0.25">
      <c r="AB878" s="381"/>
    </row>
    <row r="879" spans="28:28" x14ac:dyDescent="0.25">
      <c r="AB879" s="381"/>
    </row>
    <row r="880" spans="28:28" x14ac:dyDescent="0.25">
      <c r="AB880" s="381"/>
    </row>
    <row r="881" spans="28:28" x14ac:dyDescent="0.25">
      <c r="AB881" s="381"/>
    </row>
    <row r="882" spans="28:28" x14ac:dyDescent="0.25">
      <c r="AB882" s="381"/>
    </row>
    <row r="883" spans="28:28" x14ac:dyDescent="0.25">
      <c r="AB883" s="381"/>
    </row>
    <row r="884" spans="28:28" x14ac:dyDescent="0.25">
      <c r="AB884" s="381"/>
    </row>
    <row r="885" spans="28:28" x14ac:dyDescent="0.25">
      <c r="AB885" s="381"/>
    </row>
    <row r="886" spans="28:28" x14ac:dyDescent="0.25">
      <c r="AB886" s="381"/>
    </row>
    <row r="887" spans="28:28" x14ac:dyDescent="0.25">
      <c r="AB887" s="381"/>
    </row>
    <row r="888" spans="28:28" x14ac:dyDescent="0.25">
      <c r="AB888" s="381"/>
    </row>
    <row r="889" spans="28:28" x14ac:dyDescent="0.25">
      <c r="AB889" s="381"/>
    </row>
    <row r="890" spans="28:28" x14ac:dyDescent="0.25">
      <c r="AB890" s="381"/>
    </row>
    <row r="891" spans="28:28" x14ac:dyDescent="0.25">
      <c r="AB891" s="381"/>
    </row>
    <row r="892" spans="28:28" x14ac:dyDescent="0.25">
      <c r="AB892" s="381"/>
    </row>
    <row r="893" spans="28:28" x14ac:dyDescent="0.25">
      <c r="AB893" s="381"/>
    </row>
    <row r="894" spans="28:28" x14ac:dyDescent="0.25">
      <c r="AB894" s="381"/>
    </row>
    <row r="895" spans="28:28" x14ac:dyDescent="0.25">
      <c r="AB895" s="381"/>
    </row>
    <row r="896" spans="28:28" x14ac:dyDescent="0.25">
      <c r="AB896" s="381"/>
    </row>
    <row r="897" spans="28:28" x14ac:dyDescent="0.25">
      <c r="AB897" s="381"/>
    </row>
    <row r="898" spans="28:28" x14ac:dyDescent="0.25">
      <c r="AB898" s="381"/>
    </row>
    <row r="899" spans="28:28" x14ac:dyDescent="0.25">
      <c r="AB899" s="381"/>
    </row>
    <row r="900" spans="28:28" x14ac:dyDescent="0.25">
      <c r="AB900" s="381"/>
    </row>
    <row r="901" spans="28:28" x14ac:dyDescent="0.25">
      <c r="AB901" s="381"/>
    </row>
    <row r="902" spans="28:28" x14ac:dyDescent="0.25">
      <c r="AB902" s="381"/>
    </row>
    <row r="903" spans="28:28" x14ac:dyDescent="0.25">
      <c r="AB903" s="381"/>
    </row>
    <row r="904" spans="28:28" x14ac:dyDescent="0.25">
      <c r="AB904" s="381"/>
    </row>
    <row r="905" spans="28:28" x14ac:dyDescent="0.25">
      <c r="AB905" s="381"/>
    </row>
    <row r="906" spans="28:28" x14ac:dyDescent="0.25">
      <c r="AB906" s="381"/>
    </row>
    <row r="907" spans="28:28" x14ac:dyDescent="0.25">
      <c r="AB907" s="381"/>
    </row>
    <row r="908" spans="28:28" x14ac:dyDescent="0.25">
      <c r="AB908" s="381"/>
    </row>
    <row r="909" spans="28:28" x14ac:dyDescent="0.25">
      <c r="AB909" s="381"/>
    </row>
    <row r="910" spans="28:28" x14ac:dyDescent="0.25">
      <c r="AB910" s="381"/>
    </row>
    <row r="911" spans="28:28" x14ac:dyDescent="0.25">
      <c r="AB911" s="381"/>
    </row>
    <row r="912" spans="28:28" x14ac:dyDescent="0.25">
      <c r="AB912" s="381"/>
    </row>
    <row r="913" spans="28:28" x14ac:dyDescent="0.25">
      <c r="AB913" s="381"/>
    </row>
    <row r="914" spans="28:28" x14ac:dyDescent="0.25">
      <c r="AB914" s="381"/>
    </row>
    <row r="915" spans="28:28" x14ac:dyDescent="0.25">
      <c r="AB915" s="381"/>
    </row>
    <row r="916" spans="28:28" x14ac:dyDescent="0.25">
      <c r="AB916" s="381"/>
    </row>
    <row r="917" spans="28:28" x14ac:dyDescent="0.25">
      <c r="AB917" s="381"/>
    </row>
    <row r="918" spans="28:28" x14ac:dyDescent="0.25">
      <c r="AB918" s="381"/>
    </row>
    <row r="919" spans="28:28" x14ac:dyDescent="0.25">
      <c r="AB919" s="381"/>
    </row>
    <row r="920" spans="28:28" x14ac:dyDescent="0.25">
      <c r="AB920" s="381"/>
    </row>
    <row r="921" spans="28:28" x14ac:dyDescent="0.25">
      <c r="AB921" s="381"/>
    </row>
    <row r="922" spans="28:28" x14ac:dyDescent="0.25">
      <c r="AB922" s="381"/>
    </row>
    <row r="923" spans="28:28" x14ac:dyDescent="0.25">
      <c r="AB923" s="381"/>
    </row>
    <row r="924" spans="28:28" x14ac:dyDescent="0.25">
      <c r="AB924" s="381"/>
    </row>
    <row r="925" spans="28:28" x14ac:dyDescent="0.25">
      <c r="AB925" s="381"/>
    </row>
    <row r="926" spans="28:28" x14ac:dyDescent="0.25">
      <c r="AB926" s="381"/>
    </row>
    <row r="927" spans="28:28" x14ac:dyDescent="0.25">
      <c r="AB927" s="381"/>
    </row>
    <row r="928" spans="28:28" x14ac:dyDescent="0.25">
      <c r="AB928" s="381"/>
    </row>
    <row r="929" spans="28:28" x14ac:dyDescent="0.25">
      <c r="AB929" s="381"/>
    </row>
    <row r="930" spans="28:28" x14ac:dyDescent="0.25">
      <c r="AB930" s="381"/>
    </row>
    <row r="931" spans="28:28" x14ac:dyDescent="0.25">
      <c r="AB931" s="381"/>
    </row>
    <row r="932" spans="28:28" x14ac:dyDescent="0.25">
      <c r="AB932" s="381"/>
    </row>
    <row r="933" spans="28:28" x14ac:dyDescent="0.25">
      <c r="AB933" s="381"/>
    </row>
    <row r="934" spans="28:28" x14ac:dyDescent="0.25">
      <c r="AB934" s="381"/>
    </row>
    <row r="935" spans="28:28" x14ac:dyDescent="0.25">
      <c r="AB935" s="381"/>
    </row>
    <row r="936" spans="28:28" x14ac:dyDescent="0.25">
      <c r="AB936" s="381"/>
    </row>
    <row r="937" spans="28:28" x14ac:dyDescent="0.25">
      <c r="AB937" s="381"/>
    </row>
    <row r="938" spans="28:28" x14ac:dyDescent="0.25">
      <c r="AB938" s="381"/>
    </row>
    <row r="939" spans="28:28" x14ac:dyDescent="0.25">
      <c r="AB939" s="381"/>
    </row>
    <row r="940" spans="28:28" x14ac:dyDescent="0.25">
      <c r="AB940" s="381"/>
    </row>
    <row r="941" spans="28:28" x14ac:dyDescent="0.25">
      <c r="AB941" s="381"/>
    </row>
    <row r="942" spans="28:28" x14ac:dyDescent="0.25">
      <c r="AB942" s="381"/>
    </row>
    <row r="943" spans="28:28" x14ac:dyDescent="0.25">
      <c r="AB943" s="381"/>
    </row>
    <row r="944" spans="28:28" x14ac:dyDescent="0.25">
      <c r="AB944" s="381"/>
    </row>
    <row r="945" spans="28:28" x14ac:dyDescent="0.25">
      <c r="AB945" s="381"/>
    </row>
    <row r="946" spans="28:28" x14ac:dyDescent="0.25">
      <c r="AB946" s="381"/>
    </row>
    <row r="947" spans="28:28" x14ac:dyDescent="0.25">
      <c r="AB947" s="381"/>
    </row>
    <row r="948" spans="28:28" x14ac:dyDescent="0.25">
      <c r="AB948" s="381"/>
    </row>
    <row r="949" spans="28:28" x14ac:dyDescent="0.25">
      <c r="AB949" s="381"/>
    </row>
    <row r="950" spans="28:28" x14ac:dyDescent="0.25">
      <c r="AB950" s="381"/>
    </row>
    <row r="951" spans="28:28" x14ac:dyDescent="0.25">
      <c r="AB951" s="381"/>
    </row>
    <row r="952" spans="28:28" x14ac:dyDescent="0.25">
      <c r="AB952" s="381"/>
    </row>
    <row r="953" spans="28:28" x14ac:dyDescent="0.25">
      <c r="AB953" s="381"/>
    </row>
    <row r="954" spans="28:28" x14ac:dyDescent="0.25">
      <c r="AB954" s="381"/>
    </row>
    <row r="955" spans="28:28" x14ac:dyDescent="0.25">
      <c r="AB955" s="381"/>
    </row>
    <row r="956" spans="28:28" x14ac:dyDescent="0.25">
      <c r="AB956" s="381"/>
    </row>
    <row r="957" spans="28:28" x14ac:dyDescent="0.25">
      <c r="AB957" s="381"/>
    </row>
    <row r="958" spans="28:28" x14ac:dyDescent="0.25">
      <c r="AB958" s="381"/>
    </row>
    <row r="959" spans="28:28" x14ac:dyDescent="0.25">
      <c r="AB959" s="381"/>
    </row>
    <row r="960" spans="28:28" x14ac:dyDescent="0.25">
      <c r="AB960" s="381"/>
    </row>
    <row r="961" spans="28:28" x14ac:dyDescent="0.25">
      <c r="AB961" s="381"/>
    </row>
    <row r="962" spans="28:28" x14ac:dyDescent="0.25">
      <c r="AB962" s="381"/>
    </row>
    <row r="963" spans="28:28" x14ac:dyDescent="0.25">
      <c r="AB963" s="381"/>
    </row>
    <row r="964" spans="28:28" x14ac:dyDescent="0.25">
      <c r="AB964" s="381"/>
    </row>
    <row r="965" spans="28:28" x14ac:dyDescent="0.25">
      <c r="AB965" s="381"/>
    </row>
    <row r="966" spans="28:28" x14ac:dyDescent="0.25">
      <c r="AB966" s="381"/>
    </row>
    <row r="967" spans="28:28" x14ac:dyDescent="0.25">
      <c r="AB967" s="381"/>
    </row>
    <row r="968" spans="28:28" x14ac:dyDescent="0.25">
      <c r="AB968" s="381"/>
    </row>
    <row r="969" spans="28:28" x14ac:dyDescent="0.25">
      <c r="AB969" s="381"/>
    </row>
    <row r="970" spans="28:28" x14ac:dyDescent="0.25">
      <c r="AB970" s="381"/>
    </row>
    <row r="971" spans="28:28" x14ac:dyDescent="0.25">
      <c r="AB971" s="381"/>
    </row>
    <row r="972" spans="28:28" x14ac:dyDescent="0.25">
      <c r="AB972" s="381"/>
    </row>
    <row r="973" spans="28:28" x14ac:dyDescent="0.25">
      <c r="AB973" s="381"/>
    </row>
    <row r="974" spans="28:28" x14ac:dyDescent="0.25">
      <c r="AB974" s="381"/>
    </row>
    <row r="975" spans="28:28" x14ac:dyDescent="0.25">
      <c r="AB975" s="381"/>
    </row>
    <row r="976" spans="28:28" x14ac:dyDescent="0.25">
      <c r="AB976" s="381"/>
    </row>
    <row r="977" spans="28:28" x14ac:dyDescent="0.25">
      <c r="AB977" s="381"/>
    </row>
    <row r="978" spans="28:28" x14ac:dyDescent="0.25">
      <c r="AB978" s="381"/>
    </row>
    <row r="979" spans="28:28" x14ac:dyDescent="0.25">
      <c r="AB979" s="381"/>
    </row>
    <row r="980" spans="28:28" x14ac:dyDescent="0.25">
      <c r="AB980" s="381"/>
    </row>
    <row r="981" spans="28:28" x14ac:dyDescent="0.25">
      <c r="AB981" s="381"/>
    </row>
    <row r="982" spans="28:28" x14ac:dyDescent="0.25">
      <c r="AB982" s="381"/>
    </row>
    <row r="983" spans="28:28" x14ac:dyDescent="0.25">
      <c r="AB983" s="381"/>
    </row>
    <row r="984" spans="28:28" x14ac:dyDescent="0.25">
      <c r="AB984" s="381"/>
    </row>
    <row r="985" spans="28:28" x14ac:dyDescent="0.25">
      <c r="AB985" s="381"/>
    </row>
    <row r="986" spans="28:28" x14ac:dyDescent="0.25">
      <c r="AB986" s="381"/>
    </row>
    <row r="987" spans="28:28" x14ac:dyDescent="0.25">
      <c r="AB987" s="381"/>
    </row>
    <row r="988" spans="28:28" x14ac:dyDescent="0.25">
      <c r="AB988" s="381"/>
    </row>
    <row r="989" spans="28:28" x14ac:dyDescent="0.25">
      <c r="AB989" s="381"/>
    </row>
    <row r="990" spans="28:28" x14ac:dyDescent="0.25">
      <c r="AB990" s="381"/>
    </row>
    <row r="991" spans="28:28" x14ac:dyDescent="0.25">
      <c r="AB991" s="381"/>
    </row>
    <row r="992" spans="28:28" x14ac:dyDescent="0.25">
      <c r="AB992" s="381"/>
    </row>
    <row r="993" spans="28:28" x14ac:dyDescent="0.25">
      <c r="AB993" s="381"/>
    </row>
    <row r="994" spans="28:28" x14ac:dyDescent="0.25">
      <c r="AB994" s="381"/>
    </row>
    <row r="995" spans="28:28" x14ac:dyDescent="0.25">
      <c r="AB995" s="381"/>
    </row>
    <row r="996" spans="28:28" x14ac:dyDescent="0.25">
      <c r="AB996" s="381"/>
    </row>
    <row r="997" spans="28:28" x14ac:dyDescent="0.25">
      <c r="AB997" s="381"/>
    </row>
    <row r="998" spans="28:28" x14ac:dyDescent="0.25">
      <c r="AB998" s="381"/>
    </row>
    <row r="999" spans="28:28" x14ac:dyDescent="0.25">
      <c r="AB999" s="381"/>
    </row>
    <row r="1000" spans="28:28" x14ac:dyDescent="0.25">
      <c r="AB1000" s="381"/>
    </row>
    <row r="1001" spans="28:28" x14ac:dyDescent="0.25">
      <c r="AB1001" s="381"/>
    </row>
    <row r="1002" spans="28:28" x14ac:dyDescent="0.25">
      <c r="AB1002" s="381"/>
    </row>
    <row r="1003" spans="28:28" x14ac:dyDescent="0.25">
      <c r="AB1003" s="381"/>
    </row>
    <row r="1004" spans="28:28" x14ac:dyDescent="0.25">
      <c r="AB1004" s="381"/>
    </row>
    <row r="1005" spans="28:28" x14ac:dyDescent="0.25">
      <c r="AB1005" s="381"/>
    </row>
    <row r="1006" spans="28:28" x14ac:dyDescent="0.25">
      <c r="AB1006" s="381"/>
    </row>
    <row r="1007" spans="28:28" x14ac:dyDescent="0.25">
      <c r="AB1007" s="381"/>
    </row>
    <row r="1008" spans="28:28" x14ac:dyDescent="0.25">
      <c r="AB1008" s="381"/>
    </row>
    <row r="1009" spans="28:28" x14ac:dyDescent="0.25">
      <c r="AB1009" s="381"/>
    </row>
    <row r="1010" spans="28:28" x14ac:dyDescent="0.25">
      <c r="AB1010" s="381"/>
    </row>
    <row r="1011" spans="28:28" x14ac:dyDescent="0.25">
      <c r="AB1011" s="381"/>
    </row>
    <row r="1012" spans="28:28" x14ac:dyDescent="0.25">
      <c r="AB1012" s="381"/>
    </row>
    <row r="1013" spans="28:28" x14ac:dyDescent="0.25">
      <c r="AB1013" s="381"/>
    </row>
    <row r="1014" spans="28:28" x14ac:dyDescent="0.25">
      <c r="AB1014" s="381"/>
    </row>
    <row r="1015" spans="28:28" x14ac:dyDescent="0.25">
      <c r="AB1015" s="381"/>
    </row>
    <row r="1016" spans="28:28" x14ac:dyDescent="0.25">
      <c r="AB1016" s="381"/>
    </row>
    <row r="1017" spans="28:28" x14ac:dyDescent="0.25">
      <c r="AB1017" s="381"/>
    </row>
    <row r="1018" spans="28:28" x14ac:dyDescent="0.25">
      <c r="AB1018" s="381"/>
    </row>
    <row r="1019" spans="28:28" x14ac:dyDescent="0.25">
      <c r="AB1019" s="381"/>
    </row>
    <row r="1020" spans="28:28" x14ac:dyDescent="0.25">
      <c r="AB1020" s="381"/>
    </row>
    <row r="1021" spans="28:28" x14ac:dyDescent="0.25">
      <c r="AB1021" s="381"/>
    </row>
    <row r="1022" spans="28:28" x14ac:dyDescent="0.25">
      <c r="AB1022" s="381"/>
    </row>
    <row r="1023" spans="28:28" x14ac:dyDescent="0.25">
      <c r="AB1023" s="381"/>
    </row>
    <row r="1024" spans="28:28" x14ac:dyDescent="0.25">
      <c r="AB1024" s="381"/>
    </row>
    <row r="1025" spans="28:28" x14ac:dyDescent="0.25">
      <c r="AB1025" s="381"/>
    </row>
    <row r="1026" spans="28:28" x14ac:dyDescent="0.25">
      <c r="AB1026" s="381"/>
    </row>
    <row r="1027" spans="28:28" x14ac:dyDescent="0.25">
      <c r="AB1027" s="381"/>
    </row>
    <row r="1028" spans="28:28" x14ac:dyDescent="0.25">
      <c r="AB1028" s="381"/>
    </row>
    <row r="1029" spans="28:28" x14ac:dyDescent="0.25">
      <c r="AB1029" s="381"/>
    </row>
    <row r="1030" spans="28:28" x14ac:dyDescent="0.25">
      <c r="AB1030" s="381"/>
    </row>
    <row r="1031" spans="28:28" x14ac:dyDescent="0.25">
      <c r="AB1031" s="381"/>
    </row>
    <row r="1032" spans="28:28" x14ac:dyDescent="0.25">
      <c r="AB1032" s="381"/>
    </row>
    <row r="1033" spans="28:28" x14ac:dyDescent="0.25">
      <c r="AB1033" s="381"/>
    </row>
    <row r="1034" spans="28:28" x14ac:dyDescent="0.25">
      <c r="AB1034" s="381"/>
    </row>
    <row r="1035" spans="28:28" x14ac:dyDescent="0.25">
      <c r="AB1035" s="381"/>
    </row>
    <row r="1036" spans="28:28" x14ac:dyDescent="0.25">
      <c r="AB1036" s="381"/>
    </row>
    <row r="1037" spans="28:28" x14ac:dyDescent="0.25">
      <c r="AB1037" s="381"/>
    </row>
    <row r="1038" spans="28:28" x14ac:dyDescent="0.25">
      <c r="AB1038" s="381"/>
    </row>
    <row r="1039" spans="28:28" x14ac:dyDescent="0.25">
      <c r="AB1039" s="381"/>
    </row>
    <row r="1040" spans="28:28" x14ac:dyDescent="0.25">
      <c r="AB1040" s="381"/>
    </row>
    <row r="1041" spans="28:28" x14ac:dyDescent="0.25">
      <c r="AB1041" s="381"/>
    </row>
    <row r="1042" spans="28:28" x14ac:dyDescent="0.25">
      <c r="AB1042" s="381"/>
    </row>
    <row r="1043" spans="28:28" x14ac:dyDescent="0.25">
      <c r="AB1043" s="381"/>
    </row>
    <row r="1044" spans="28:28" x14ac:dyDescent="0.25">
      <c r="AB1044" s="381"/>
    </row>
    <row r="1045" spans="28:28" x14ac:dyDescent="0.25">
      <c r="AB1045" s="381"/>
    </row>
    <row r="1046" spans="28:28" x14ac:dyDescent="0.25">
      <c r="AB1046" s="381"/>
    </row>
    <row r="1047" spans="28:28" x14ac:dyDescent="0.25">
      <c r="AB1047" s="381"/>
    </row>
    <row r="1048" spans="28:28" x14ac:dyDescent="0.25">
      <c r="AB1048" s="381"/>
    </row>
    <row r="1049" spans="28:28" x14ac:dyDescent="0.25">
      <c r="AB1049" s="381"/>
    </row>
    <row r="1050" spans="28:28" x14ac:dyDescent="0.25">
      <c r="AB1050" s="381"/>
    </row>
    <row r="1051" spans="28:28" x14ac:dyDescent="0.25">
      <c r="AB1051" s="381"/>
    </row>
    <row r="1052" spans="28:28" x14ac:dyDescent="0.25">
      <c r="AB1052" s="381"/>
    </row>
    <row r="1053" spans="28:28" x14ac:dyDescent="0.25">
      <c r="AB1053" s="381"/>
    </row>
    <row r="1054" spans="28:28" x14ac:dyDescent="0.25">
      <c r="AB1054" s="381"/>
    </row>
    <row r="1055" spans="28:28" x14ac:dyDescent="0.25">
      <c r="AB1055" s="381"/>
    </row>
    <row r="1056" spans="28:28" x14ac:dyDescent="0.25">
      <c r="AB1056" s="381"/>
    </row>
    <row r="1057" spans="28:28" x14ac:dyDescent="0.25">
      <c r="AB1057" s="381"/>
    </row>
    <row r="1058" spans="28:28" x14ac:dyDescent="0.25">
      <c r="AB1058" s="381"/>
    </row>
    <row r="1059" spans="28:28" x14ac:dyDescent="0.25">
      <c r="AB1059" s="381"/>
    </row>
    <row r="1060" spans="28:28" x14ac:dyDescent="0.25">
      <c r="AB1060" s="381"/>
    </row>
    <row r="1061" spans="28:28" x14ac:dyDescent="0.25">
      <c r="AB1061" s="381"/>
    </row>
    <row r="1062" spans="28:28" x14ac:dyDescent="0.25">
      <c r="AB1062" s="381"/>
    </row>
    <row r="1063" spans="28:28" x14ac:dyDescent="0.25">
      <c r="AB1063" s="381"/>
    </row>
    <row r="1064" spans="28:28" x14ac:dyDescent="0.25">
      <c r="AB1064" s="381"/>
    </row>
    <row r="1065" spans="28:28" x14ac:dyDescent="0.25">
      <c r="AB1065" s="381"/>
    </row>
    <row r="1066" spans="28:28" x14ac:dyDescent="0.25">
      <c r="AB1066" s="381"/>
    </row>
    <row r="1067" spans="28:28" x14ac:dyDescent="0.25">
      <c r="AB1067" s="381"/>
    </row>
    <row r="1068" spans="28:28" x14ac:dyDescent="0.25">
      <c r="AB1068" s="381"/>
    </row>
    <row r="1069" spans="28:28" x14ac:dyDescent="0.25">
      <c r="AB1069" s="381"/>
    </row>
    <row r="1070" spans="28:28" x14ac:dyDescent="0.25">
      <c r="AB1070" s="381"/>
    </row>
    <row r="1071" spans="28:28" x14ac:dyDescent="0.25">
      <c r="AB1071" s="381"/>
    </row>
    <row r="1072" spans="28:28" x14ac:dyDescent="0.25">
      <c r="AB1072" s="381"/>
    </row>
    <row r="1073" spans="28:28" x14ac:dyDescent="0.25">
      <c r="AB1073" s="381"/>
    </row>
    <row r="1074" spans="28:28" x14ac:dyDescent="0.25">
      <c r="AB1074" s="381"/>
    </row>
    <row r="1075" spans="28:28" x14ac:dyDescent="0.25">
      <c r="AB1075" s="381"/>
    </row>
    <row r="1076" spans="28:28" x14ac:dyDescent="0.25">
      <c r="AB1076" s="381"/>
    </row>
    <row r="1077" spans="28:28" x14ac:dyDescent="0.25">
      <c r="AB1077" s="381"/>
    </row>
    <row r="1078" spans="28:28" x14ac:dyDescent="0.25">
      <c r="AB1078" s="381"/>
    </row>
    <row r="1079" spans="28:28" x14ac:dyDescent="0.25">
      <c r="AB1079" s="381"/>
    </row>
    <row r="1080" spans="28:28" x14ac:dyDescent="0.25">
      <c r="AB1080" s="381"/>
    </row>
    <row r="1081" spans="28:28" x14ac:dyDescent="0.25">
      <c r="AB1081" s="381"/>
    </row>
    <row r="1082" spans="28:28" x14ac:dyDescent="0.25">
      <c r="AB1082" s="381"/>
    </row>
    <row r="1083" spans="28:28" x14ac:dyDescent="0.25">
      <c r="AB1083" s="381"/>
    </row>
    <row r="1084" spans="28:28" x14ac:dyDescent="0.25">
      <c r="AB1084" s="381"/>
    </row>
    <row r="1085" spans="28:28" x14ac:dyDescent="0.25">
      <c r="AB1085" s="381"/>
    </row>
    <row r="1086" spans="28:28" x14ac:dyDescent="0.25">
      <c r="AB1086" s="381"/>
    </row>
    <row r="1087" spans="28:28" x14ac:dyDescent="0.25">
      <c r="AB1087" s="381"/>
    </row>
    <row r="1088" spans="28:28" x14ac:dyDescent="0.25">
      <c r="AB1088" s="381"/>
    </row>
    <row r="1089" spans="28:28" x14ac:dyDescent="0.25">
      <c r="AB1089" s="381"/>
    </row>
    <row r="1090" spans="28:28" x14ac:dyDescent="0.25">
      <c r="AB1090" s="381"/>
    </row>
    <row r="1091" spans="28:28" x14ac:dyDescent="0.25">
      <c r="AB1091" s="381"/>
    </row>
    <row r="1092" spans="28:28" x14ac:dyDescent="0.25">
      <c r="AB1092" s="381"/>
    </row>
    <row r="1093" spans="28:28" x14ac:dyDescent="0.25">
      <c r="AB1093" s="381"/>
    </row>
    <row r="1094" spans="28:28" x14ac:dyDescent="0.25">
      <c r="AB1094" s="381"/>
    </row>
    <row r="1095" spans="28:28" x14ac:dyDescent="0.25">
      <c r="AB1095" s="381"/>
    </row>
    <row r="1096" spans="28:28" x14ac:dyDescent="0.25">
      <c r="AB1096" s="381"/>
    </row>
    <row r="1097" spans="28:28" x14ac:dyDescent="0.25">
      <c r="AB1097" s="381"/>
    </row>
    <row r="1098" spans="28:28" x14ac:dyDescent="0.25">
      <c r="AB1098" s="381"/>
    </row>
    <row r="1099" spans="28:28" x14ac:dyDescent="0.25">
      <c r="AB1099" s="381"/>
    </row>
    <row r="1100" spans="28:28" x14ac:dyDescent="0.25">
      <c r="AB1100" s="381"/>
    </row>
    <row r="1101" spans="28:28" x14ac:dyDescent="0.25">
      <c r="AB1101" s="381"/>
    </row>
    <row r="1102" spans="28:28" x14ac:dyDescent="0.25">
      <c r="AB1102" s="381"/>
    </row>
    <row r="1103" spans="28:28" x14ac:dyDescent="0.25">
      <c r="AB1103" s="381"/>
    </row>
    <row r="1104" spans="28:28" x14ac:dyDescent="0.25">
      <c r="AB1104" s="381"/>
    </row>
    <row r="1105" spans="28:28" x14ac:dyDescent="0.25">
      <c r="AB1105" s="381"/>
    </row>
    <row r="1106" spans="28:28" x14ac:dyDescent="0.25">
      <c r="AB1106" s="381"/>
    </row>
    <row r="1107" spans="28:28" x14ac:dyDescent="0.25">
      <c r="AB1107" s="381"/>
    </row>
    <row r="1108" spans="28:28" x14ac:dyDescent="0.25">
      <c r="AB1108" s="381"/>
    </row>
    <row r="1109" spans="28:28" x14ac:dyDescent="0.25">
      <c r="AB1109" s="381"/>
    </row>
    <row r="1110" spans="28:28" x14ac:dyDescent="0.25">
      <c r="AB1110" s="381"/>
    </row>
    <row r="1111" spans="28:28" x14ac:dyDescent="0.25">
      <c r="AB1111" s="381"/>
    </row>
    <row r="1112" spans="28:28" x14ac:dyDescent="0.25">
      <c r="AB1112" s="381"/>
    </row>
    <row r="1113" spans="28:28" x14ac:dyDescent="0.25">
      <c r="AB1113" s="381"/>
    </row>
    <row r="1114" spans="28:28" x14ac:dyDescent="0.25">
      <c r="AB1114" s="381"/>
    </row>
    <row r="1115" spans="28:28" x14ac:dyDescent="0.25">
      <c r="AB1115" s="381"/>
    </row>
    <row r="1116" spans="28:28" x14ac:dyDescent="0.25">
      <c r="AB1116" s="381"/>
    </row>
    <row r="1117" spans="28:28" x14ac:dyDescent="0.25">
      <c r="AB1117" s="381"/>
    </row>
    <row r="1118" spans="28:28" x14ac:dyDescent="0.25">
      <c r="AB1118" s="381"/>
    </row>
    <row r="1119" spans="28:28" x14ac:dyDescent="0.25">
      <c r="AB1119" s="381"/>
    </row>
    <row r="1120" spans="28:28" x14ac:dyDescent="0.25">
      <c r="AB1120" s="381"/>
    </row>
    <row r="1121" spans="28:28" x14ac:dyDescent="0.25">
      <c r="AB1121" s="381"/>
    </row>
    <row r="1122" spans="28:28" x14ac:dyDescent="0.25">
      <c r="AB1122" s="381"/>
    </row>
    <row r="1123" spans="28:28" x14ac:dyDescent="0.25">
      <c r="AB1123" s="381"/>
    </row>
    <row r="1124" spans="28:28" x14ac:dyDescent="0.25">
      <c r="AB1124" s="381"/>
    </row>
    <row r="1125" spans="28:28" x14ac:dyDescent="0.25">
      <c r="AB1125" s="381"/>
    </row>
    <row r="1126" spans="28:28" x14ac:dyDescent="0.25">
      <c r="AB1126" s="381"/>
    </row>
    <row r="1127" spans="28:28" x14ac:dyDescent="0.25">
      <c r="AB1127" s="381"/>
    </row>
    <row r="1128" spans="28:28" x14ac:dyDescent="0.25">
      <c r="AB1128" s="381"/>
    </row>
    <row r="1129" spans="28:28" x14ac:dyDescent="0.25">
      <c r="AB1129" s="381"/>
    </row>
    <row r="1130" spans="28:28" x14ac:dyDescent="0.25">
      <c r="AB1130" s="381"/>
    </row>
    <row r="1131" spans="28:28" x14ac:dyDescent="0.25">
      <c r="AB1131" s="381"/>
    </row>
    <row r="1132" spans="28:28" x14ac:dyDescent="0.25">
      <c r="AB1132" s="381"/>
    </row>
    <row r="1133" spans="28:28" x14ac:dyDescent="0.25">
      <c r="AB1133" s="381"/>
    </row>
    <row r="1134" spans="28:28" x14ac:dyDescent="0.25">
      <c r="AB1134" s="381"/>
    </row>
    <row r="1135" spans="28:28" x14ac:dyDescent="0.25">
      <c r="AB1135" s="381"/>
    </row>
    <row r="1136" spans="28:28" x14ac:dyDescent="0.25">
      <c r="AB1136" s="381"/>
    </row>
    <row r="1137" spans="28:28" x14ac:dyDescent="0.25">
      <c r="AB1137" s="381"/>
    </row>
    <row r="1138" spans="28:28" x14ac:dyDescent="0.25">
      <c r="AB1138" s="381"/>
    </row>
    <row r="1139" spans="28:28" x14ac:dyDescent="0.25">
      <c r="AB1139" s="381"/>
    </row>
    <row r="1140" spans="28:28" x14ac:dyDescent="0.25">
      <c r="AB1140" s="381"/>
    </row>
    <row r="1141" spans="28:28" x14ac:dyDescent="0.25">
      <c r="AB1141" s="381"/>
    </row>
    <row r="1142" spans="28:28" x14ac:dyDescent="0.25">
      <c r="AB1142" s="381"/>
    </row>
    <row r="1143" spans="28:28" x14ac:dyDescent="0.25">
      <c r="AB1143" s="381"/>
    </row>
    <row r="1144" spans="28:28" x14ac:dyDescent="0.25">
      <c r="AB1144" s="381"/>
    </row>
    <row r="1145" spans="28:28" x14ac:dyDescent="0.25">
      <c r="AB1145" s="381"/>
    </row>
    <row r="1146" spans="28:28" x14ac:dyDescent="0.25">
      <c r="AB1146" s="381"/>
    </row>
    <row r="1147" spans="28:28" x14ac:dyDescent="0.25">
      <c r="AB1147" s="381"/>
    </row>
    <row r="1148" spans="28:28" x14ac:dyDescent="0.25">
      <c r="AB1148" s="381"/>
    </row>
    <row r="1149" spans="28:28" x14ac:dyDescent="0.25">
      <c r="AB1149" s="381"/>
    </row>
    <row r="1150" spans="28:28" x14ac:dyDescent="0.25">
      <c r="AB1150" s="381"/>
    </row>
    <row r="1151" spans="28:28" x14ac:dyDescent="0.25">
      <c r="AB1151" s="381"/>
    </row>
    <row r="1152" spans="28:28" x14ac:dyDescent="0.25">
      <c r="AB1152" s="381"/>
    </row>
    <row r="1153" spans="28:28" x14ac:dyDescent="0.25">
      <c r="AB1153" s="381"/>
    </row>
    <row r="1154" spans="28:28" x14ac:dyDescent="0.25">
      <c r="AB1154" s="381"/>
    </row>
    <row r="1155" spans="28:28" x14ac:dyDescent="0.25">
      <c r="AB1155" s="381"/>
    </row>
    <row r="1156" spans="28:28" x14ac:dyDescent="0.25">
      <c r="AB1156" s="381"/>
    </row>
    <row r="1157" spans="28:28" x14ac:dyDescent="0.25">
      <c r="AB1157" s="381"/>
    </row>
    <row r="1158" spans="28:28" x14ac:dyDescent="0.25">
      <c r="AB1158" s="381"/>
    </row>
    <row r="1159" spans="28:28" x14ac:dyDescent="0.25">
      <c r="AB1159" s="381"/>
    </row>
    <row r="1160" spans="28:28" x14ac:dyDescent="0.25">
      <c r="AB1160" s="381"/>
    </row>
    <row r="1161" spans="28:28" x14ac:dyDescent="0.25">
      <c r="AB1161" s="381"/>
    </row>
    <row r="1162" spans="28:28" x14ac:dyDescent="0.25">
      <c r="AB1162" s="381"/>
    </row>
    <row r="1163" spans="28:28" x14ac:dyDescent="0.25">
      <c r="AB1163" s="381"/>
    </row>
    <row r="1164" spans="28:28" x14ac:dyDescent="0.25">
      <c r="AB1164" s="381"/>
    </row>
    <row r="1165" spans="28:28" x14ac:dyDescent="0.25">
      <c r="AB1165" s="381"/>
    </row>
    <row r="1166" spans="28:28" x14ac:dyDescent="0.25">
      <c r="AB1166" s="381"/>
    </row>
    <row r="1167" spans="28:28" x14ac:dyDescent="0.25">
      <c r="AB1167" s="381"/>
    </row>
    <row r="1168" spans="28:28" x14ac:dyDescent="0.25">
      <c r="AB1168" s="381"/>
    </row>
    <row r="1169" spans="28:28" x14ac:dyDescent="0.25">
      <c r="AB1169" s="381"/>
    </row>
    <row r="1170" spans="28:28" x14ac:dyDescent="0.25">
      <c r="AB1170" s="381"/>
    </row>
    <row r="1171" spans="28:28" x14ac:dyDescent="0.25">
      <c r="AB1171" s="381"/>
    </row>
    <row r="1172" spans="28:28" x14ac:dyDescent="0.25">
      <c r="AB1172" s="381"/>
    </row>
    <row r="1173" spans="28:28" x14ac:dyDescent="0.25">
      <c r="AB1173" s="381"/>
    </row>
    <row r="1174" spans="28:28" x14ac:dyDescent="0.25">
      <c r="AB1174" s="381"/>
    </row>
    <row r="1175" spans="28:28" x14ac:dyDescent="0.25">
      <c r="AB1175" s="381"/>
    </row>
    <row r="1176" spans="28:28" x14ac:dyDescent="0.25">
      <c r="AB1176" s="381"/>
    </row>
    <row r="1177" spans="28:28" x14ac:dyDescent="0.25">
      <c r="AB1177" s="381"/>
    </row>
    <row r="1178" spans="28:28" x14ac:dyDescent="0.25">
      <c r="AB1178" s="381"/>
    </row>
    <row r="1179" spans="28:28" x14ac:dyDescent="0.25">
      <c r="AB1179" s="381"/>
    </row>
    <row r="1180" spans="28:28" x14ac:dyDescent="0.25">
      <c r="AB1180" s="381"/>
    </row>
    <row r="1181" spans="28:28" x14ac:dyDescent="0.25">
      <c r="AB1181" s="381"/>
    </row>
    <row r="1182" spans="28:28" x14ac:dyDescent="0.25">
      <c r="AB1182" s="381"/>
    </row>
    <row r="1183" spans="28:28" x14ac:dyDescent="0.25">
      <c r="AB1183" s="381"/>
    </row>
    <row r="1184" spans="28:28" x14ac:dyDescent="0.25">
      <c r="AB1184" s="381"/>
    </row>
    <row r="1185" spans="28:28" x14ac:dyDescent="0.25">
      <c r="AB1185" s="381"/>
    </row>
    <row r="1186" spans="28:28" x14ac:dyDescent="0.25">
      <c r="AB1186" s="381"/>
    </row>
    <row r="1187" spans="28:28" x14ac:dyDescent="0.25">
      <c r="AB1187" s="381"/>
    </row>
    <row r="1188" spans="28:28" x14ac:dyDescent="0.25">
      <c r="AB1188" s="381"/>
    </row>
    <row r="1189" spans="28:28" x14ac:dyDescent="0.25">
      <c r="AB1189" s="381"/>
    </row>
    <row r="1190" spans="28:28" x14ac:dyDescent="0.25">
      <c r="AB1190" s="381"/>
    </row>
    <row r="1191" spans="28:28" x14ac:dyDescent="0.25">
      <c r="AB1191" s="381"/>
    </row>
    <row r="1192" spans="28:28" x14ac:dyDescent="0.25">
      <c r="AB1192" s="381"/>
    </row>
    <row r="1193" spans="28:28" x14ac:dyDescent="0.25">
      <c r="AB1193" s="381"/>
    </row>
    <row r="1194" spans="28:28" x14ac:dyDescent="0.25">
      <c r="AB1194" s="381"/>
    </row>
    <row r="1195" spans="28:28" x14ac:dyDescent="0.25">
      <c r="AB1195" s="381"/>
    </row>
    <row r="1196" spans="28:28" x14ac:dyDescent="0.25">
      <c r="AB1196" s="381"/>
    </row>
    <row r="1197" spans="28:28" x14ac:dyDescent="0.25">
      <c r="AB1197" s="381"/>
    </row>
    <row r="1198" spans="28:28" x14ac:dyDescent="0.25">
      <c r="AB1198" s="381"/>
    </row>
    <row r="1199" spans="28:28" x14ac:dyDescent="0.25">
      <c r="AB1199" s="381"/>
    </row>
    <row r="1200" spans="28:28" x14ac:dyDescent="0.25">
      <c r="AB1200" s="381"/>
    </row>
    <row r="1201" spans="28:28" x14ac:dyDescent="0.25">
      <c r="AB1201" s="381"/>
    </row>
    <row r="1202" spans="28:28" x14ac:dyDescent="0.25">
      <c r="AB1202" s="381"/>
    </row>
    <row r="1203" spans="28:28" x14ac:dyDescent="0.25">
      <c r="AB1203" s="381"/>
    </row>
    <row r="1204" spans="28:28" x14ac:dyDescent="0.25">
      <c r="AB1204" s="381"/>
    </row>
    <row r="1205" spans="28:28" x14ac:dyDescent="0.25">
      <c r="AB1205" s="381"/>
    </row>
    <row r="1206" spans="28:28" x14ac:dyDescent="0.25">
      <c r="AB1206" s="381"/>
    </row>
    <row r="1207" spans="28:28" x14ac:dyDescent="0.25">
      <c r="AB1207" s="381"/>
    </row>
    <row r="1208" spans="28:28" x14ac:dyDescent="0.25">
      <c r="AB1208" s="381"/>
    </row>
    <row r="1209" spans="28:28" x14ac:dyDescent="0.25">
      <c r="AB1209" s="381"/>
    </row>
    <row r="1210" spans="28:28" x14ac:dyDescent="0.25">
      <c r="AB1210" s="381"/>
    </row>
    <row r="1211" spans="28:28" x14ac:dyDescent="0.25">
      <c r="AB1211" s="381"/>
    </row>
    <row r="1212" spans="28:28" x14ac:dyDescent="0.25">
      <c r="AB1212" s="381"/>
    </row>
    <row r="1213" spans="28:28" x14ac:dyDescent="0.25">
      <c r="AB1213" s="381"/>
    </row>
    <row r="1214" spans="28:28" x14ac:dyDescent="0.25">
      <c r="AB1214" s="381"/>
    </row>
    <row r="1215" spans="28:28" x14ac:dyDescent="0.25">
      <c r="AB1215" s="381"/>
    </row>
    <row r="1216" spans="28:28" x14ac:dyDescent="0.25">
      <c r="AB1216" s="381"/>
    </row>
    <row r="1217" spans="28:28" x14ac:dyDescent="0.25">
      <c r="AB1217" s="381"/>
    </row>
    <row r="1218" spans="28:28" x14ac:dyDescent="0.25">
      <c r="AB1218" s="381"/>
    </row>
    <row r="1219" spans="28:28" x14ac:dyDescent="0.25">
      <c r="AB1219" s="381"/>
    </row>
    <row r="1220" spans="28:28" x14ac:dyDescent="0.25">
      <c r="AB1220" s="381"/>
    </row>
    <row r="1221" spans="28:28" x14ac:dyDescent="0.25">
      <c r="AB1221" s="381"/>
    </row>
    <row r="1222" spans="28:28" x14ac:dyDescent="0.25">
      <c r="AB1222" s="381"/>
    </row>
    <row r="1223" spans="28:28" x14ac:dyDescent="0.25">
      <c r="AB1223" s="381"/>
    </row>
    <row r="1224" spans="28:28" x14ac:dyDescent="0.25">
      <c r="AB1224" s="381"/>
    </row>
    <row r="1225" spans="28:28" x14ac:dyDescent="0.25">
      <c r="AB1225" s="381"/>
    </row>
    <row r="1226" spans="28:28" x14ac:dyDescent="0.25">
      <c r="AB1226" s="381"/>
    </row>
    <row r="1227" spans="28:28" x14ac:dyDescent="0.25">
      <c r="AB1227" s="381"/>
    </row>
    <row r="1228" spans="28:28" x14ac:dyDescent="0.25">
      <c r="AB1228" s="381"/>
    </row>
    <row r="1229" spans="28:28" x14ac:dyDescent="0.25">
      <c r="AB1229" s="381"/>
    </row>
    <row r="1230" spans="28:28" x14ac:dyDescent="0.25">
      <c r="AB1230" s="381"/>
    </row>
    <row r="1231" spans="28:28" x14ac:dyDescent="0.25">
      <c r="AB1231" s="381"/>
    </row>
    <row r="1232" spans="28:28" x14ac:dyDescent="0.25">
      <c r="AB1232" s="381"/>
    </row>
    <row r="1233" spans="28:28" x14ac:dyDescent="0.25">
      <c r="AB1233" s="381"/>
    </row>
    <row r="1234" spans="28:28" x14ac:dyDescent="0.25">
      <c r="AB1234" s="381"/>
    </row>
    <row r="1235" spans="28:28" x14ac:dyDescent="0.25">
      <c r="AB1235" s="381"/>
    </row>
    <row r="1236" spans="28:28" x14ac:dyDescent="0.25">
      <c r="AB1236" s="381"/>
    </row>
    <row r="1237" spans="28:28" x14ac:dyDescent="0.25">
      <c r="AB1237" s="381"/>
    </row>
    <row r="1238" spans="28:28" x14ac:dyDescent="0.25">
      <c r="AB1238" s="381"/>
    </row>
    <row r="1239" spans="28:28" x14ac:dyDescent="0.25">
      <c r="AB1239" s="381"/>
    </row>
    <row r="1240" spans="28:28" x14ac:dyDescent="0.25">
      <c r="AB1240" s="381"/>
    </row>
    <row r="1241" spans="28:28" x14ac:dyDescent="0.25">
      <c r="AB1241" s="381"/>
    </row>
    <row r="1242" spans="28:28" x14ac:dyDescent="0.25">
      <c r="AB1242" s="381"/>
    </row>
    <row r="1243" spans="28:28" x14ac:dyDescent="0.25">
      <c r="AB1243" s="381"/>
    </row>
    <row r="1244" spans="28:28" x14ac:dyDescent="0.25">
      <c r="AB1244" s="381"/>
    </row>
    <row r="1245" spans="28:28" x14ac:dyDescent="0.25">
      <c r="AB1245" s="381"/>
    </row>
    <row r="1246" spans="28:28" x14ac:dyDescent="0.25">
      <c r="AB1246" s="381"/>
    </row>
    <row r="1247" spans="28:28" x14ac:dyDescent="0.25">
      <c r="AB1247" s="381"/>
    </row>
    <row r="1248" spans="28:28" x14ac:dyDescent="0.25">
      <c r="AB1248" s="381"/>
    </row>
    <row r="1249" spans="28:28" x14ac:dyDescent="0.25">
      <c r="AB1249" s="381"/>
    </row>
    <row r="1250" spans="28:28" x14ac:dyDescent="0.25">
      <c r="AB1250" s="381"/>
    </row>
    <row r="1251" spans="28:28" x14ac:dyDescent="0.25">
      <c r="AB1251" s="381"/>
    </row>
    <row r="1252" spans="28:28" x14ac:dyDescent="0.25">
      <c r="AB1252" s="381"/>
    </row>
    <row r="1253" spans="28:28" x14ac:dyDescent="0.25">
      <c r="AB1253" s="381"/>
    </row>
    <row r="1254" spans="28:28" x14ac:dyDescent="0.25">
      <c r="AB1254" s="381"/>
    </row>
    <row r="1255" spans="28:28" x14ac:dyDescent="0.25">
      <c r="AB1255" s="381"/>
    </row>
    <row r="1256" spans="28:28" x14ac:dyDescent="0.25">
      <c r="AB1256" s="381"/>
    </row>
    <row r="1257" spans="28:28" x14ac:dyDescent="0.25">
      <c r="AB1257" s="381"/>
    </row>
    <row r="1258" spans="28:28" x14ac:dyDescent="0.25">
      <c r="AB1258" s="381"/>
    </row>
    <row r="1259" spans="28:28" x14ac:dyDescent="0.25">
      <c r="AB1259" s="381"/>
    </row>
    <row r="1260" spans="28:28" x14ac:dyDescent="0.25">
      <c r="AB1260" s="381"/>
    </row>
    <row r="1261" spans="28:28" x14ac:dyDescent="0.25">
      <c r="AB1261" s="381"/>
    </row>
    <row r="1262" spans="28:28" x14ac:dyDescent="0.25">
      <c r="AB1262" s="381"/>
    </row>
    <row r="1263" spans="28:28" x14ac:dyDescent="0.25">
      <c r="AB1263" s="381"/>
    </row>
    <row r="1264" spans="28:28" x14ac:dyDescent="0.25">
      <c r="AB1264" s="381"/>
    </row>
    <row r="1265" spans="28:28" x14ac:dyDescent="0.25">
      <c r="AB1265" s="381"/>
    </row>
    <row r="1266" spans="28:28" x14ac:dyDescent="0.25">
      <c r="AB1266" s="381"/>
    </row>
    <row r="1267" spans="28:28" x14ac:dyDescent="0.25">
      <c r="AB1267" s="381"/>
    </row>
    <row r="1268" spans="28:28" x14ac:dyDescent="0.25">
      <c r="AB1268" s="381"/>
    </row>
    <row r="1269" spans="28:28" x14ac:dyDescent="0.25">
      <c r="AB1269" s="381"/>
    </row>
    <row r="1270" spans="28:28" x14ac:dyDescent="0.25">
      <c r="AB1270" s="381"/>
    </row>
    <row r="1271" spans="28:28" x14ac:dyDescent="0.25">
      <c r="AB1271" s="381"/>
    </row>
    <row r="1272" spans="28:28" x14ac:dyDescent="0.25">
      <c r="AB1272" s="381"/>
    </row>
    <row r="1273" spans="28:28" x14ac:dyDescent="0.25">
      <c r="AB1273" s="381"/>
    </row>
    <row r="1274" spans="28:28" x14ac:dyDescent="0.25">
      <c r="AB1274" s="381"/>
    </row>
    <row r="1275" spans="28:28" x14ac:dyDescent="0.25">
      <c r="AB1275" s="381"/>
    </row>
    <row r="1276" spans="28:28" x14ac:dyDescent="0.25">
      <c r="AB1276" s="381"/>
    </row>
    <row r="1277" spans="28:28" x14ac:dyDescent="0.25">
      <c r="AB1277" s="381"/>
    </row>
    <row r="1278" spans="28:28" x14ac:dyDescent="0.25">
      <c r="AB1278" s="381"/>
    </row>
    <row r="1279" spans="28:28" x14ac:dyDescent="0.25">
      <c r="AB1279" s="381"/>
    </row>
    <row r="1280" spans="28:28" x14ac:dyDescent="0.25">
      <c r="AB1280" s="381"/>
    </row>
    <row r="1281" spans="28:28" x14ac:dyDescent="0.25">
      <c r="AB1281" s="381"/>
    </row>
    <row r="1282" spans="28:28" x14ac:dyDescent="0.25">
      <c r="AB1282" s="381"/>
    </row>
    <row r="1283" spans="28:28" x14ac:dyDescent="0.25">
      <c r="AB1283" s="381"/>
    </row>
    <row r="1284" spans="28:28" x14ac:dyDescent="0.25">
      <c r="AB1284" s="381"/>
    </row>
    <row r="1285" spans="28:28" x14ac:dyDescent="0.25">
      <c r="AB1285" s="381"/>
    </row>
    <row r="1286" spans="28:28" x14ac:dyDescent="0.25">
      <c r="AB1286" s="381"/>
    </row>
    <row r="1287" spans="28:28" x14ac:dyDescent="0.25">
      <c r="AB1287" s="381"/>
    </row>
    <row r="1288" spans="28:28" x14ac:dyDescent="0.25">
      <c r="AB1288" s="381"/>
    </row>
    <row r="1289" spans="28:28" x14ac:dyDescent="0.25">
      <c r="AB1289" s="381"/>
    </row>
    <row r="1290" spans="28:28" x14ac:dyDescent="0.25">
      <c r="AB1290" s="381"/>
    </row>
    <row r="1291" spans="28:28" x14ac:dyDescent="0.25">
      <c r="AB1291" s="381"/>
    </row>
    <row r="1292" spans="28:28" x14ac:dyDescent="0.25">
      <c r="AB1292" s="381"/>
    </row>
    <row r="1293" spans="28:28" x14ac:dyDescent="0.25">
      <c r="AB1293" s="381"/>
    </row>
    <row r="1294" spans="28:28" x14ac:dyDescent="0.25">
      <c r="AB1294" s="381"/>
    </row>
    <row r="1295" spans="28:28" x14ac:dyDescent="0.25">
      <c r="AB1295" s="381"/>
    </row>
    <row r="1296" spans="28:28" x14ac:dyDescent="0.25">
      <c r="AB1296" s="381"/>
    </row>
    <row r="1297" spans="28:28" x14ac:dyDescent="0.25">
      <c r="AB1297" s="381"/>
    </row>
    <row r="1298" spans="28:28" x14ac:dyDescent="0.25">
      <c r="AB1298" s="381"/>
    </row>
    <row r="1299" spans="28:28" x14ac:dyDescent="0.25">
      <c r="AB1299" s="381"/>
    </row>
    <row r="1300" spans="28:28" x14ac:dyDescent="0.25">
      <c r="AB1300" s="381"/>
    </row>
    <row r="1301" spans="28:28" x14ac:dyDescent="0.25">
      <c r="AB1301" s="381"/>
    </row>
    <row r="1302" spans="28:28" x14ac:dyDescent="0.25">
      <c r="AB1302" s="381"/>
    </row>
    <row r="1303" spans="28:28" x14ac:dyDescent="0.25">
      <c r="AB1303" s="381"/>
    </row>
    <row r="1304" spans="28:28" x14ac:dyDescent="0.25">
      <c r="AB1304" s="381"/>
    </row>
    <row r="1305" spans="28:28" x14ac:dyDescent="0.25">
      <c r="AB1305" s="381"/>
    </row>
    <row r="1306" spans="28:28" x14ac:dyDescent="0.25">
      <c r="AB1306" s="381"/>
    </row>
    <row r="1307" spans="28:28" x14ac:dyDescent="0.25">
      <c r="AB1307" s="381"/>
    </row>
    <row r="1308" spans="28:28" x14ac:dyDescent="0.25">
      <c r="AB1308" s="381"/>
    </row>
    <row r="1309" spans="28:28" x14ac:dyDescent="0.25">
      <c r="AB1309" s="381"/>
    </row>
    <row r="1310" spans="28:28" x14ac:dyDescent="0.25">
      <c r="AB1310" s="381"/>
    </row>
    <row r="1311" spans="28:28" x14ac:dyDescent="0.25">
      <c r="AB1311" s="381"/>
    </row>
    <row r="1312" spans="28:28" x14ac:dyDescent="0.25">
      <c r="AB1312" s="381"/>
    </row>
    <row r="1313" spans="28:28" x14ac:dyDescent="0.25">
      <c r="AB1313" s="381"/>
    </row>
    <row r="1314" spans="28:28" x14ac:dyDescent="0.25">
      <c r="AB1314" s="381"/>
    </row>
    <row r="1315" spans="28:28" x14ac:dyDescent="0.25">
      <c r="AB1315" s="381"/>
    </row>
    <row r="1316" spans="28:28" x14ac:dyDescent="0.25">
      <c r="AB1316" s="381"/>
    </row>
    <row r="1317" spans="28:28" x14ac:dyDescent="0.25">
      <c r="AB1317" s="381"/>
    </row>
    <row r="1318" spans="28:28" x14ac:dyDescent="0.25">
      <c r="AB1318" s="381"/>
    </row>
    <row r="1319" spans="28:28" x14ac:dyDescent="0.25">
      <c r="AB1319" s="381"/>
    </row>
    <row r="1320" spans="28:28" x14ac:dyDescent="0.25">
      <c r="AB1320" s="381"/>
    </row>
    <row r="1321" spans="28:28" x14ac:dyDescent="0.25">
      <c r="AB1321" s="381"/>
    </row>
    <row r="1322" spans="28:28" x14ac:dyDescent="0.25">
      <c r="AB1322" s="381"/>
    </row>
    <row r="1323" spans="28:28" x14ac:dyDescent="0.25">
      <c r="AB1323" s="381"/>
    </row>
    <row r="1324" spans="28:28" x14ac:dyDescent="0.25">
      <c r="AB1324" s="381"/>
    </row>
    <row r="1325" spans="28:28" x14ac:dyDescent="0.25">
      <c r="AB1325" s="381"/>
    </row>
    <row r="1326" spans="28:28" x14ac:dyDescent="0.25">
      <c r="AB1326" s="381"/>
    </row>
    <row r="1327" spans="28:28" x14ac:dyDescent="0.25">
      <c r="AB1327" s="381"/>
    </row>
    <row r="1328" spans="28:28" x14ac:dyDescent="0.25">
      <c r="AB1328" s="381"/>
    </row>
    <row r="1329" spans="28:28" x14ac:dyDescent="0.25">
      <c r="AB1329" s="381"/>
    </row>
    <row r="1330" spans="28:28" x14ac:dyDescent="0.25">
      <c r="AB1330" s="381"/>
    </row>
    <row r="1331" spans="28:28" x14ac:dyDescent="0.25">
      <c r="AB1331" s="381"/>
    </row>
    <row r="1332" spans="28:28" x14ac:dyDescent="0.25">
      <c r="AB1332" s="381"/>
    </row>
    <row r="1333" spans="28:28" x14ac:dyDescent="0.25">
      <c r="AB1333" s="381"/>
    </row>
    <row r="1334" spans="28:28" x14ac:dyDescent="0.25">
      <c r="AB1334" s="381"/>
    </row>
    <row r="1335" spans="28:28" x14ac:dyDescent="0.25">
      <c r="AB1335" s="381"/>
    </row>
    <row r="1336" spans="28:28" x14ac:dyDescent="0.25">
      <c r="AB1336" s="381"/>
    </row>
    <row r="1337" spans="28:28" x14ac:dyDescent="0.25">
      <c r="AB1337" s="381"/>
    </row>
    <row r="1338" spans="28:28" x14ac:dyDescent="0.25">
      <c r="AB1338" s="381"/>
    </row>
    <row r="1339" spans="28:28" x14ac:dyDescent="0.25">
      <c r="AB1339" s="381"/>
    </row>
    <row r="1340" spans="28:28" x14ac:dyDescent="0.25">
      <c r="AB1340" s="381"/>
    </row>
    <row r="1341" spans="28:28" x14ac:dyDescent="0.25">
      <c r="AB1341" s="381"/>
    </row>
    <row r="1342" spans="28:28" x14ac:dyDescent="0.25">
      <c r="AB1342" s="381"/>
    </row>
    <row r="1343" spans="28:28" x14ac:dyDescent="0.25">
      <c r="AB1343" s="381"/>
    </row>
    <row r="1344" spans="28:28" x14ac:dyDescent="0.25">
      <c r="AB1344" s="381"/>
    </row>
    <row r="1345" spans="28:28" x14ac:dyDescent="0.25">
      <c r="AB1345" s="381"/>
    </row>
    <row r="1346" spans="28:28" x14ac:dyDescent="0.25">
      <c r="AB1346" s="381"/>
    </row>
    <row r="1347" spans="28:28" x14ac:dyDescent="0.25">
      <c r="AB1347" s="381"/>
    </row>
    <row r="1348" spans="28:28" x14ac:dyDescent="0.25">
      <c r="AB1348" s="381"/>
    </row>
    <row r="1349" spans="28:28" x14ac:dyDescent="0.25">
      <c r="AB1349" s="381"/>
    </row>
    <row r="1350" spans="28:28" x14ac:dyDescent="0.25">
      <c r="AB1350" s="381"/>
    </row>
    <row r="1351" spans="28:28" x14ac:dyDescent="0.25">
      <c r="AB1351" s="381"/>
    </row>
    <row r="1352" spans="28:28" x14ac:dyDescent="0.25">
      <c r="AB1352" s="381"/>
    </row>
    <row r="1353" spans="28:28" x14ac:dyDescent="0.25">
      <c r="AB1353" s="381"/>
    </row>
    <row r="1354" spans="28:28" x14ac:dyDescent="0.25">
      <c r="AB1354" s="381"/>
    </row>
    <row r="1355" spans="28:28" x14ac:dyDescent="0.25">
      <c r="AB1355" s="381"/>
    </row>
    <row r="1356" spans="28:28" x14ac:dyDescent="0.25">
      <c r="AB1356" s="381"/>
    </row>
    <row r="1357" spans="28:28" x14ac:dyDescent="0.25">
      <c r="AB1357" s="381"/>
    </row>
    <row r="1358" spans="28:28" x14ac:dyDescent="0.25">
      <c r="AB1358" s="381"/>
    </row>
    <row r="1359" spans="28:28" x14ac:dyDescent="0.25">
      <c r="AB1359" s="381"/>
    </row>
    <row r="1360" spans="28:28" x14ac:dyDescent="0.25">
      <c r="AB1360" s="381"/>
    </row>
    <row r="1361" spans="28:28" x14ac:dyDescent="0.25">
      <c r="AB1361" s="381"/>
    </row>
    <row r="1362" spans="28:28" x14ac:dyDescent="0.25">
      <c r="AB1362" s="381"/>
    </row>
    <row r="1363" spans="28:28" x14ac:dyDescent="0.25">
      <c r="AB1363" s="381"/>
    </row>
    <row r="1364" spans="28:28" x14ac:dyDescent="0.25">
      <c r="AB1364" s="381"/>
    </row>
    <row r="1365" spans="28:28" x14ac:dyDescent="0.25">
      <c r="AB1365" s="381"/>
    </row>
    <row r="1366" spans="28:28" x14ac:dyDescent="0.25">
      <c r="AB1366" s="381"/>
    </row>
    <row r="1367" spans="28:28" x14ac:dyDescent="0.25">
      <c r="AB1367" s="381"/>
    </row>
    <row r="1368" spans="28:28" x14ac:dyDescent="0.25">
      <c r="AB1368" s="381"/>
    </row>
    <row r="1369" spans="28:28" x14ac:dyDescent="0.25">
      <c r="AB1369" s="381"/>
    </row>
    <row r="1370" spans="28:28" x14ac:dyDescent="0.25">
      <c r="AB1370" s="381"/>
    </row>
    <row r="1371" spans="28:28" x14ac:dyDescent="0.25">
      <c r="AB1371" s="381"/>
    </row>
    <row r="1372" spans="28:28" x14ac:dyDescent="0.25">
      <c r="AB1372" s="381"/>
    </row>
    <row r="1373" spans="28:28" x14ac:dyDescent="0.25">
      <c r="AB1373" s="381"/>
    </row>
    <row r="1374" spans="28:28" x14ac:dyDescent="0.25">
      <c r="AB1374" s="381"/>
    </row>
    <row r="1375" spans="28:28" x14ac:dyDescent="0.25">
      <c r="AB1375" s="381"/>
    </row>
    <row r="1376" spans="28:28" x14ac:dyDescent="0.25">
      <c r="AB1376" s="381"/>
    </row>
    <row r="1377" spans="28:28" x14ac:dyDescent="0.25">
      <c r="AB1377" s="381"/>
    </row>
    <row r="1378" spans="28:28" x14ac:dyDescent="0.25">
      <c r="AB1378" s="381"/>
    </row>
    <row r="1379" spans="28:28" x14ac:dyDescent="0.25">
      <c r="AB1379" s="381"/>
    </row>
    <row r="1380" spans="28:28" x14ac:dyDescent="0.25">
      <c r="AB1380" s="381"/>
    </row>
    <row r="1381" spans="28:28" x14ac:dyDescent="0.25">
      <c r="AB1381" s="381"/>
    </row>
    <row r="1382" spans="28:28" x14ac:dyDescent="0.25">
      <c r="AB1382" s="381"/>
    </row>
    <row r="1383" spans="28:28" x14ac:dyDescent="0.25">
      <c r="AB1383" s="381"/>
    </row>
    <row r="1384" spans="28:28" x14ac:dyDescent="0.25">
      <c r="AB1384" s="381"/>
    </row>
    <row r="1385" spans="28:28" x14ac:dyDescent="0.25">
      <c r="AB1385" s="381"/>
    </row>
    <row r="1386" spans="28:28" x14ac:dyDescent="0.25">
      <c r="AB1386" s="381"/>
    </row>
    <row r="1387" spans="28:28" x14ac:dyDescent="0.25">
      <c r="AB1387" s="381"/>
    </row>
    <row r="1388" spans="28:28" x14ac:dyDescent="0.25">
      <c r="AB1388" s="381"/>
    </row>
    <row r="1389" spans="28:28" x14ac:dyDescent="0.25">
      <c r="AB1389" s="381"/>
    </row>
    <row r="1390" spans="28:28" x14ac:dyDescent="0.25">
      <c r="AB1390" s="381"/>
    </row>
    <row r="1391" spans="28:28" x14ac:dyDescent="0.25">
      <c r="AB1391" s="381"/>
    </row>
    <row r="1392" spans="28:28" x14ac:dyDescent="0.25">
      <c r="AB1392" s="381"/>
    </row>
    <row r="1393" spans="28:28" x14ac:dyDescent="0.25">
      <c r="AB1393" s="381"/>
    </row>
    <row r="1394" spans="28:28" x14ac:dyDescent="0.25">
      <c r="AB1394" s="381"/>
    </row>
    <row r="1395" spans="28:28" x14ac:dyDescent="0.25">
      <c r="AB1395" s="381"/>
    </row>
    <row r="1396" spans="28:28" x14ac:dyDescent="0.25">
      <c r="AB1396" s="381"/>
    </row>
    <row r="1397" spans="28:28" x14ac:dyDescent="0.25">
      <c r="AB1397" s="381"/>
    </row>
    <row r="1398" spans="28:28" x14ac:dyDescent="0.25">
      <c r="AB1398" s="381"/>
    </row>
    <row r="1399" spans="28:28" x14ac:dyDescent="0.25">
      <c r="AB1399" s="381"/>
    </row>
    <row r="1400" spans="28:28" x14ac:dyDescent="0.25">
      <c r="AB1400" s="381"/>
    </row>
    <row r="1401" spans="28:28" x14ac:dyDescent="0.25">
      <c r="AB1401" s="381"/>
    </row>
    <row r="1402" spans="28:28" x14ac:dyDescent="0.25">
      <c r="AB1402" s="381"/>
    </row>
    <row r="1403" spans="28:28" x14ac:dyDescent="0.25">
      <c r="AB1403" s="381"/>
    </row>
    <row r="1404" spans="28:28" x14ac:dyDescent="0.25">
      <c r="AB1404" s="381"/>
    </row>
    <row r="1405" spans="28:28" x14ac:dyDescent="0.25">
      <c r="AB1405" s="381"/>
    </row>
    <row r="1406" spans="28:28" x14ac:dyDescent="0.25">
      <c r="AB1406" s="381"/>
    </row>
    <row r="1407" spans="28:28" x14ac:dyDescent="0.25">
      <c r="AB1407" s="381"/>
    </row>
    <row r="1408" spans="28:28" x14ac:dyDescent="0.25">
      <c r="AB1408" s="381"/>
    </row>
    <row r="1409" spans="28:28" x14ac:dyDescent="0.25">
      <c r="AB1409" s="381"/>
    </row>
    <row r="1410" spans="28:28" x14ac:dyDescent="0.25">
      <c r="AB1410" s="381"/>
    </row>
    <row r="1411" spans="28:28" x14ac:dyDescent="0.25">
      <c r="AB1411" s="381"/>
    </row>
    <row r="1412" spans="28:28" x14ac:dyDescent="0.25">
      <c r="AB1412" s="381"/>
    </row>
    <row r="1413" spans="28:28" x14ac:dyDescent="0.25">
      <c r="AB1413" s="381"/>
    </row>
    <row r="1414" spans="28:28" x14ac:dyDescent="0.25">
      <c r="AB1414" s="381"/>
    </row>
    <row r="1415" spans="28:28" x14ac:dyDescent="0.25">
      <c r="AB1415" s="381"/>
    </row>
    <row r="1416" spans="28:28" x14ac:dyDescent="0.25">
      <c r="AB1416" s="381"/>
    </row>
    <row r="1417" spans="28:28" x14ac:dyDescent="0.25">
      <c r="AB1417" s="381"/>
    </row>
    <row r="1418" spans="28:28" x14ac:dyDescent="0.25">
      <c r="AB1418" s="381"/>
    </row>
    <row r="1419" spans="28:28" x14ac:dyDescent="0.25">
      <c r="AB1419" s="381"/>
    </row>
    <row r="1420" spans="28:28" x14ac:dyDescent="0.25">
      <c r="AB1420" s="381"/>
    </row>
    <row r="1421" spans="28:28" x14ac:dyDescent="0.25">
      <c r="AB1421" s="381"/>
    </row>
    <row r="1422" spans="28:28" x14ac:dyDescent="0.25">
      <c r="AB1422" s="381"/>
    </row>
    <row r="1423" spans="28:28" x14ac:dyDescent="0.25">
      <c r="AB1423" s="381"/>
    </row>
    <row r="1424" spans="28:28" x14ac:dyDescent="0.25">
      <c r="AB1424" s="381"/>
    </row>
    <row r="1425" spans="28:28" x14ac:dyDescent="0.25">
      <c r="AB1425" s="381"/>
    </row>
    <row r="1426" spans="28:28" x14ac:dyDescent="0.25">
      <c r="AB1426" s="381"/>
    </row>
    <row r="1427" spans="28:28" x14ac:dyDescent="0.25">
      <c r="AB1427" s="381"/>
    </row>
    <row r="1428" spans="28:28" x14ac:dyDescent="0.25">
      <c r="AB1428" s="381"/>
    </row>
    <row r="1429" spans="28:28" x14ac:dyDescent="0.25">
      <c r="AB1429" s="381"/>
    </row>
    <row r="1430" spans="28:28" x14ac:dyDescent="0.25">
      <c r="AB1430" s="381"/>
    </row>
    <row r="1431" spans="28:28" x14ac:dyDescent="0.25">
      <c r="AB1431" s="381"/>
    </row>
    <row r="1432" spans="28:28" x14ac:dyDescent="0.25">
      <c r="AB1432" s="381"/>
    </row>
    <row r="1433" spans="28:28" x14ac:dyDescent="0.25">
      <c r="AB1433" s="381"/>
    </row>
    <row r="1434" spans="28:28" x14ac:dyDescent="0.25">
      <c r="AB1434" s="381"/>
    </row>
    <row r="1435" spans="28:28" x14ac:dyDescent="0.25">
      <c r="AB1435" s="381"/>
    </row>
    <row r="1436" spans="28:28" x14ac:dyDescent="0.25">
      <c r="AB1436" s="381"/>
    </row>
    <row r="1437" spans="28:28" x14ac:dyDescent="0.25">
      <c r="AB1437" s="381"/>
    </row>
    <row r="1438" spans="28:28" x14ac:dyDescent="0.25">
      <c r="AB1438" s="381"/>
    </row>
    <row r="1439" spans="28:28" x14ac:dyDescent="0.25">
      <c r="AB1439" s="381"/>
    </row>
    <row r="1440" spans="28:28" x14ac:dyDescent="0.25">
      <c r="AB1440" s="381"/>
    </row>
    <row r="1441" spans="28:28" x14ac:dyDescent="0.25">
      <c r="AB1441" s="381"/>
    </row>
    <row r="1442" spans="28:28" x14ac:dyDescent="0.25">
      <c r="AB1442" s="381"/>
    </row>
    <row r="1443" spans="28:28" x14ac:dyDescent="0.25">
      <c r="AB1443" s="381"/>
    </row>
    <row r="1444" spans="28:28" x14ac:dyDescent="0.25">
      <c r="AB1444" s="381"/>
    </row>
    <row r="1445" spans="28:28" x14ac:dyDescent="0.25">
      <c r="AB1445" s="381"/>
    </row>
    <row r="1446" spans="28:28" x14ac:dyDescent="0.25">
      <c r="AB1446" s="381"/>
    </row>
    <row r="1447" spans="28:28" x14ac:dyDescent="0.25">
      <c r="AB1447" s="381"/>
    </row>
    <row r="1448" spans="28:28" x14ac:dyDescent="0.25">
      <c r="AB1448" s="381"/>
    </row>
    <row r="1449" spans="28:28" x14ac:dyDescent="0.25">
      <c r="AB1449" s="381"/>
    </row>
    <row r="1450" spans="28:28" x14ac:dyDescent="0.25">
      <c r="AB1450" s="381"/>
    </row>
    <row r="1451" spans="28:28" x14ac:dyDescent="0.25">
      <c r="AB1451" s="381"/>
    </row>
    <row r="1452" spans="28:28" x14ac:dyDescent="0.25">
      <c r="AB1452" s="381"/>
    </row>
    <row r="1453" spans="28:28" x14ac:dyDescent="0.25">
      <c r="AB1453" s="381"/>
    </row>
    <row r="1454" spans="28:28" x14ac:dyDescent="0.25">
      <c r="AB1454" s="381"/>
    </row>
    <row r="1455" spans="28:28" x14ac:dyDescent="0.25">
      <c r="AB1455" s="381"/>
    </row>
    <row r="1456" spans="28:28" x14ac:dyDescent="0.25">
      <c r="AB1456" s="381"/>
    </row>
    <row r="1457" spans="28:28" x14ac:dyDescent="0.25">
      <c r="AB1457" s="381"/>
    </row>
    <row r="1458" spans="28:28" x14ac:dyDescent="0.25">
      <c r="AB1458" s="381"/>
    </row>
    <row r="1459" spans="28:28" x14ac:dyDescent="0.25">
      <c r="AB1459" s="381"/>
    </row>
    <row r="1460" spans="28:28" x14ac:dyDescent="0.25">
      <c r="AB1460" s="381"/>
    </row>
    <row r="1461" spans="28:28" x14ac:dyDescent="0.25">
      <c r="AB1461" s="381"/>
    </row>
    <row r="1462" spans="28:28" x14ac:dyDescent="0.25">
      <c r="AB1462" s="381"/>
    </row>
    <row r="1463" spans="28:28" x14ac:dyDescent="0.25">
      <c r="AB1463" s="381"/>
    </row>
    <row r="1464" spans="28:28" x14ac:dyDescent="0.25">
      <c r="AB1464" s="381"/>
    </row>
    <row r="1465" spans="28:28" x14ac:dyDescent="0.25">
      <c r="AB1465" s="381"/>
    </row>
    <row r="1466" spans="28:28" x14ac:dyDescent="0.25">
      <c r="AB1466" s="381"/>
    </row>
    <row r="1467" spans="28:28" x14ac:dyDescent="0.25">
      <c r="AB1467" s="381"/>
    </row>
    <row r="1468" spans="28:28" x14ac:dyDescent="0.25">
      <c r="AB1468" s="381"/>
    </row>
    <row r="1469" spans="28:28" x14ac:dyDescent="0.25">
      <c r="AB1469" s="381"/>
    </row>
    <row r="1470" spans="28:28" x14ac:dyDescent="0.25">
      <c r="AB1470" s="381"/>
    </row>
    <row r="1471" spans="28:28" x14ac:dyDescent="0.25">
      <c r="AB1471" s="381"/>
    </row>
    <row r="1472" spans="28:28" x14ac:dyDescent="0.25">
      <c r="AB1472" s="381"/>
    </row>
    <row r="1473" spans="28:28" x14ac:dyDescent="0.25">
      <c r="AB1473" s="381"/>
    </row>
    <row r="1474" spans="28:28" x14ac:dyDescent="0.25">
      <c r="AB1474" s="381"/>
    </row>
    <row r="1475" spans="28:28" x14ac:dyDescent="0.25">
      <c r="AB1475" s="381"/>
    </row>
    <row r="1476" spans="28:28" x14ac:dyDescent="0.25">
      <c r="AB1476" s="381"/>
    </row>
    <row r="1477" spans="28:28" x14ac:dyDescent="0.25">
      <c r="AB1477" s="381"/>
    </row>
    <row r="1478" spans="28:28" x14ac:dyDescent="0.25">
      <c r="AB1478" s="381"/>
    </row>
    <row r="1479" spans="28:28" x14ac:dyDescent="0.25">
      <c r="AB1479" s="381"/>
    </row>
    <row r="1480" spans="28:28" x14ac:dyDescent="0.25">
      <c r="AB1480" s="381"/>
    </row>
    <row r="1481" spans="28:28" x14ac:dyDescent="0.25">
      <c r="AB1481" s="381"/>
    </row>
    <row r="1482" spans="28:28" x14ac:dyDescent="0.25">
      <c r="AB1482" s="381"/>
    </row>
    <row r="1483" spans="28:28" x14ac:dyDescent="0.25">
      <c r="AB1483" s="381"/>
    </row>
    <row r="1484" spans="28:28" x14ac:dyDescent="0.25">
      <c r="AB1484" s="381"/>
    </row>
    <row r="1485" spans="28:28" x14ac:dyDescent="0.25">
      <c r="AB1485" s="381"/>
    </row>
    <row r="1486" spans="28:28" x14ac:dyDescent="0.25">
      <c r="AB1486" s="381"/>
    </row>
    <row r="1487" spans="28:28" x14ac:dyDescent="0.25">
      <c r="AB1487" s="381"/>
    </row>
    <row r="1488" spans="28:28" x14ac:dyDescent="0.25">
      <c r="AB1488" s="381"/>
    </row>
    <row r="1489" spans="28:28" x14ac:dyDescent="0.25">
      <c r="AB1489" s="381"/>
    </row>
    <row r="1490" spans="28:28" x14ac:dyDescent="0.25">
      <c r="AB1490" s="381"/>
    </row>
    <row r="1491" spans="28:28" x14ac:dyDescent="0.25">
      <c r="AB1491" s="381"/>
    </row>
    <row r="1492" spans="28:28" x14ac:dyDescent="0.25">
      <c r="AB1492" s="381"/>
    </row>
    <row r="1493" spans="28:28" x14ac:dyDescent="0.25">
      <c r="AB1493" s="381"/>
    </row>
    <row r="1494" spans="28:28" x14ac:dyDescent="0.25">
      <c r="AB1494" s="381"/>
    </row>
    <row r="1495" spans="28:28" x14ac:dyDescent="0.25">
      <c r="AB1495" s="381"/>
    </row>
    <row r="1496" spans="28:28" x14ac:dyDescent="0.25">
      <c r="AB1496" s="381"/>
    </row>
    <row r="1497" spans="28:28" x14ac:dyDescent="0.25">
      <c r="AB1497" s="381"/>
    </row>
    <row r="1498" spans="28:28" x14ac:dyDescent="0.25">
      <c r="AB1498" s="381"/>
    </row>
    <row r="1499" spans="28:28" x14ac:dyDescent="0.25">
      <c r="AB1499" s="381"/>
    </row>
    <row r="1500" spans="28:28" x14ac:dyDescent="0.25">
      <c r="AB1500" s="381"/>
    </row>
    <row r="1501" spans="28:28" x14ac:dyDescent="0.25">
      <c r="AB1501" s="381"/>
    </row>
    <row r="1502" spans="28:28" x14ac:dyDescent="0.25">
      <c r="AB1502" s="381"/>
    </row>
    <row r="1503" spans="28:28" x14ac:dyDescent="0.25">
      <c r="AB1503" s="381"/>
    </row>
    <row r="1504" spans="28:28" x14ac:dyDescent="0.25">
      <c r="AB1504" s="381"/>
    </row>
    <row r="1505" spans="28:28" x14ac:dyDescent="0.25">
      <c r="AB1505" s="381"/>
    </row>
    <row r="1506" spans="28:28" x14ac:dyDescent="0.25">
      <c r="AB1506" s="381"/>
    </row>
    <row r="1507" spans="28:28" x14ac:dyDescent="0.25">
      <c r="AB1507" s="381"/>
    </row>
    <row r="1508" spans="28:28" x14ac:dyDescent="0.25">
      <c r="AB1508" s="381"/>
    </row>
    <row r="1509" spans="28:28" x14ac:dyDescent="0.25">
      <c r="AB1509" s="381"/>
    </row>
    <row r="1510" spans="28:28" x14ac:dyDescent="0.25">
      <c r="AB1510" s="381"/>
    </row>
    <row r="1511" spans="28:28" x14ac:dyDescent="0.25">
      <c r="AB1511" s="381"/>
    </row>
    <row r="1512" spans="28:28" x14ac:dyDescent="0.25">
      <c r="AB1512" s="381"/>
    </row>
    <row r="1513" spans="28:28" x14ac:dyDescent="0.25">
      <c r="AB1513" s="381"/>
    </row>
    <row r="1514" spans="28:28" x14ac:dyDescent="0.25">
      <c r="AB1514" s="381"/>
    </row>
    <row r="1515" spans="28:28" x14ac:dyDescent="0.25">
      <c r="AB1515" s="381"/>
    </row>
    <row r="1516" spans="28:28" x14ac:dyDescent="0.25">
      <c r="AB1516" s="381"/>
    </row>
    <row r="1517" spans="28:28" x14ac:dyDescent="0.25">
      <c r="AB1517" s="381"/>
    </row>
    <row r="1518" spans="28:28" x14ac:dyDescent="0.25">
      <c r="AB1518" s="381"/>
    </row>
    <row r="1519" spans="28:28" x14ac:dyDescent="0.25">
      <c r="AB1519" s="381"/>
    </row>
    <row r="1520" spans="28:28" x14ac:dyDescent="0.25">
      <c r="AB1520" s="381"/>
    </row>
    <row r="1521" spans="28:28" x14ac:dyDescent="0.25">
      <c r="AB1521" s="381"/>
    </row>
    <row r="1522" spans="28:28" x14ac:dyDescent="0.25">
      <c r="AB1522" s="381"/>
    </row>
    <row r="1523" spans="28:28" x14ac:dyDescent="0.25">
      <c r="AB1523" s="381"/>
    </row>
    <row r="1524" spans="28:28" x14ac:dyDescent="0.25">
      <c r="AB1524" s="381"/>
    </row>
    <row r="1525" spans="28:28" x14ac:dyDescent="0.25">
      <c r="AB1525" s="381"/>
    </row>
    <row r="1526" spans="28:28" x14ac:dyDescent="0.25">
      <c r="AB1526" s="381"/>
    </row>
    <row r="1527" spans="28:28" x14ac:dyDescent="0.25">
      <c r="AB1527" s="381"/>
    </row>
    <row r="1528" spans="28:28" x14ac:dyDescent="0.25">
      <c r="AB1528" s="381"/>
    </row>
    <row r="1529" spans="28:28" x14ac:dyDescent="0.25">
      <c r="AB1529" s="381"/>
    </row>
    <row r="1530" spans="28:28" x14ac:dyDescent="0.25">
      <c r="AB1530" s="381"/>
    </row>
    <row r="1531" spans="28:28" x14ac:dyDescent="0.25">
      <c r="AB1531" s="381"/>
    </row>
    <row r="1532" spans="28:28" x14ac:dyDescent="0.25">
      <c r="AB1532" s="381"/>
    </row>
    <row r="1533" spans="28:28" x14ac:dyDescent="0.25">
      <c r="AB1533" s="381"/>
    </row>
    <row r="1534" spans="28:28" x14ac:dyDescent="0.25">
      <c r="AB1534" s="381"/>
    </row>
    <row r="1535" spans="28:28" x14ac:dyDescent="0.25">
      <c r="AB1535" s="381"/>
    </row>
    <row r="1536" spans="28:28" x14ac:dyDescent="0.25">
      <c r="AB1536" s="381"/>
    </row>
    <row r="1537" spans="28:28" x14ac:dyDescent="0.25">
      <c r="AB1537" s="381"/>
    </row>
    <row r="1538" spans="28:28" x14ac:dyDescent="0.25">
      <c r="AB1538" s="381"/>
    </row>
    <row r="1539" spans="28:28" x14ac:dyDescent="0.25">
      <c r="AB1539" s="381"/>
    </row>
    <row r="1540" spans="28:28" x14ac:dyDescent="0.25">
      <c r="AB1540" s="381"/>
    </row>
    <row r="1541" spans="28:28" x14ac:dyDescent="0.25">
      <c r="AB1541" s="381"/>
    </row>
    <row r="1542" spans="28:28" x14ac:dyDescent="0.25">
      <c r="AB1542" s="381"/>
    </row>
    <row r="1543" spans="28:28" x14ac:dyDescent="0.25">
      <c r="AB1543" s="381"/>
    </row>
    <row r="1544" spans="28:28" x14ac:dyDescent="0.25">
      <c r="AB1544" s="381"/>
    </row>
    <row r="1545" spans="28:28" x14ac:dyDescent="0.25">
      <c r="AB1545" s="381"/>
    </row>
    <row r="1546" spans="28:28" x14ac:dyDescent="0.25">
      <c r="AB1546" s="381"/>
    </row>
    <row r="1547" spans="28:28" x14ac:dyDescent="0.25">
      <c r="AB1547" s="381"/>
    </row>
    <row r="1548" spans="28:28" x14ac:dyDescent="0.25">
      <c r="AB1548" s="381"/>
    </row>
    <row r="1549" spans="28:28" x14ac:dyDescent="0.25">
      <c r="AB1549" s="381"/>
    </row>
    <row r="1550" spans="28:28" x14ac:dyDescent="0.25">
      <c r="AB1550" s="381"/>
    </row>
    <row r="1551" spans="28:28" x14ac:dyDescent="0.25">
      <c r="AB1551" s="381"/>
    </row>
    <row r="1552" spans="28:28" x14ac:dyDescent="0.25">
      <c r="AB1552" s="381"/>
    </row>
    <row r="1553" spans="28:28" x14ac:dyDescent="0.25">
      <c r="AB1553" s="381"/>
    </row>
    <row r="1554" spans="28:28" x14ac:dyDescent="0.25">
      <c r="AB1554" s="381"/>
    </row>
    <row r="1555" spans="28:28" x14ac:dyDescent="0.25">
      <c r="AB1555" s="381"/>
    </row>
    <row r="1556" spans="28:28" x14ac:dyDescent="0.25">
      <c r="AB1556" s="381"/>
    </row>
    <row r="1557" spans="28:28" x14ac:dyDescent="0.25">
      <c r="AB1557" s="381"/>
    </row>
    <row r="1558" spans="28:28" x14ac:dyDescent="0.25">
      <c r="AB1558" s="381"/>
    </row>
    <row r="1559" spans="28:28" x14ac:dyDescent="0.25">
      <c r="AB1559" s="381"/>
    </row>
    <row r="1560" spans="28:28" x14ac:dyDescent="0.25">
      <c r="AB1560" s="381"/>
    </row>
    <row r="1561" spans="28:28" x14ac:dyDescent="0.25">
      <c r="AB1561" s="381"/>
    </row>
    <row r="1562" spans="28:28" x14ac:dyDescent="0.25">
      <c r="AB1562" s="381"/>
    </row>
    <row r="1563" spans="28:28" x14ac:dyDescent="0.25">
      <c r="AB1563" s="381"/>
    </row>
    <row r="1564" spans="28:28" x14ac:dyDescent="0.25">
      <c r="AB1564" s="381"/>
    </row>
    <row r="1565" spans="28:28" x14ac:dyDescent="0.25">
      <c r="AB1565" s="381"/>
    </row>
    <row r="1566" spans="28:28" x14ac:dyDescent="0.25">
      <c r="AB1566" s="381"/>
    </row>
    <row r="1567" spans="28:28" x14ac:dyDescent="0.25">
      <c r="AB1567" s="381"/>
    </row>
    <row r="1568" spans="28:28" x14ac:dyDescent="0.25">
      <c r="AB1568" s="381"/>
    </row>
    <row r="1569" spans="28:28" x14ac:dyDescent="0.25">
      <c r="AB1569" s="381"/>
    </row>
    <row r="1570" spans="28:28" x14ac:dyDescent="0.25">
      <c r="AB1570" s="381"/>
    </row>
    <row r="1571" spans="28:28" x14ac:dyDescent="0.25">
      <c r="AB1571" s="381"/>
    </row>
    <row r="1572" spans="28:28" x14ac:dyDescent="0.25">
      <c r="AB1572" s="381"/>
    </row>
    <row r="1573" spans="28:28" x14ac:dyDescent="0.25">
      <c r="AB1573" s="381"/>
    </row>
    <row r="1574" spans="28:28" x14ac:dyDescent="0.25">
      <c r="AB1574" s="381"/>
    </row>
    <row r="1575" spans="28:28" x14ac:dyDescent="0.25">
      <c r="AB1575" s="381"/>
    </row>
    <row r="1576" spans="28:28" x14ac:dyDescent="0.25">
      <c r="AB1576" s="381"/>
    </row>
    <row r="1577" spans="28:28" x14ac:dyDescent="0.25">
      <c r="AB1577" s="381"/>
    </row>
    <row r="1578" spans="28:28" x14ac:dyDescent="0.25">
      <c r="AB1578" s="381"/>
    </row>
    <row r="1579" spans="28:28" x14ac:dyDescent="0.25">
      <c r="AB1579" s="381"/>
    </row>
    <row r="1580" spans="28:28" x14ac:dyDescent="0.25">
      <c r="AB1580" s="381"/>
    </row>
    <row r="1581" spans="28:28" x14ac:dyDescent="0.25">
      <c r="AB1581" s="381"/>
    </row>
    <row r="1582" spans="28:28" x14ac:dyDescent="0.25">
      <c r="AB1582" s="381"/>
    </row>
    <row r="1583" spans="28:28" x14ac:dyDescent="0.25">
      <c r="AB1583" s="381"/>
    </row>
    <row r="1584" spans="28:28" x14ac:dyDescent="0.25">
      <c r="AB1584" s="381"/>
    </row>
    <row r="1585" spans="28:28" x14ac:dyDescent="0.25">
      <c r="AB1585" s="381"/>
    </row>
    <row r="1586" spans="28:28" x14ac:dyDescent="0.25">
      <c r="AB1586" s="381"/>
    </row>
    <row r="1587" spans="28:28" x14ac:dyDescent="0.25">
      <c r="AB1587" s="381"/>
    </row>
    <row r="1588" spans="28:28" x14ac:dyDescent="0.25">
      <c r="AB1588" s="381"/>
    </row>
    <row r="1589" spans="28:28" x14ac:dyDescent="0.25">
      <c r="AB1589" s="381"/>
    </row>
    <row r="1590" spans="28:28" x14ac:dyDescent="0.25">
      <c r="AB1590" s="381"/>
    </row>
    <row r="1591" spans="28:28" x14ac:dyDescent="0.25">
      <c r="AB1591" s="381"/>
    </row>
    <row r="1592" spans="28:28" x14ac:dyDescent="0.25">
      <c r="AB1592" s="381"/>
    </row>
    <row r="1593" spans="28:28" x14ac:dyDescent="0.25">
      <c r="AB1593" s="381"/>
    </row>
    <row r="1594" spans="28:28" x14ac:dyDescent="0.25">
      <c r="AB1594" s="381"/>
    </row>
    <row r="1595" spans="28:28" x14ac:dyDescent="0.25">
      <c r="AB1595" s="381"/>
    </row>
    <row r="1596" spans="28:28" x14ac:dyDescent="0.25">
      <c r="AB1596" s="381"/>
    </row>
    <row r="1597" spans="28:28" x14ac:dyDescent="0.25">
      <c r="AB1597" s="381"/>
    </row>
    <row r="1598" spans="28:28" x14ac:dyDescent="0.25">
      <c r="AB1598" s="381"/>
    </row>
    <row r="1599" spans="28:28" x14ac:dyDescent="0.25">
      <c r="AB1599" s="381"/>
    </row>
    <row r="1600" spans="28:28" x14ac:dyDescent="0.25">
      <c r="AB1600" s="381"/>
    </row>
    <row r="1601" spans="28:28" x14ac:dyDescent="0.25">
      <c r="AB1601" s="381"/>
    </row>
    <row r="1602" spans="28:28" x14ac:dyDescent="0.25">
      <c r="AB1602" s="381"/>
    </row>
    <row r="1603" spans="28:28" x14ac:dyDescent="0.25">
      <c r="AB1603" s="381"/>
    </row>
    <row r="1604" spans="28:28" x14ac:dyDescent="0.25">
      <c r="AB1604" s="381"/>
    </row>
    <row r="1605" spans="28:28" x14ac:dyDescent="0.25">
      <c r="AB1605" s="381"/>
    </row>
    <row r="1606" spans="28:28" x14ac:dyDescent="0.25">
      <c r="AB1606" s="381"/>
    </row>
    <row r="1607" spans="28:28" x14ac:dyDescent="0.25">
      <c r="AB1607" s="381"/>
    </row>
    <row r="1608" spans="28:28" x14ac:dyDescent="0.25">
      <c r="AB1608" s="381"/>
    </row>
    <row r="1609" spans="28:28" x14ac:dyDescent="0.25">
      <c r="AB1609" s="381"/>
    </row>
    <row r="1610" spans="28:28" x14ac:dyDescent="0.25">
      <c r="AB1610" s="381"/>
    </row>
    <row r="1611" spans="28:28" x14ac:dyDescent="0.25">
      <c r="AB1611" s="381"/>
    </row>
    <row r="1612" spans="28:28" x14ac:dyDescent="0.25">
      <c r="AB1612" s="381"/>
    </row>
    <row r="1613" spans="28:28" x14ac:dyDescent="0.25">
      <c r="AB1613" s="381"/>
    </row>
    <row r="1614" spans="28:28" x14ac:dyDescent="0.25">
      <c r="AB1614" s="381"/>
    </row>
    <row r="1615" spans="28:28" x14ac:dyDescent="0.25">
      <c r="AB1615" s="381"/>
    </row>
    <row r="1616" spans="28:28" x14ac:dyDescent="0.25">
      <c r="AB1616" s="381"/>
    </row>
    <row r="1617" spans="28:28" x14ac:dyDescent="0.25">
      <c r="AB1617" s="381"/>
    </row>
    <row r="1618" spans="28:28" x14ac:dyDescent="0.25">
      <c r="AB1618" s="381"/>
    </row>
    <row r="1619" spans="28:28" x14ac:dyDescent="0.25">
      <c r="AB1619" s="381"/>
    </row>
    <row r="1620" spans="28:28" x14ac:dyDescent="0.25">
      <c r="AB1620" s="381"/>
    </row>
    <row r="1621" spans="28:28" x14ac:dyDescent="0.25">
      <c r="AB1621" s="381"/>
    </row>
    <row r="1622" spans="28:28" x14ac:dyDescent="0.25">
      <c r="AB1622" s="381"/>
    </row>
    <row r="1623" spans="28:28" x14ac:dyDescent="0.25">
      <c r="AB1623" s="381"/>
    </row>
    <row r="1624" spans="28:28" x14ac:dyDescent="0.25">
      <c r="AB1624" s="381"/>
    </row>
    <row r="1625" spans="28:28" x14ac:dyDescent="0.25">
      <c r="AB1625" s="381"/>
    </row>
    <row r="1626" spans="28:28" x14ac:dyDescent="0.25">
      <c r="AB1626" s="381"/>
    </row>
    <row r="1627" spans="28:28" x14ac:dyDescent="0.25">
      <c r="AB1627" s="381"/>
    </row>
    <row r="1628" spans="28:28" x14ac:dyDescent="0.25">
      <c r="AB1628" s="381"/>
    </row>
    <row r="1629" spans="28:28" x14ac:dyDescent="0.25">
      <c r="AB1629" s="381"/>
    </row>
    <row r="1630" spans="28:28" x14ac:dyDescent="0.25">
      <c r="AB1630" s="381"/>
    </row>
    <row r="1631" spans="28:28" x14ac:dyDescent="0.25">
      <c r="AB1631" s="381"/>
    </row>
    <row r="1632" spans="28:28" x14ac:dyDescent="0.25">
      <c r="AB1632" s="381"/>
    </row>
    <row r="1633" spans="28:28" x14ac:dyDescent="0.25">
      <c r="AB1633" s="381"/>
    </row>
    <row r="1634" spans="28:28" x14ac:dyDescent="0.25">
      <c r="AB1634" s="381"/>
    </row>
    <row r="1635" spans="28:28" x14ac:dyDescent="0.25">
      <c r="AB1635" s="381"/>
    </row>
    <row r="1636" spans="28:28" x14ac:dyDescent="0.25">
      <c r="AB1636" s="381"/>
    </row>
    <row r="1637" spans="28:28" x14ac:dyDescent="0.25">
      <c r="AB1637" s="381"/>
    </row>
    <row r="1638" spans="28:28" x14ac:dyDescent="0.25">
      <c r="AB1638" s="381"/>
    </row>
    <row r="1639" spans="28:28" x14ac:dyDescent="0.25">
      <c r="AB1639" s="381"/>
    </row>
    <row r="1640" spans="28:28" x14ac:dyDescent="0.25">
      <c r="AB1640" s="381"/>
    </row>
    <row r="1641" spans="28:28" x14ac:dyDescent="0.25">
      <c r="AB1641" s="381"/>
    </row>
    <row r="1642" spans="28:28" x14ac:dyDescent="0.25">
      <c r="AB1642" s="381"/>
    </row>
    <row r="1643" spans="28:28" x14ac:dyDescent="0.25">
      <c r="AB1643" s="381"/>
    </row>
    <row r="1644" spans="28:28" x14ac:dyDescent="0.25">
      <c r="AB1644" s="381"/>
    </row>
    <row r="1645" spans="28:28" x14ac:dyDescent="0.25">
      <c r="AB1645" s="381"/>
    </row>
    <row r="1646" spans="28:28" x14ac:dyDescent="0.25">
      <c r="AB1646" s="381"/>
    </row>
    <row r="1647" spans="28:28" x14ac:dyDescent="0.25">
      <c r="AB1647" s="381"/>
    </row>
    <row r="1648" spans="28:28" x14ac:dyDescent="0.25">
      <c r="AB1648" s="381"/>
    </row>
    <row r="1649" spans="28:28" x14ac:dyDescent="0.25">
      <c r="AB1649" s="381"/>
    </row>
    <row r="1650" spans="28:28" x14ac:dyDescent="0.25">
      <c r="AB1650" s="381"/>
    </row>
    <row r="1651" spans="28:28" x14ac:dyDescent="0.25">
      <c r="AB1651" s="381"/>
    </row>
    <row r="1652" spans="28:28" x14ac:dyDescent="0.25">
      <c r="AB1652" s="381"/>
    </row>
    <row r="1653" spans="28:28" x14ac:dyDescent="0.25">
      <c r="AB1653" s="381"/>
    </row>
    <row r="1654" spans="28:28" x14ac:dyDescent="0.25">
      <c r="AB1654" s="381"/>
    </row>
    <row r="1655" spans="28:28" x14ac:dyDescent="0.25">
      <c r="AB1655" s="381"/>
    </row>
    <row r="1656" spans="28:28" x14ac:dyDescent="0.25">
      <c r="AB1656" s="381"/>
    </row>
    <row r="1657" spans="28:28" x14ac:dyDescent="0.25">
      <c r="AB1657" s="381"/>
    </row>
    <row r="1658" spans="28:28" x14ac:dyDescent="0.25">
      <c r="AB1658" s="381"/>
    </row>
    <row r="1659" spans="28:28" x14ac:dyDescent="0.25">
      <c r="AB1659" s="381"/>
    </row>
    <row r="1660" spans="28:28" x14ac:dyDescent="0.25">
      <c r="AB1660" s="381"/>
    </row>
    <row r="1661" spans="28:28" x14ac:dyDescent="0.25">
      <c r="AB1661" s="381"/>
    </row>
    <row r="1662" spans="28:28" x14ac:dyDescent="0.25">
      <c r="AB1662" s="381"/>
    </row>
    <row r="1663" spans="28:28" x14ac:dyDescent="0.25">
      <c r="AB1663" s="381"/>
    </row>
    <row r="1664" spans="28:28" x14ac:dyDescent="0.25">
      <c r="AB1664" s="381"/>
    </row>
    <row r="1665" spans="28:28" x14ac:dyDescent="0.25">
      <c r="AB1665" s="381"/>
    </row>
    <row r="1666" spans="28:28" x14ac:dyDescent="0.25">
      <c r="AB1666" s="381"/>
    </row>
    <row r="1667" spans="28:28" x14ac:dyDescent="0.25">
      <c r="AB1667" s="381"/>
    </row>
    <row r="1668" spans="28:28" x14ac:dyDescent="0.25">
      <c r="AB1668" s="381"/>
    </row>
    <row r="1669" spans="28:28" x14ac:dyDescent="0.25">
      <c r="AB1669" s="381"/>
    </row>
    <row r="1670" spans="28:28" x14ac:dyDescent="0.25">
      <c r="AB1670" s="381"/>
    </row>
    <row r="1671" spans="28:28" x14ac:dyDescent="0.25">
      <c r="AB1671" s="381"/>
    </row>
    <row r="1672" spans="28:28" x14ac:dyDescent="0.25">
      <c r="AB1672" s="381"/>
    </row>
    <row r="1673" spans="28:28" x14ac:dyDescent="0.25">
      <c r="AB1673" s="381"/>
    </row>
    <row r="1674" spans="28:28" x14ac:dyDescent="0.25">
      <c r="AB1674" s="381"/>
    </row>
    <row r="1675" spans="28:28" x14ac:dyDescent="0.25">
      <c r="AB1675" s="381"/>
    </row>
    <row r="1676" spans="28:28" x14ac:dyDescent="0.25">
      <c r="AB1676" s="381"/>
    </row>
    <row r="1677" spans="28:28" x14ac:dyDescent="0.25">
      <c r="AB1677" s="381"/>
    </row>
    <row r="1678" spans="28:28" x14ac:dyDescent="0.25">
      <c r="AB1678" s="381"/>
    </row>
    <row r="1679" spans="28:28" x14ac:dyDescent="0.25">
      <c r="AB1679" s="381"/>
    </row>
    <row r="1680" spans="28:28" x14ac:dyDescent="0.25">
      <c r="AB1680" s="381"/>
    </row>
    <row r="1681" spans="28:28" x14ac:dyDescent="0.25">
      <c r="AB1681" s="381"/>
    </row>
    <row r="1682" spans="28:28" x14ac:dyDescent="0.25">
      <c r="AB1682" s="381"/>
    </row>
    <row r="1683" spans="28:28" x14ac:dyDescent="0.25">
      <c r="AB1683" s="381"/>
    </row>
    <row r="1684" spans="28:28" x14ac:dyDescent="0.25">
      <c r="AB1684" s="381"/>
    </row>
    <row r="1685" spans="28:28" x14ac:dyDescent="0.25">
      <c r="AB1685" s="381"/>
    </row>
    <row r="1686" spans="28:28" x14ac:dyDescent="0.25">
      <c r="AB1686" s="381"/>
    </row>
    <row r="1687" spans="28:28" x14ac:dyDescent="0.25">
      <c r="AB1687" s="381"/>
    </row>
    <row r="1688" spans="28:28" x14ac:dyDescent="0.25">
      <c r="AB1688" s="381"/>
    </row>
    <row r="1689" spans="28:28" x14ac:dyDescent="0.25">
      <c r="AB1689" s="381"/>
    </row>
    <row r="1690" spans="28:28" x14ac:dyDescent="0.25">
      <c r="AB1690" s="381"/>
    </row>
    <row r="1691" spans="28:28" x14ac:dyDescent="0.25">
      <c r="AB1691" s="381"/>
    </row>
    <row r="1692" spans="28:28" x14ac:dyDescent="0.25">
      <c r="AB1692" s="381"/>
    </row>
    <row r="1693" spans="28:28" x14ac:dyDescent="0.25">
      <c r="AB1693" s="381"/>
    </row>
    <row r="1694" spans="28:28" x14ac:dyDescent="0.25">
      <c r="AB1694" s="381"/>
    </row>
    <row r="1695" spans="28:28" x14ac:dyDescent="0.25">
      <c r="AB1695" s="381"/>
    </row>
    <row r="1696" spans="28:28" x14ac:dyDescent="0.25">
      <c r="AB1696" s="381"/>
    </row>
    <row r="1697" spans="28:28" x14ac:dyDescent="0.25">
      <c r="AB1697" s="381"/>
    </row>
    <row r="1698" spans="28:28" x14ac:dyDescent="0.25">
      <c r="AB1698" s="381"/>
    </row>
    <row r="1699" spans="28:28" x14ac:dyDescent="0.25">
      <c r="AB1699" s="381"/>
    </row>
    <row r="1700" spans="28:28" x14ac:dyDescent="0.25">
      <c r="AB1700" s="381"/>
    </row>
    <row r="1701" spans="28:28" x14ac:dyDescent="0.25">
      <c r="AB1701" s="381"/>
    </row>
    <row r="1702" spans="28:28" x14ac:dyDescent="0.25">
      <c r="AB1702" s="381"/>
    </row>
    <row r="1703" spans="28:28" x14ac:dyDescent="0.25">
      <c r="AB1703" s="381"/>
    </row>
    <row r="1704" spans="28:28" x14ac:dyDescent="0.25">
      <c r="AB1704" s="381"/>
    </row>
    <row r="1705" spans="28:28" x14ac:dyDescent="0.25">
      <c r="AB1705" s="381"/>
    </row>
    <row r="1706" spans="28:28" x14ac:dyDescent="0.25">
      <c r="AB1706" s="381"/>
    </row>
    <row r="1707" spans="28:28" x14ac:dyDescent="0.25">
      <c r="AB1707" s="381"/>
    </row>
    <row r="1708" spans="28:28" x14ac:dyDescent="0.25">
      <c r="AB1708" s="381"/>
    </row>
    <row r="1709" spans="28:28" x14ac:dyDescent="0.25">
      <c r="AB1709" s="381"/>
    </row>
    <row r="1710" spans="28:28" x14ac:dyDescent="0.25">
      <c r="AB1710" s="381"/>
    </row>
    <row r="1711" spans="28:28" x14ac:dyDescent="0.25">
      <c r="AB1711" s="381"/>
    </row>
    <row r="1712" spans="28:28" x14ac:dyDescent="0.25">
      <c r="AB1712" s="381"/>
    </row>
    <row r="1713" spans="28:28" x14ac:dyDescent="0.25">
      <c r="AB1713" s="381"/>
    </row>
    <row r="1714" spans="28:28" x14ac:dyDescent="0.25">
      <c r="AB1714" s="381"/>
    </row>
    <row r="1715" spans="28:28" x14ac:dyDescent="0.25">
      <c r="AB1715" s="381"/>
    </row>
    <row r="1716" spans="28:28" x14ac:dyDescent="0.25">
      <c r="AB1716" s="381"/>
    </row>
    <row r="1717" spans="28:28" x14ac:dyDescent="0.25">
      <c r="AB1717" s="381"/>
    </row>
    <row r="1718" spans="28:28" x14ac:dyDescent="0.25">
      <c r="AB1718" s="381"/>
    </row>
    <row r="1719" spans="28:28" x14ac:dyDescent="0.25">
      <c r="AB1719" s="381"/>
    </row>
    <row r="1720" spans="28:28" x14ac:dyDescent="0.25">
      <c r="AB1720" s="381"/>
    </row>
    <row r="1721" spans="28:28" x14ac:dyDescent="0.25">
      <c r="AB1721" s="381"/>
    </row>
    <row r="1722" spans="28:28" x14ac:dyDescent="0.25">
      <c r="AB1722" s="381"/>
    </row>
    <row r="1723" spans="28:28" x14ac:dyDescent="0.25">
      <c r="AB1723" s="381"/>
    </row>
    <row r="1724" spans="28:28" x14ac:dyDescent="0.25">
      <c r="AB1724" s="381"/>
    </row>
    <row r="1725" spans="28:28" x14ac:dyDescent="0.25">
      <c r="AB1725" s="381"/>
    </row>
    <row r="1726" spans="28:28" x14ac:dyDescent="0.25">
      <c r="AB1726" s="381"/>
    </row>
    <row r="1727" spans="28:28" x14ac:dyDescent="0.25">
      <c r="AB1727" s="381"/>
    </row>
    <row r="1728" spans="28:28" x14ac:dyDescent="0.25">
      <c r="AB1728" s="381"/>
    </row>
    <row r="1729" spans="28:28" x14ac:dyDescent="0.25">
      <c r="AB1729" s="381"/>
    </row>
    <row r="1730" spans="28:28" x14ac:dyDescent="0.25">
      <c r="AB1730" s="381"/>
    </row>
    <row r="1731" spans="28:28" x14ac:dyDescent="0.25">
      <c r="AB1731" s="381"/>
    </row>
    <row r="1732" spans="28:28" x14ac:dyDescent="0.25">
      <c r="AB1732" s="381"/>
    </row>
    <row r="1733" spans="28:28" x14ac:dyDescent="0.25">
      <c r="AB1733" s="381"/>
    </row>
    <row r="1734" spans="28:28" x14ac:dyDescent="0.25">
      <c r="AB1734" s="381"/>
    </row>
    <row r="1735" spans="28:28" x14ac:dyDescent="0.25">
      <c r="AB1735" s="381"/>
    </row>
    <row r="1736" spans="28:28" x14ac:dyDescent="0.25">
      <c r="AB1736" s="381"/>
    </row>
    <row r="1737" spans="28:28" x14ac:dyDescent="0.25">
      <c r="AB1737" s="381"/>
    </row>
    <row r="1738" spans="28:28" x14ac:dyDescent="0.25">
      <c r="AB1738" s="381"/>
    </row>
    <row r="1739" spans="28:28" x14ac:dyDescent="0.25">
      <c r="AB1739" s="381"/>
    </row>
    <row r="1740" spans="28:28" x14ac:dyDescent="0.25">
      <c r="AB1740" s="381"/>
    </row>
    <row r="1741" spans="28:28" x14ac:dyDescent="0.25">
      <c r="AB1741" s="381"/>
    </row>
    <row r="1742" spans="28:28" x14ac:dyDescent="0.25">
      <c r="AB1742" s="381"/>
    </row>
    <row r="1743" spans="28:28" x14ac:dyDescent="0.25">
      <c r="AB1743" s="381"/>
    </row>
    <row r="1744" spans="28:28" x14ac:dyDescent="0.25">
      <c r="AB1744" s="381"/>
    </row>
    <row r="1745" spans="28:28" x14ac:dyDescent="0.25">
      <c r="AB1745" s="381"/>
    </row>
    <row r="1746" spans="28:28" x14ac:dyDescent="0.25">
      <c r="AB1746" s="381"/>
    </row>
    <row r="1747" spans="28:28" x14ac:dyDescent="0.25">
      <c r="AB1747" s="381"/>
    </row>
    <row r="1748" spans="28:28" x14ac:dyDescent="0.25">
      <c r="AB1748" s="381"/>
    </row>
    <row r="1749" spans="28:28" x14ac:dyDescent="0.25">
      <c r="AB1749" s="381"/>
    </row>
    <row r="1750" spans="28:28" x14ac:dyDescent="0.25">
      <c r="AB1750" s="381"/>
    </row>
    <row r="1751" spans="28:28" x14ac:dyDescent="0.25">
      <c r="AB1751" s="381"/>
    </row>
    <row r="1752" spans="28:28" x14ac:dyDescent="0.25">
      <c r="AB1752" s="381"/>
    </row>
    <row r="1753" spans="28:28" x14ac:dyDescent="0.25">
      <c r="AB1753" s="381"/>
    </row>
    <row r="1754" spans="28:28" x14ac:dyDescent="0.25">
      <c r="AB1754" s="381"/>
    </row>
    <row r="1755" spans="28:28" x14ac:dyDescent="0.25">
      <c r="AB1755" s="381"/>
    </row>
    <row r="1756" spans="28:28" x14ac:dyDescent="0.25">
      <c r="AB1756" s="381"/>
    </row>
    <row r="1757" spans="28:28" x14ac:dyDescent="0.25">
      <c r="AB1757" s="381"/>
    </row>
    <row r="1758" spans="28:28" x14ac:dyDescent="0.25">
      <c r="AB1758" s="381"/>
    </row>
    <row r="1759" spans="28:28" x14ac:dyDescent="0.25">
      <c r="AB1759" s="381"/>
    </row>
    <row r="1760" spans="28:28" x14ac:dyDescent="0.25">
      <c r="AB1760" s="381"/>
    </row>
    <row r="1761" spans="28:28" x14ac:dyDescent="0.25">
      <c r="AB1761" s="381"/>
    </row>
    <row r="1762" spans="28:28" x14ac:dyDescent="0.25">
      <c r="AB1762" s="381"/>
    </row>
    <row r="1763" spans="28:28" x14ac:dyDescent="0.25">
      <c r="AB1763" s="381"/>
    </row>
    <row r="1764" spans="28:28" x14ac:dyDescent="0.25">
      <c r="AB1764" s="381"/>
    </row>
    <row r="1765" spans="28:28" x14ac:dyDescent="0.25">
      <c r="AB1765" s="381"/>
    </row>
    <row r="1766" spans="28:28" x14ac:dyDescent="0.25">
      <c r="AB1766" s="381"/>
    </row>
    <row r="1767" spans="28:28" x14ac:dyDescent="0.25">
      <c r="AB1767" s="381"/>
    </row>
    <row r="1768" spans="28:28" x14ac:dyDescent="0.25">
      <c r="AB1768" s="381"/>
    </row>
    <row r="1769" spans="28:28" x14ac:dyDescent="0.25">
      <c r="AB1769" s="381"/>
    </row>
    <row r="1770" spans="28:28" x14ac:dyDescent="0.25">
      <c r="AB1770" s="381"/>
    </row>
    <row r="1771" spans="28:28" x14ac:dyDescent="0.25">
      <c r="AB1771" s="381"/>
    </row>
    <row r="1772" spans="28:28" x14ac:dyDescent="0.25">
      <c r="AB1772" s="381"/>
    </row>
    <row r="1773" spans="28:28" x14ac:dyDescent="0.25">
      <c r="AB1773" s="381"/>
    </row>
    <row r="1774" spans="28:28" x14ac:dyDescent="0.25">
      <c r="AB1774" s="381"/>
    </row>
    <row r="1775" spans="28:28" x14ac:dyDescent="0.25">
      <c r="AB1775" s="381"/>
    </row>
    <row r="1776" spans="28:28" x14ac:dyDescent="0.25">
      <c r="AB1776" s="381"/>
    </row>
    <row r="1777" spans="28:28" x14ac:dyDescent="0.25">
      <c r="AB1777" s="381"/>
    </row>
    <row r="1778" spans="28:28" x14ac:dyDescent="0.25">
      <c r="AB1778" s="381"/>
    </row>
    <row r="1779" spans="28:28" x14ac:dyDescent="0.25">
      <c r="AB1779" s="381"/>
    </row>
    <row r="1780" spans="28:28" x14ac:dyDescent="0.25">
      <c r="AB1780" s="381"/>
    </row>
    <row r="1781" spans="28:28" x14ac:dyDescent="0.25">
      <c r="AB1781" s="381"/>
    </row>
    <row r="1782" spans="28:28" x14ac:dyDescent="0.25">
      <c r="AB1782" s="381"/>
    </row>
    <row r="1783" spans="28:28" x14ac:dyDescent="0.25">
      <c r="AB1783" s="381"/>
    </row>
    <row r="1784" spans="28:28" x14ac:dyDescent="0.25">
      <c r="AB1784" s="381"/>
    </row>
    <row r="1785" spans="28:28" x14ac:dyDescent="0.25">
      <c r="AB1785" s="381"/>
    </row>
    <row r="1786" spans="28:28" x14ac:dyDescent="0.25">
      <c r="AB1786" s="381"/>
    </row>
    <row r="1787" spans="28:28" x14ac:dyDescent="0.25">
      <c r="AB1787" s="381"/>
    </row>
    <row r="1788" spans="28:28" x14ac:dyDescent="0.25">
      <c r="AB1788" s="381"/>
    </row>
    <row r="1789" spans="28:28" x14ac:dyDescent="0.25">
      <c r="AB1789" s="381"/>
    </row>
    <row r="1790" spans="28:28" x14ac:dyDescent="0.25">
      <c r="AB1790" s="381"/>
    </row>
    <row r="1791" spans="28:28" x14ac:dyDescent="0.25">
      <c r="AB1791" s="381"/>
    </row>
    <row r="1792" spans="28:28" x14ac:dyDescent="0.25">
      <c r="AB1792" s="381"/>
    </row>
    <row r="1793" spans="28:28" x14ac:dyDescent="0.25">
      <c r="AB1793" s="381"/>
    </row>
    <row r="1794" spans="28:28" x14ac:dyDescent="0.25">
      <c r="AB1794" s="381"/>
    </row>
    <row r="1795" spans="28:28" x14ac:dyDescent="0.25">
      <c r="AB1795" s="381"/>
    </row>
    <row r="1796" spans="28:28" x14ac:dyDescent="0.25">
      <c r="AB1796" s="381"/>
    </row>
    <row r="1797" spans="28:28" x14ac:dyDescent="0.25">
      <c r="AB1797" s="381"/>
    </row>
    <row r="1798" spans="28:28" x14ac:dyDescent="0.25">
      <c r="AB1798" s="381"/>
    </row>
    <row r="1799" spans="28:28" x14ac:dyDescent="0.25">
      <c r="AB1799" s="381"/>
    </row>
    <row r="1800" spans="28:28" x14ac:dyDescent="0.25">
      <c r="AB1800" s="381"/>
    </row>
    <row r="1801" spans="28:28" x14ac:dyDescent="0.25">
      <c r="AB1801" s="381"/>
    </row>
    <row r="1802" spans="28:28" x14ac:dyDescent="0.25">
      <c r="AB1802" s="381"/>
    </row>
    <row r="1803" spans="28:28" x14ac:dyDescent="0.25">
      <c r="AB1803" s="381"/>
    </row>
    <row r="1804" spans="28:28" x14ac:dyDescent="0.25">
      <c r="AB1804" s="381"/>
    </row>
    <row r="1805" spans="28:28" x14ac:dyDescent="0.25">
      <c r="AB1805" s="381"/>
    </row>
    <row r="1806" spans="28:28" x14ac:dyDescent="0.25">
      <c r="AB1806" s="381"/>
    </row>
    <row r="1807" spans="28:28" x14ac:dyDescent="0.25">
      <c r="AB1807" s="381"/>
    </row>
    <row r="1808" spans="28:28" x14ac:dyDescent="0.25">
      <c r="AB1808" s="381"/>
    </row>
    <row r="1809" spans="28:28" x14ac:dyDescent="0.25">
      <c r="AB1809" s="381"/>
    </row>
    <row r="1810" spans="28:28" x14ac:dyDescent="0.25">
      <c r="AB1810" s="381"/>
    </row>
    <row r="1811" spans="28:28" x14ac:dyDescent="0.25">
      <c r="AB1811" s="381"/>
    </row>
    <row r="1812" spans="28:28" x14ac:dyDescent="0.25">
      <c r="AB1812" s="381"/>
    </row>
    <row r="1813" spans="28:28" x14ac:dyDescent="0.25">
      <c r="AB1813" s="381"/>
    </row>
    <row r="1814" spans="28:28" x14ac:dyDescent="0.25">
      <c r="AB1814" s="381"/>
    </row>
    <row r="1815" spans="28:28" x14ac:dyDescent="0.25">
      <c r="AB1815" s="381"/>
    </row>
    <row r="1816" spans="28:28" x14ac:dyDescent="0.25">
      <c r="AB1816" s="381"/>
    </row>
    <row r="1817" spans="28:28" x14ac:dyDescent="0.25">
      <c r="AB1817" s="381"/>
    </row>
    <row r="1818" spans="28:28" x14ac:dyDescent="0.25">
      <c r="AB1818" s="381"/>
    </row>
    <row r="1819" spans="28:28" x14ac:dyDescent="0.25">
      <c r="AB1819" s="381"/>
    </row>
    <row r="1820" spans="28:28" x14ac:dyDescent="0.25">
      <c r="AB1820" s="381"/>
    </row>
    <row r="1821" spans="28:28" x14ac:dyDescent="0.25">
      <c r="AB1821" s="381"/>
    </row>
    <row r="1822" spans="28:28" x14ac:dyDescent="0.25">
      <c r="AB1822" s="381"/>
    </row>
    <row r="1823" spans="28:28" x14ac:dyDescent="0.25">
      <c r="AB1823" s="381"/>
    </row>
    <row r="1824" spans="28:28" x14ac:dyDescent="0.25">
      <c r="AB1824" s="381"/>
    </row>
    <row r="1825" spans="28:28" x14ac:dyDescent="0.25">
      <c r="AB1825" s="381"/>
    </row>
    <row r="1826" spans="28:28" x14ac:dyDescent="0.25">
      <c r="AB1826" s="381"/>
    </row>
    <row r="1827" spans="28:28" x14ac:dyDescent="0.25">
      <c r="AB1827" s="381"/>
    </row>
    <row r="1828" spans="28:28" x14ac:dyDescent="0.25">
      <c r="AB1828" s="381"/>
    </row>
    <row r="1829" spans="28:28" x14ac:dyDescent="0.25">
      <c r="AB1829" s="381"/>
    </row>
    <row r="1830" spans="28:28" x14ac:dyDescent="0.25">
      <c r="AB1830" s="381"/>
    </row>
    <row r="1831" spans="28:28" x14ac:dyDescent="0.25">
      <c r="AB1831" s="381"/>
    </row>
    <row r="1832" spans="28:28" x14ac:dyDescent="0.25">
      <c r="AB1832" s="381"/>
    </row>
    <row r="1833" spans="28:28" x14ac:dyDescent="0.25">
      <c r="AB1833" s="381"/>
    </row>
    <row r="1834" spans="28:28" x14ac:dyDescent="0.25">
      <c r="AB1834" s="381"/>
    </row>
    <row r="1835" spans="28:28" x14ac:dyDescent="0.25">
      <c r="AB1835" s="381"/>
    </row>
    <row r="1836" spans="28:28" x14ac:dyDescent="0.25">
      <c r="AB1836" s="381"/>
    </row>
    <row r="1837" spans="28:28" x14ac:dyDescent="0.25">
      <c r="AB1837" s="381"/>
    </row>
    <row r="1838" spans="28:28" x14ac:dyDescent="0.25">
      <c r="AB1838" s="381"/>
    </row>
    <row r="1839" spans="28:28" x14ac:dyDescent="0.25">
      <c r="AB1839" s="381"/>
    </row>
    <row r="1840" spans="28:28" x14ac:dyDescent="0.25">
      <c r="AB1840" s="381"/>
    </row>
    <row r="1841" spans="28:28" x14ac:dyDescent="0.25">
      <c r="AB1841" s="381"/>
    </row>
    <row r="1842" spans="28:28" x14ac:dyDescent="0.25">
      <c r="AB1842" s="381"/>
    </row>
    <row r="1843" spans="28:28" x14ac:dyDescent="0.25">
      <c r="AB1843" s="381"/>
    </row>
    <row r="1844" spans="28:28" x14ac:dyDescent="0.25">
      <c r="AB1844" s="381"/>
    </row>
    <row r="1845" spans="28:28" x14ac:dyDescent="0.25">
      <c r="AB1845" s="381"/>
    </row>
    <row r="1846" spans="28:28" x14ac:dyDescent="0.25">
      <c r="AB1846" s="381"/>
    </row>
    <row r="1847" spans="28:28" x14ac:dyDescent="0.25">
      <c r="AB1847" s="381"/>
    </row>
    <row r="1848" spans="28:28" x14ac:dyDescent="0.25">
      <c r="AB1848" s="381"/>
    </row>
    <row r="1849" spans="28:28" x14ac:dyDescent="0.25">
      <c r="AB1849" s="381"/>
    </row>
    <row r="1850" spans="28:28" x14ac:dyDescent="0.25">
      <c r="AB1850" s="381"/>
    </row>
    <row r="1851" spans="28:28" x14ac:dyDescent="0.25">
      <c r="AB1851" s="381"/>
    </row>
    <row r="1852" spans="28:28" x14ac:dyDescent="0.25">
      <c r="AB1852" s="381"/>
    </row>
    <row r="1853" spans="28:28" x14ac:dyDescent="0.25">
      <c r="AB1853" s="381"/>
    </row>
    <row r="1854" spans="28:28" x14ac:dyDescent="0.25">
      <c r="AB1854" s="381"/>
    </row>
    <row r="1855" spans="28:28" x14ac:dyDescent="0.25">
      <c r="AB1855" s="381"/>
    </row>
    <row r="1856" spans="28:28" x14ac:dyDescent="0.25">
      <c r="AB1856" s="381"/>
    </row>
    <row r="1857" spans="28:28" x14ac:dyDescent="0.25">
      <c r="AB1857" s="381"/>
    </row>
    <row r="1858" spans="28:28" x14ac:dyDescent="0.25">
      <c r="AB1858" s="381"/>
    </row>
    <row r="1859" spans="28:28" x14ac:dyDescent="0.25">
      <c r="AB1859" s="381"/>
    </row>
    <row r="1860" spans="28:28" x14ac:dyDescent="0.25">
      <c r="AB1860" s="381"/>
    </row>
    <row r="1861" spans="28:28" x14ac:dyDescent="0.25">
      <c r="AB1861" s="381"/>
    </row>
    <row r="1862" spans="28:28" x14ac:dyDescent="0.25">
      <c r="AB1862" s="381"/>
    </row>
    <row r="1863" spans="28:28" x14ac:dyDescent="0.25">
      <c r="AB1863" s="381"/>
    </row>
    <row r="1864" spans="28:28" x14ac:dyDescent="0.25">
      <c r="AB1864" s="381"/>
    </row>
    <row r="1865" spans="28:28" x14ac:dyDescent="0.25">
      <c r="AB1865" s="381"/>
    </row>
    <row r="1866" spans="28:28" x14ac:dyDescent="0.25">
      <c r="AB1866" s="381"/>
    </row>
    <row r="1867" spans="28:28" x14ac:dyDescent="0.25">
      <c r="AB1867" s="381"/>
    </row>
    <row r="1868" spans="28:28" x14ac:dyDescent="0.25">
      <c r="AB1868" s="381"/>
    </row>
    <row r="1869" spans="28:28" x14ac:dyDescent="0.25">
      <c r="AB1869" s="381"/>
    </row>
    <row r="1870" spans="28:28" x14ac:dyDescent="0.25">
      <c r="AB1870" s="381"/>
    </row>
    <row r="1871" spans="28:28" x14ac:dyDescent="0.25">
      <c r="AB1871" s="381"/>
    </row>
    <row r="1872" spans="28:28" x14ac:dyDescent="0.25">
      <c r="AB1872" s="381"/>
    </row>
    <row r="1873" spans="28:28" x14ac:dyDescent="0.25">
      <c r="AB1873" s="381"/>
    </row>
    <row r="1874" spans="28:28" x14ac:dyDescent="0.25">
      <c r="AB1874" s="381"/>
    </row>
    <row r="1875" spans="28:28" x14ac:dyDescent="0.25">
      <c r="AB1875" s="381"/>
    </row>
    <row r="1876" spans="28:28" x14ac:dyDescent="0.25">
      <c r="AB1876" s="381"/>
    </row>
    <row r="1877" spans="28:28" x14ac:dyDescent="0.25">
      <c r="AB1877" s="381"/>
    </row>
    <row r="1878" spans="28:28" x14ac:dyDescent="0.25">
      <c r="AB1878" s="381"/>
    </row>
    <row r="1879" spans="28:28" x14ac:dyDescent="0.25">
      <c r="AB1879" s="381"/>
    </row>
    <row r="1880" spans="28:28" x14ac:dyDescent="0.25">
      <c r="AB1880" s="381"/>
    </row>
    <row r="1881" spans="28:28" x14ac:dyDescent="0.25">
      <c r="AB1881" s="381"/>
    </row>
    <row r="1882" spans="28:28" x14ac:dyDescent="0.25">
      <c r="AB1882" s="381"/>
    </row>
    <row r="1883" spans="28:28" x14ac:dyDescent="0.25">
      <c r="AB1883" s="381"/>
    </row>
    <row r="1884" spans="28:28" x14ac:dyDescent="0.25">
      <c r="AB1884" s="381"/>
    </row>
    <row r="1885" spans="28:28" x14ac:dyDescent="0.25">
      <c r="AB1885" s="381"/>
    </row>
    <row r="1886" spans="28:28" x14ac:dyDescent="0.25">
      <c r="AB1886" s="381"/>
    </row>
    <row r="1887" spans="28:28" x14ac:dyDescent="0.25">
      <c r="AB1887" s="381"/>
    </row>
    <row r="1888" spans="28:28" x14ac:dyDescent="0.25">
      <c r="AB1888" s="381"/>
    </row>
    <row r="1889" spans="28:28" x14ac:dyDescent="0.25">
      <c r="AB1889" s="381"/>
    </row>
    <row r="1890" spans="28:28" x14ac:dyDescent="0.25">
      <c r="AB1890" s="381"/>
    </row>
    <row r="1891" spans="28:28" x14ac:dyDescent="0.25">
      <c r="AB1891" s="381"/>
    </row>
    <row r="1892" spans="28:28" x14ac:dyDescent="0.25">
      <c r="AB1892" s="381"/>
    </row>
    <row r="1893" spans="28:28" x14ac:dyDescent="0.25">
      <c r="AB1893" s="381"/>
    </row>
    <row r="1894" spans="28:28" x14ac:dyDescent="0.25">
      <c r="AB1894" s="381"/>
    </row>
    <row r="1895" spans="28:28" x14ac:dyDescent="0.25">
      <c r="AB1895" s="381"/>
    </row>
    <row r="1896" spans="28:28" x14ac:dyDescent="0.25">
      <c r="AB1896" s="381"/>
    </row>
    <row r="1897" spans="28:28" x14ac:dyDescent="0.25">
      <c r="AB1897" s="381"/>
    </row>
    <row r="1898" spans="28:28" x14ac:dyDescent="0.25">
      <c r="AB1898" s="381"/>
    </row>
    <row r="1899" spans="28:28" x14ac:dyDescent="0.25">
      <c r="AB1899" s="381"/>
    </row>
    <row r="1900" spans="28:28" x14ac:dyDescent="0.25">
      <c r="AB1900" s="381"/>
    </row>
    <row r="1901" spans="28:28" x14ac:dyDescent="0.25">
      <c r="AB1901" s="381"/>
    </row>
    <row r="1902" spans="28:28" x14ac:dyDescent="0.25">
      <c r="AB1902" s="381"/>
    </row>
    <row r="1903" spans="28:28" x14ac:dyDescent="0.25">
      <c r="AB1903" s="381"/>
    </row>
  </sheetData>
  <mergeCells count="1">
    <mergeCell ref="X8:X9"/>
  </mergeCells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1BD4CE-A6E8-4C79-9716-847A98B34FCA}">
  <sheetPr codeName="Sheet23"/>
  <dimension ref="A1:AD111"/>
  <sheetViews>
    <sheetView topLeftCell="A2" workbookViewId="0">
      <selection activeCell="A2" sqref="A2"/>
    </sheetView>
  </sheetViews>
  <sheetFormatPr defaultColWidth="9.26953125" defaultRowHeight="12.5" zeroHeight="1" x14ac:dyDescent="0.25"/>
  <cols>
    <col min="1" max="1" width="2.7265625" style="186" customWidth="1"/>
    <col min="2" max="2" width="36.81640625" style="47" bestFit="1" customWidth="1"/>
    <col min="3" max="4" width="11.7265625" style="47" customWidth="1"/>
    <col min="5" max="5" width="7.7265625" style="47" customWidth="1"/>
    <col min="6" max="6" width="2.7265625" style="186" customWidth="1"/>
    <col min="7" max="7" width="2.7265625" style="47" customWidth="1"/>
    <col min="8" max="8" width="28.7265625" style="47" bestFit="1" customWidth="1"/>
    <col min="9" max="10" width="11.7265625" style="47" customWidth="1"/>
    <col min="11" max="11" width="7.7265625" style="47" customWidth="1"/>
    <col min="12" max="12" width="2.7265625" style="186" customWidth="1"/>
    <col min="13" max="13" width="2.7265625" style="47" customWidth="1"/>
    <col min="14" max="14" width="42.1796875" style="47" bestFit="1" customWidth="1"/>
    <col min="15" max="16" width="11.7265625" style="47" customWidth="1"/>
    <col min="17" max="17" width="7.7265625" style="47" customWidth="1"/>
    <col min="18" max="19" width="2.7265625" style="186" customWidth="1"/>
    <col min="20" max="20" width="47.54296875" style="47" bestFit="1" customWidth="1"/>
    <col min="21" max="21" width="13.26953125" style="47" customWidth="1"/>
    <col min="22" max="24" width="20.7265625" style="47" customWidth="1"/>
    <col min="25" max="26" width="2.7265625" style="186" customWidth="1"/>
    <col min="27" max="27" width="10.7265625" style="47" customWidth="1"/>
    <col min="28" max="28" width="33.7265625" style="47" bestFit="1" customWidth="1"/>
    <col min="29" max="30" width="2.7265625" style="186" customWidth="1"/>
    <col min="31" max="33" width="9.26953125" style="47"/>
    <col min="34" max="34" width="41.7265625" style="47" bestFit="1" customWidth="1"/>
    <col min="35" max="35" width="8.453125" style="47" bestFit="1" customWidth="1"/>
    <col min="36" max="38" width="25.7265625" style="47" customWidth="1"/>
    <col min="39" max="16384" width="9.26953125" style="47"/>
  </cols>
  <sheetData>
    <row r="1" spans="1:30" x14ac:dyDescent="0.25">
      <c r="B1" s="187"/>
      <c r="C1" s="187"/>
      <c r="D1" s="187"/>
      <c r="E1" s="187"/>
      <c r="F1" s="301"/>
      <c r="G1" s="188"/>
    </row>
    <row r="2" spans="1:30" x14ac:dyDescent="0.25"/>
    <row r="3" spans="1:30" x14ac:dyDescent="0.25"/>
    <row r="4" spans="1:30" x14ac:dyDescent="0.25">
      <c r="B4" s="685" t="s">
        <v>811</v>
      </c>
      <c r="C4" s="685"/>
      <c r="D4" s="685"/>
      <c r="E4" s="685"/>
      <c r="H4" s="685" t="s">
        <v>812</v>
      </c>
      <c r="I4" s="685"/>
      <c r="J4" s="685"/>
      <c r="K4" s="685"/>
      <c r="N4" s="685" t="s">
        <v>813</v>
      </c>
      <c r="O4" s="685"/>
      <c r="P4" s="685"/>
      <c r="Q4" s="685"/>
      <c r="T4" s="691" t="s">
        <v>814</v>
      </c>
      <c r="U4" s="694"/>
      <c r="V4" s="694"/>
      <c r="W4" s="694"/>
      <c r="X4" s="692"/>
      <c r="AA4" s="691" t="s">
        <v>815</v>
      </c>
      <c r="AB4" s="692"/>
    </row>
    <row r="5" spans="1:30" s="190" customFormat="1" ht="25.5" thickBot="1" x14ac:dyDescent="0.3">
      <c r="A5" s="189"/>
      <c r="B5" s="148" t="s">
        <v>816</v>
      </c>
      <c r="C5" s="148" t="s">
        <v>817</v>
      </c>
      <c r="D5" s="148" t="s">
        <v>818</v>
      </c>
      <c r="E5" s="148" t="s">
        <v>819</v>
      </c>
      <c r="F5" s="189"/>
      <c r="H5" s="148" t="s">
        <v>816</v>
      </c>
      <c r="I5" s="148" t="s">
        <v>817</v>
      </c>
      <c r="J5" s="148" t="s">
        <v>818</v>
      </c>
      <c r="K5" s="148" t="s">
        <v>819</v>
      </c>
      <c r="L5" s="189"/>
      <c r="N5" s="148" t="s">
        <v>816</v>
      </c>
      <c r="O5" s="148" t="s">
        <v>817</v>
      </c>
      <c r="P5" s="148" t="s">
        <v>818</v>
      </c>
      <c r="Q5" s="148" t="s">
        <v>819</v>
      </c>
      <c r="R5" s="186"/>
      <c r="S5" s="186"/>
      <c r="T5" s="316" t="s">
        <v>820</v>
      </c>
      <c r="U5" s="316" t="s">
        <v>821</v>
      </c>
      <c r="V5" s="317" t="s">
        <v>822</v>
      </c>
      <c r="W5" s="317" t="s">
        <v>823</v>
      </c>
      <c r="X5" s="317" t="s">
        <v>824</v>
      </c>
      <c r="Y5" s="186"/>
      <c r="Z5" s="186"/>
      <c r="AA5" s="215" t="s">
        <v>825</v>
      </c>
      <c r="AB5" s="216" t="s">
        <v>826</v>
      </c>
      <c r="AC5" s="189"/>
      <c r="AD5" s="189"/>
    </row>
    <row r="6" spans="1:30" ht="12.75" customHeight="1" thickTop="1" x14ac:dyDescent="0.25">
      <c r="A6" s="686" t="s">
        <v>827</v>
      </c>
      <c r="B6" s="191" t="s">
        <v>828</v>
      </c>
      <c r="C6" s="192" t="s">
        <v>829</v>
      </c>
      <c r="D6" s="192">
        <f>MIN(static_sbed_clear_vert, static_sbed_clear_line)</f>
        <v>0</v>
      </c>
      <c r="E6" s="208" t="s">
        <v>830</v>
      </c>
      <c r="G6" s="686" t="s">
        <v>827</v>
      </c>
      <c r="H6" s="197"/>
      <c r="I6" s="192"/>
      <c r="J6" s="194"/>
      <c r="K6" s="208"/>
      <c r="M6" s="686" t="s">
        <v>827</v>
      </c>
      <c r="N6" s="191" t="s">
        <v>831</v>
      </c>
      <c r="O6" s="194">
        <f>puxada_stage_value_ar - static_stage_value_ar</f>
        <v>0</v>
      </c>
      <c r="P6" s="194" t="str">
        <f>IF(_dvc_type=2, ROUND(O6, 2), "")</f>
        <v/>
      </c>
      <c r="Q6" s="175" t="s">
        <v>830</v>
      </c>
      <c r="T6" s="318" t="s">
        <v>832</v>
      </c>
      <c r="U6" s="311" t="s">
        <v>588</v>
      </c>
      <c r="V6" s="425">
        <f>ROUNDUP(Auxiliar1!E120,2)</f>
        <v>0</v>
      </c>
      <c r="W6" s="308">
        <f>ROUNDUP(Auxiliar1!$D$120,2)</f>
        <v>0</v>
      </c>
      <c r="X6" s="308">
        <f>ROUNDUP(Auxiliar1!$F$120,2)*(-1)</f>
        <v>0</v>
      </c>
      <c r="AA6" s="194" t="str">
        <f>Auxiliar2!AK2</f>
        <v/>
      </c>
      <c r="AB6" s="194" t="str">
        <f>IF(ISNUMBER(tbl_buoyancy[[#This Row],[Empuxo]]), Auxiliar2!AL2, "")</f>
        <v/>
      </c>
    </row>
    <row r="7" spans="1:30" ht="13" x14ac:dyDescent="0.25">
      <c r="A7" s="687"/>
      <c r="B7" s="191" t="s">
        <v>833</v>
      </c>
      <c r="C7" s="192">
        <f>IF(_dvc_type=2, Auxiliar2!K10, IF(_dvc_type=1,  D26, ""))</f>
        <v>0</v>
      </c>
      <c r="D7" s="196">
        <f>ROUND(C7,2)</f>
        <v>0</v>
      </c>
      <c r="E7" s="208" t="s">
        <v>830</v>
      </c>
      <c r="G7" s="687"/>
      <c r="H7" s="197"/>
      <c r="I7" s="192"/>
      <c r="J7" s="194"/>
      <c r="K7" s="208"/>
      <c r="M7" s="687"/>
      <c r="N7" s="356"/>
      <c r="O7" s="194"/>
      <c r="P7" s="194"/>
      <c r="Q7" s="175"/>
      <c r="T7" s="319" t="s">
        <v>834</v>
      </c>
      <c r="U7" s="167" t="s">
        <v>588</v>
      </c>
      <c r="V7" s="307">
        <f>ROUNDUP(Auxiliar1!E119,2)</f>
        <v>0</v>
      </c>
      <c r="W7" s="194">
        <f>ROUNDUP(Auxiliar1!$D$119,2)</f>
        <v>0</v>
      </c>
      <c r="X7" s="194">
        <f>ROUNDUP(Auxiliar1!$F$119,2)*(-1)</f>
        <v>0</v>
      </c>
      <c r="AA7" s="194" t="str">
        <f>Auxiliar2!AK3</f>
        <v/>
      </c>
      <c r="AB7" s="194" t="str">
        <f>IF(ISNUMBER(tbl_buoyancy[[#This Row],[Empuxo]]), Auxiliar2!AL3, "")</f>
        <v/>
      </c>
    </row>
    <row r="8" spans="1:30" ht="13.5" thickBot="1" x14ac:dyDescent="0.3">
      <c r="A8" s="687"/>
      <c r="B8" s="198" t="s">
        <v>835</v>
      </c>
      <c r="C8" s="192">
        <f>IF(_dvc_type=2,  Auxiliar2!K9, IF(_dvc_type=1, D27, ""))</f>
        <v>0</v>
      </c>
      <c r="D8" s="196">
        <f>ROUND(C8,2)</f>
        <v>0</v>
      </c>
      <c r="E8" s="208" t="s">
        <v>830</v>
      </c>
      <c r="G8" s="687"/>
      <c r="H8" s="197"/>
      <c r="I8" s="192"/>
      <c r="J8" s="194"/>
      <c r="K8" s="208"/>
      <c r="M8" s="687"/>
      <c r="N8" s="356"/>
      <c r="O8" s="194"/>
      <c r="P8" s="194"/>
      <c r="Q8" s="175"/>
      <c r="T8" s="320" t="s">
        <v>836</v>
      </c>
      <c r="U8" s="309" t="s">
        <v>588</v>
      </c>
      <c r="V8" s="312">
        <f>ROUNDUP(Auxiliar1!K119,2)</f>
        <v>0</v>
      </c>
      <c r="W8" s="428">
        <f>ROUNDUP(Auxiliar1!J119,2)</f>
        <v>0</v>
      </c>
      <c r="X8" s="428">
        <f>ROUNDUP(Auxiliar1!L119,2)*(-1)</f>
        <v>0</v>
      </c>
      <c r="AA8" s="194" t="str">
        <f>Auxiliar2!AK4</f>
        <v/>
      </c>
      <c r="AB8" s="194" t="str">
        <f>IF(ISNUMBER(tbl_buoyancy[[#This Row],[Empuxo]]), Auxiliar2!AL4, "")</f>
        <v/>
      </c>
    </row>
    <row r="9" spans="1:30" ht="13" x14ac:dyDescent="0.25">
      <c r="A9" s="687"/>
      <c r="B9" s="193" t="s">
        <v>801</v>
      </c>
      <c r="C9" s="192" t="e">
        <f ca="1">Auxiliar2!K8</f>
        <v>#N/A</v>
      </c>
      <c r="D9" s="192" t="str">
        <f>IF(_dvc_type=2,ROUND(C9,2), "IGNORAR")</f>
        <v>IGNORAR</v>
      </c>
      <c r="E9" s="208" t="s">
        <v>830</v>
      </c>
      <c r="G9" s="687"/>
      <c r="H9" s="197"/>
      <c r="I9" s="192"/>
      <c r="J9" s="194"/>
      <c r="K9" s="208"/>
      <c r="M9" s="687"/>
      <c r="N9" s="356"/>
      <c r="O9" s="194"/>
      <c r="P9" s="194"/>
      <c r="Q9" s="175"/>
      <c r="T9" s="426" t="s">
        <v>837</v>
      </c>
      <c r="U9" s="311" t="s">
        <v>588</v>
      </c>
      <c r="V9" s="425">
        <f>ROUNDUP(Auxiliar1!E20,2)</f>
        <v>0</v>
      </c>
      <c r="W9" s="308">
        <f>ROUNDUP(Auxiliar1!$D$20,2)</f>
        <v>0</v>
      </c>
      <c r="X9" s="308">
        <f>ROUNDUP(Auxiliar1!$F$20,2)*(-1)</f>
        <v>0</v>
      </c>
      <c r="AA9" s="194" t="str">
        <f>Auxiliar2!AK5</f>
        <v/>
      </c>
      <c r="AB9" s="194" t="str">
        <f>IF(ISNUMBER(tbl_buoyancy[[#This Row],[Empuxo]]), Auxiliar2!AL5, "")</f>
        <v/>
      </c>
    </row>
    <row r="10" spans="1:30" ht="13" x14ac:dyDescent="0.25">
      <c r="A10" s="687"/>
      <c r="B10" s="193" t="s">
        <v>838</v>
      </c>
      <c r="C10" s="323" t="e">
        <f>Auxiliar2!I5 - Auxiliar2!I4</f>
        <v>#N/A</v>
      </c>
      <c r="D10" s="192" t="str">
        <f>IF(_dvc_type=2,ROUND(C10,2), "IGNORAR")</f>
        <v>IGNORAR</v>
      </c>
      <c r="E10" s="208" t="s">
        <v>830</v>
      </c>
      <c r="G10" s="687"/>
      <c r="H10" s="197"/>
      <c r="I10" s="192"/>
      <c r="J10" s="194"/>
      <c r="K10" s="208"/>
      <c r="M10" s="687"/>
      <c r="N10" s="356"/>
      <c r="O10" s="194"/>
      <c r="P10" s="194"/>
      <c r="Q10" s="175"/>
      <c r="T10" s="319" t="s">
        <v>839</v>
      </c>
      <c r="U10" s="167" t="s">
        <v>588</v>
      </c>
      <c r="V10" s="307">
        <f>ROUNDUP(Auxiliar1!E19,2)</f>
        <v>0</v>
      </c>
      <c r="W10" s="194">
        <f>ROUNDUP(Auxiliar1!$D$19,2)</f>
        <v>0</v>
      </c>
      <c r="X10" s="194">
        <f>ROUNDUP(Auxiliar1!$F$19,2)*(-1)</f>
        <v>0</v>
      </c>
      <c r="AA10" s="194" t="str">
        <f>Auxiliar2!AK6</f>
        <v/>
      </c>
      <c r="AB10" s="194" t="str">
        <f>IF(ISNUMBER(tbl_buoyancy[[#This Row],[Empuxo]]), Auxiliar2!AL6, "")</f>
        <v/>
      </c>
    </row>
    <row r="11" spans="1:30" ht="13.5" thickBot="1" x14ac:dyDescent="0.3">
      <c r="A11" s="687"/>
      <c r="B11" s="193" t="s">
        <v>840</v>
      </c>
      <c r="C11" s="323" t="e">
        <f>Auxiliar2!J4 - Auxiliar2!J5</f>
        <v>#N/A</v>
      </c>
      <c r="D11" s="192" t="str">
        <f>IF(_dvc_type=2,ROUND(C11,2), "IGNORAR")</f>
        <v>IGNORAR</v>
      </c>
      <c r="E11" s="208" t="s">
        <v>830</v>
      </c>
      <c r="G11" s="687"/>
      <c r="H11" s="197"/>
      <c r="I11" s="192"/>
      <c r="J11" s="194"/>
      <c r="K11" s="208"/>
      <c r="M11" s="687"/>
      <c r="N11" s="356"/>
      <c r="O11" s="194"/>
      <c r="P11" s="194"/>
      <c r="Q11" s="175"/>
      <c r="T11" s="320" t="s">
        <v>841</v>
      </c>
      <c r="U11" s="310" t="s">
        <v>588</v>
      </c>
      <c r="V11" s="307">
        <f>ROUNDUP(Auxiliar1!K19,2)</f>
        <v>0</v>
      </c>
      <c r="W11" s="313">
        <f>ROUNDUP(Auxiliar1!J19,2)</f>
        <v>0</v>
      </c>
      <c r="X11" s="313">
        <f>ROUNDUP(Auxiliar1!$L$19,2)*(-1)</f>
        <v>0</v>
      </c>
      <c r="AA11" s="194" t="str">
        <f>Auxiliar2!AK7</f>
        <v/>
      </c>
      <c r="AB11" s="194" t="str">
        <f>IF(ISNUMBER(tbl_buoyancy[[#This Row],[Empuxo]]), Auxiliar2!AL7, "")</f>
        <v/>
      </c>
    </row>
    <row r="12" spans="1:30" ht="12.75" customHeight="1" x14ac:dyDescent="0.25">
      <c r="A12" s="687"/>
      <c r="B12" s="191" t="s">
        <v>842</v>
      </c>
      <c r="C12" s="194">
        <f>_lda+D31</f>
        <v>0</v>
      </c>
      <c r="D12" s="194">
        <f>ROUND(C12, 2)</f>
        <v>0</v>
      </c>
      <c r="E12" s="175" t="s">
        <v>830</v>
      </c>
      <c r="G12" s="687"/>
      <c r="H12" s="199"/>
      <c r="I12" s="192"/>
      <c r="J12" s="194"/>
      <c r="K12" s="208"/>
      <c r="M12" s="687"/>
      <c r="N12" s="356"/>
      <c r="O12" s="194"/>
      <c r="P12" s="194"/>
      <c r="Q12" s="175"/>
      <c r="T12" s="321" t="s">
        <v>843</v>
      </c>
      <c r="U12" s="306" t="s">
        <v>844</v>
      </c>
      <c r="V12" s="314">
        <f>ROUNDUP(Auxiliar1!E39,2)</f>
        <v>0</v>
      </c>
      <c r="W12" s="315">
        <f>ROUNDUP(Auxiliar1!D39,2)</f>
        <v>0</v>
      </c>
      <c r="X12" s="315">
        <f>ROUNDUP(Auxiliar1!F39,2)*(-1)</f>
        <v>0</v>
      </c>
      <c r="AA12" s="194" t="str">
        <f>Auxiliar2!AK8</f>
        <v/>
      </c>
      <c r="AB12" s="194" t="str">
        <f>IF(ISNUMBER(tbl_buoyancy[[#This Row],[Empuxo]]), Auxiliar2!AL8, "")</f>
        <v/>
      </c>
    </row>
    <row r="13" spans="1:30" ht="12.75" customHeight="1" x14ac:dyDescent="0.25">
      <c r="A13" s="687"/>
      <c r="B13" s="193" t="s">
        <v>845</v>
      </c>
      <c r="C13" s="383"/>
      <c r="D13" s="194" t="str">
        <f>IF(_dvc_type=2,ROUND(C13,2), "IGNORAR")</f>
        <v>IGNORAR</v>
      </c>
      <c r="E13" s="208" t="s">
        <v>830</v>
      </c>
      <c r="G13" s="687"/>
      <c r="H13" s="197"/>
      <c r="I13" s="192"/>
      <c r="J13" s="194"/>
      <c r="K13" s="207"/>
      <c r="M13" s="687"/>
      <c r="N13" s="356"/>
      <c r="O13" s="194"/>
      <c r="P13" s="194"/>
      <c r="Q13" s="175"/>
      <c r="T13" s="175" t="s">
        <v>846</v>
      </c>
      <c r="U13" s="209" t="s">
        <v>847</v>
      </c>
      <c r="V13" s="307" t="e">
        <f>IF(ISBLANK(Auxiliar1!E59), NA(), ROUNDUP(Auxiliar1!E59,2))</f>
        <v>#N/A</v>
      </c>
      <c r="W13" s="194" t="e">
        <f>IF(ISBLANK(Auxiliar1!D59), NA(), ROUNDUP(Auxiliar1!D59,2))</f>
        <v>#N/A</v>
      </c>
      <c r="X13" s="194" t="e">
        <f>IF(ISBLANK(Auxiliar1!F59), NA(), ROUNDUP(Auxiliar1!F59,2)*(-1))</f>
        <v>#N/A</v>
      </c>
      <c r="AA13" s="194" t="str">
        <f>Auxiliar2!AK9</f>
        <v/>
      </c>
      <c r="AB13" s="194" t="str">
        <f>IF(ISNUMBER(tbl_buoyancy[[#This Row],[Empuxo]]), Auxiliar2!AL9, "")</f>
        <v/>
      </c>
    </row>
    <row r="14" spans="1:30" x14ac:dyDescent="0.25">
      <c r="A14" s="687"/>
      <c r="B14" s="193" t="s">
        <v>848</v>
      </c>
      <c r="C14" s="192" t="e">
        <f>static_comp_susp-static_dist_tdp_flange</f>
        <v>#VALUE!</v>
      </c>
      <c r="D14" s="192" t="str">
        <f>IF(_dvc_type=2,ROUNDDOWN(C14,2), "IGNORAR")</f>
        <v>IGNORAR</v>
      </c>
      <c r="E14" s="208" t="s">
        <v>830</v>
      </c>
      <c r="G14" s="687"/>
      <c r="H14" s="194"/>
      <c r="I14" s="194"/>
      <c r="J14" s="194"/>
      <c r="K14" s="209"/>
      <c r="M14" s="687"/>
      <c r="N14" s="191"/>
      <c r="O14" s="194"/>
      <c r="P14" s="194"/>
      <c r="Q14" s="175"/>
      <c r="T14" s="175" t="s">
        <v>849</v>
      </c>
      <c r="U14" s="209" t="s">
        <v>850</v>
      </c>
      <c r="V14" s="307" t="e">
        <f>IF(ISBLANK(Auxiliar1!E79), NA(), ROUNDUP(Auxiliar1!E79,2))</f>
        <v>#N/A</v>
      </c>
      <c r="W14" s="194" t="e">
        <f>IF(ISBLANK(Auxiliar1!D79), NA(), ROUNDUP(Auxiliar1!D79,2))</f>
        <v>#N/A</v>
      </c>
      <c r="X14" s="194" t="e">
        <f>IF(ISBLANK(Auxiliar1!F79), NA(), ROUNDUP(Auxiliar1!F79,2)*(-1))</f>
        <v>#N/A</v>
      </c>
      <c r="AA14" s="194" t="str">
        <f>Auxiliar2!AK10</f>
        <v/>
      </c>
      <c r="AB14" s="194" t="str">
        <f>IF(ISNUMBER(tbl_buoyancy[[#This Row],[Empuxo]]), Auxiliar2!AL10, "")</f>
        <v/>
      </c>
    </row>
    <row r="15" spans="1:30" ht="13" thickBot="1" x14ac:dyDescent="0.3">
      <c r="A15" s="687"/>
      <c r="B15" s="191" t="s">
        <v>851</v>
      </c>
      <c r="C15" s="194">
        <f>ABS(D43-D41)</f>
        <v>0</v>
      </c>
      <c r="D15" s="192">
        <f>ROUND(C15,2)</f>
        <v>0</v>
      </c>
      <c r="E15" s="175" t="s">
        <v>830</v>
      </c>
      <c r="G15" s="687"/>
      <c r="H15" s="194"/>
      <c r="I15" s="194"/>
      <c r="J15" s="194"/>
      <c r="K15" s="209"/>
      <c r="M15" s="693"/>
      <c r="N15" s="191"/>
      <c r="O15" s="194"/>
      <c r="P15" s="194"/>
      <c r="Q15" s="175"/>
      <c r="T15" s="309" t="s">
        <v>852</v>
      </c>
      <c r="U15" s="309" t="s">
        <v>588</v>
      </c>
      <c r="V15" s="312" t="str">
        <f>IF(ISNA(V14-V13+V12), "N/A", V14-V13+V12)</f>
        <v>N/A</v>
      </c>
      <c r="W15" s="312" t="str">
        <f>IF(ISNA(W14-W13+W12), "N/A", W14-W13+W12)</f>
        <v>N/A</v>
      </c>
      <c r="X15" s="312" t="str">
        <f>IF(ISNA(X14-X13+X12), "N/A", X14-X13+X12)</f>
        <v>N/A</v>
      </c>
      <c r="AA15" s="194" t="str">
        <f>Auxiliar2!AK11</f>
        <v/>
      </c>
      <c r="AB15" s="194" t="str">
        <f>IF(ISNUMBER(tbl_buoyancy[[#This Row],[Empuxo]]), Auxiliar2!AL11, "")</f>
        <v/>
      </c>
    </row>
    <row r="16" spans="1:30" ht="13" customHeight="1" x14ac:dyDescent="0.25">
      <c r="A16" s="687"/>
      <c r="B16" s="195" t="s">
        <v>853</v>
      </c>
      <c r="C16" s="192" t="e">
        <f>static_altura_corc + dynamic_heave_up</f>
        <v>#VALUE!</v>
      </c>
      <c r="D16" s="196" t="str">
        <f>IF(_dvc_type=2, ROUND(C16,2), "IGNORAR")</f>
        <v>IGNORAR</v>
      </c>
      <c r="E16" s="208" t="s">
        <v>830</v>
      </c>
      <c r="G16" s="695" t="s">
        <v>854</v>
      </c>
      <c r="H16" s="351" t="s">
        <v>570</v>
      </c>
      <c r="I16" s="201"/>
      <c r="J16" s="194">
        <f>I16</f>
        <v>0</v>
      </c>
      <c r="K16" s="175" t="s">
        <v>588</v>
      </c>
      <c r="M16" s="688" t="s">
        <v>854</v>
      </c>
      <c r="N16" s="352" t="s">
        <v>855</v>
      </c>
      <c r="O16" s="202"/>
      <c r="P16" s="196">
        <f>ROUNDDOWN(O16,2)</f>
        <v>0</v>
      </c>
      <c r="Q16" s="208" t="s">
        <v>830</v>
      </c>
      <c r="T16" s="321" t="s">
        <v>856</v>
      </c>
      <c r="U16" s="306" t="s">
        <v>844</v>
      </c>
      <c r="V16" s="307">
        <f>ROUNDUP(Auxiliar1!K39,2)</f>
        <v>0</v>
      </c>
      <c r="W16" s="194">
        <f>ROUNDUP(Auxiliar1!J39,2)</f>
        <v>0</v>
      </c>
      <c r="X16" s="194">
        <f>ROUNDUP(Auxiliar1!L39,2)*(-1)</f>
        <v>0</v>
      </c>
      <c r="AA16" s="194" t="str">
        <f>Auxiliar2!AK12</f>
        <v/>
      </c>
      <c r="AB16" s="194" t="str">
        <f>IF(ISNUMBER(tbl_buoyancy[[#This Row],[Empuxo]]), Auxiliar2!AL12, "")</f>
        <v/>
      </c>
    </row>
    <row r="17" spans="1:28" ht="13" x14ac:dyDescent="0.25">
      <c r="A17" s="687"/>
      <c r="B17" s="191"/>
      <c r="C17" s="194"/>
      <c r="D17" s="194"/>
      <c r="E17" s="175"/>
      <c r="G17" s="695"/>
      <c r="H17" s="355" t="s">
        <v>806</v>
      </c>
      <c r="I17" s="202"/>
      <c r="J17" s="192">
        <f>ROUNDUP(I17,2)</f>
        <v>0</v>
      </c>
      <c r="K17" s="208" t="s">
        <v>588</v>
      </c>
      <c r="M17" s="689"/>
      <c r="N17" s="355" t="s">
        <v>857</v>
      </c>
      <c r="O17" s="202"/>
      <c r="P17" s="192">
        <f>ROUNDUP(O17,2)*(-1)</f>
        <v>0</v>
      </c>
      <c r="Q17" s="208" t="s">
        <v>858</v>
      </c>
      <c r="T17" s="175" t="s">
        <v>859</v>
      </c>
      <c r="U17" s="209" t="s">
        <v>847</v>
      </c>
      <c r="V17" s="307">
        <f>ROUNDUP(Auxiliar1!K59,2)</f>
        <v>0</v>
      </c>
      <c r="W17" s="194">
        <f>ROUNDUP(Auxiliar1!J59,2)</f>
        <v>0</v>
      </c>
      <c r="X17" s="194">
        <f>ROUNDUP(Auxiliar1!L59,2)*(-1)</f>
        <v>0</v>
      </c>
      <c r="AA17" s="194" t="str">
        <f>Auxiliar2!AK13</f>
        <v/>
      </c>
      <c r="AB17" s="194" t="str">
        <f>IF(ISNUMBER(tbl_buoyancy[[#This Row],[Empuxo]]), Auxiliar2!AL13, "")</f>
        <v/>
      </c>
    </row>
    <row r="18" spans="1:28" ht="13" x14ac:dyDescent="0.25">
      <c r="A18" s="687"/>
      <c r="B18" s="191"/>
      <c r="C18" s="194"/>
      <c r="D18" s="194"/>
      <c r="E18" s="175"/>
      <c r="G18" s="695"/>
      <c r="H18" s="355" t="s">
        <v>860</v>
      </c>
      <c r="I18" s="202"/>
      <c r="J18" s="323">
        <f>ROUNDUP(I18,2)*(-1)</f>
        <v>0</v>
      </c>
      <c r="K18" s="208" t="s">
        <v>858</v>
      </c>
      <c r="M18" s="689"/>
      <c r="N18" s="355" t="s">
        <v>861</v>
      </c>
      <c r="O18" s="202"/>
      <c r="P18" s="192">
        <f>ROUNDUP(O18,2)</f>
        <v>0</v>
      </c>
      <c r="Q18" s="208" t="s">
        <v>862</v>
      </c>
      <c r="T18" s="175" t="s">
        <v>863</v>
      </c>
      <c r="U18" s="209" t="s">
        <v>850</v>
      </c>
      <c r="V18" s="307">
        <f>ROUNDUP(Auxiliar1!K79,2)</f>
        <v>0</v>
      </c>
      <c r="W18" s="194">
        <f>ROUNDUP(Auxiliar1!J79,2)</f>
        <v>0</v>
      </c>
      <c r="X18" s="194">
        <f>ROUNDUP(Auxiliar1!L79,2)*(-1)</f>
        <v>0</v>
      </c>
      <c r="AA18" s="194" t="str">
        <f>Auxiliar2!AK14</f>
        <v/>
      </c>
      <c r="AB18" s="194" t="str">
        <f>IF(ISNUMBER(tbl_buoyancy[[#This Row],[Empuxo]]), Auxiliar2!AL14, "")</f>
        <v/>
      </c>
    </row>
    <row r="19" spans="1:28" ht="13.5" thickBot="1" x14ac:dyDescent="0.3">
      <c r="A19" s="687"/>
      <c r="B19" s="191"/>
      <c r="C19" s="194"/>
      <c r="D19" s="194"/>
      <c r="E19" s="175"/>
      <c r="G19" s="695"/>
      <c r="H19" s="355" t="s">
        <v>864</v>
      </c>
      <c r="I19" s="202"/>
      <c r="J19" s="323">
        <f>ROUNDUP(I19,2)</f>
        <v>0</v>
      </c>
      <c r="K19" s="208" t="s">
        <v>862</v>
      </c>
      <c r="M19" s="689"/>
      <c r="N19" s="352" t="s">
        <v>865</v>
      </c>
      <c r="O19" s="202"/>
      <c r="P19" s="196">
        <f>ROUNDDOWN(O19,2)</f>
        <v>0</v>
      </c>
      <c r="Q19" s="208" t="s">
        <v>830</v>
      </c>
      <c r="T19" s="309" t="s">
        <v>866</v>
      </c>
      <c r="U19" s="309" t="s">
        <v>588</v>
      </c>
      <c r="V19" s="312">
        <f>V18-V17+V16</f>
        <v>0</v>
      </c>
      <c r="W19" s="312">
        <f>W18-W17+W16</f>
        <v>0</v>
      </c>
      <c r="X19" s="312">
        <f>X18-X17+X16</f>
        <v>0</v>
      </c>
      <c r="AA19" s="194" t="str">
        <f>Auxiliar2!AK15</f>
        <v/>
      </c>
      <c r="AB19" s="194" t="str">
        <f>IF(ISNUMBER(tbl_buoyancy[[#This Row],[Empuxo]]), Auxiliar2!AL15, "")</f>
        <v/>
      </c>
    </row>
    <row r="20" spans="1:28" ht="13" x14ac:dyDescent="0.25">
      <c r="A20" s="687"/>
      <c r="B20" s="191"/>
      <c r="C20" s="194"/>
      <c r="D20" s="194"/>
      <c r="E20" s="175"/>
      <c r="G20" s="695"/>
      <c r="H20" s="352" t="s">
        <v>867</v>
      </c>
      <c r="I20" s="202"/>
      <c r="J20" s="323">
        <f>ROUND(I20,2)</f>
        <v>0</v>
      </c>
      <c r="K20" s="208" t="s">
        <v>830</v>
      </c>
      <c r="M20" s="689"/>
      <c r="N20" s="352" t="s">
        <v>868</v>
      </c>
      <c r="O20" s="202"/>
      <c r="P20" s="192">
        <f>ROUNDUP(O20,2)</f>
        <v>0</v>
      </c>
      <c r="Q20" s="208" t="s">
        <v>858</v>
      </c>
      <c r="T20" s="321" t="s">
        <v>869</v>
      </c>
      <c r="U20" s="306" t="s">
        <v>850</v>
      </c>
      <c r="V20" s="314">
        <f>ROUNDUP(Auxiliar1!E99,2)</f>
        <v>0</v>
      </c>
      <c r="W20" s="315">
        <f>ROUNDUP(Auxiliar1!D99,2)</f>
        <v>0</v>
      </c>
      <c r="X20" s="315">
        <f>ROUNDUP(Auxiliar1!F99,2)*(-1)</f>
        <v>0</v>
      </c>
      <c r="AA20" s="194" t="str">
        <f>Auxiliar2!AK16</f>
        <v/>
      </c>
      <c r="AB20" s="194" t="str">
        <f>IF(ISNUMBER(tbl_buoyancy[[#This Row],[Empuxo]]), Auxiliar2!AL16, "")</f>
        <v/>
      </c>
    </row>
    <row r="21" spans="1:28" ht="13.5" thickBot="1" x14ac:dyDescent="0.3">
      <c r="A21" s="687"/>
      <c r="B21" s="191"/>
      <c r="C21" s="194"/>
      <c r="D21" s="194"/>
      <c r="E21" s="175"/>
      <c r="G21" s="695"/>
      <c r="H21" s="355" t="s">
        <v>870</v>
      </c>
      <c r="I21" s="202"/>
      <c r="J21" s="323">
        <f>ROUND(I21,2)</f>
        <v>0</v>
      </c>
      <c r="K21" s="208" t="s">
        <v>830</v>
      </c>
      <c r="M21" s="689"/>
      <c r="N21" s="353" t="s">
        <v>871</v>
      </c>
      <c r="O21" s="202"/>
      <c r="P21" s="192">
        <f>ROUNDUP(O21,2)</f>
        <v>0</v>
      </c>
      <c r="Q21" s="208" t="s">
        <v>862</v>
      </c>
      <c r="T21" s="309" t="s">
        <v>872</v>
      </c>
      <c r="U21" s="309" t="s">
        <v>588</v>
      </c>
      <c r="V21" s="312">
        <f>V20-V17+V16</f>
        <v>0</v>
      </c>
      <c r="W21" s="312">
        <f>W20-W17+W16</f>
        <v>0</v>
      </c>
      <c r="X21" s="312">
        <f>X20-X17+X16</f>
        <v>0</v>
      </c>
      <c r="AA21" s="194" t="str">
        <f>Auxiliar2!AK17</f>
        <v/>
      </c>
      <c r="AB21" s="194" t="str">
        <f>IF(ISNUMBER(tbl_buoyancy[[#This Row],[Empuxo]]), Auxiliar2!AL17, "")</f>
        <v/>
      </c>
    </row>
    <row r="22" spans="1:28" ht="13" x14ac:dyDescent="0.25">
      <c r="A22" s="687"/>
      <c r="B22" s="191"/>
      <c r="C22" s="194"/>
      <c r="D22" s="194"/>
      <c r="E22" s="175"/>
      <c r="G22" s="695"/>
      <c r="H22" s="352" t="s">
        <v>873</v>
      </c>
      <c r="I22" s="202"/>
      <c r="J22" s="323">
        <f>ROUND(I22,2)</f>
        <v>0</v>
      </c>
      <c r="K22" s="208" t="s">
        <v>830</v>
      </c>
      <c r="M22" s="689"/>
      <c r="N22" s="352" t="s">
        <v>874</v>
      </c>
      <c r="O22" s="202"/>
      <c r="P22" s="196">
        <f>ROUND(O22,2)</f>
        <v>0</v>
      </c>
      <c r="Q22" s="208" t="s">
        <v>830</v>
      </c>
      <c r="T22" s="305" t="s">
        <v>875</v>
      </c>
      <c r="U22" s="311" t="s">
        <v>588</v>
      </c>
      <c r="V22" s="322">
        <f>ROUNDUP(Auxiliar1!K99,2)</f>
        <v>0</v>
      </c>
      <c r="W22" s="308">
        <f>ROUNDUP(Auxiliar1!J99,2)</f>
        <v>0</v>
      </c>
      <c r="X22" s="308">
        <f>ROUNDUP(Auxiliar1!L99,2)*(-1)</f>
        <v>0</v>
      </c>
      <c r="AA22" s="194" t="str">
        <f>Auxiliar2!AK18</f>
        <v/>
      </c>
      <c r="AB22" s="194" t="str">
        <f>IF(ISNUMBER(tbl_buoyancy[[#This Row],[Empuxo]]), Auxiliar2!AL18, "")</f>
        <v/>
      </c>
    </row>
    <row r="23" spans="1:28" ht="13" x14ac:dyDescent="0.25">
      <c r="A23" s="687"/>
      <c r="B23" s="191"/>
      <c r="C23" s="194"/>
      <c r="D23" s="194"/>
      <c r="E23" s="175"/>
      <c r="G23" s="695"/>
      <c r="H23" s="355" t="s">
        <v>876</v>
      </c>
      <c r="I23" s="202"/>
      <c r="J23" s="323">
        <f>ROUND(I23,2)</f>
        <v>0</v>
      </c>
      <c r="K23" s="208" t="s">
        <v>830</v>
      </c>
      <c r="M23" s="689"/>
      <c r="N23" s="352" t="s">
        <v>877</v>
      </c>
      <c r="O23" s="202"/>
      <c r="P23" s="196">
        <f>ROUND(O23,2)</f>
        <v>0</v>
      </c>
      <c r="Q23" s="208" t="s">
        <v>830</v>
      </c>
      <c r="T23" s="305" t="s">
        <v>878</v>
      </c>
      <c r="U23" s="311" t="s">
        <v>588</v>
      </c>
      <c r="V23" s="322">
        <f>ROUNDUP(Auxiliar1!K100,2)</f>
        <v>0</v>
      </c>
      <c r="W23" s="308">
        <f>ROUNDUP(Auxiliar1!J100,2)</f>
        <v>0</v>
      </c>
      <c r="X23" s="308">
        <f>ROUNDUP(Auxiliar1!L100,2)*(-1)</f>
        <v>0</v>
      </c>
      <c r="AA23" s="194" t="str">
        <f>Auxiliar2!AK19</f>
        <v/>
      </c>
      <c r="AB23" s="194" t="str">
        <f>IF(ISNUMBER(tbl_buoyancy[[#This Row],[Empuxo]]), Auxiliar2!AL19, "")</f>
        <v/>
      </c>
    </row>
    <row r="24" spans="1:28" ht="13" x14ac:dyDescent="0.25">
      <c r="A24" s="687"/>
      <c r="B24" s="191"/>
      <c r="C24" s="194"/>
      <c r="D24" s="194"/>
      <c r="E24" s="175"/>
      <c r="G24" s="695"/>
      <c r="H24" s="355" t="s">
        <v>879</v>
      </c>
      <c r="I24" s="202"/>
      <c r="J24" s="323">
        <f>ROUNDUP(I24,2)*(-1)</f>
        <v>0</v>
      </c>
      <c r="K24" s="208" t="s">
        <v>858</v>
      </c>
      <c r="M24" s="689"/>
      <c r="N24" s="352" t="s">
        <v>880</v>
      </c>
      <c r="O24" s="202"/>
      <c r="P24" s="196">
        <f>ROUNDUP(O24/9.81,2)</f>
        <v>0</v>
      </c>
      <c r="Q24" s="208" t="s">
        <v>881</v>
      </c>
      <c r="AA24" s="194" t="str">
        <f>Auxiliar2!AK20</f>
        <v/>
      </c>
      <c r="AB24" s="194" t="str">
        <f>IF(ISNUMBER(tbl_buoyancy[[#This Row],[Empuxo]]), Auxiliar2!AL20, "")</f>
        <v/>
      </c>
    </row>
    <row r="25" spans="1:28" ht="13" x14ac:dyDescent="0.25">
      <c r="A25" s="693"/>
      <c r="B25" s="191"/>
      <c r="C25" s="194"/>
      <c r="D25" s="194"/>
      <c r="E25" s="175"/>
      <c r="G25" s="695"/>
      <c r="H25" s="355" t="s">
        <v>882</v>
      </c>
      <c r="I25" s="202"/>
      <c r="J25" s="323">
        <f>ROUNDUP(I25,2)*(-1)</f>
        <v>0</v>
      </c>
      <c r="K25" s="208" t="s">
        <v>858</v>
      </c>
      <c r="M25" s="690"/>
      <c r="N25" s="352" t="s">
        <v>883</v>
      </c>
      <c r="O25" s="202"/>
      <c r="P25" s="192">
        <f>ROUNDUP(O25/9.81,2)</f>
        <v>0</v>
      </c>
      <c r="Q25" s="208" t="s">
        <v>881</v>
      </c>
      <c r="AA25" s="194" t="str">
        <f>Auxiliar2!AK21</f>
        <v/>
      </c>
      <c r="AB25" s="194" t="str">
        <f>IF(ISNUMBER(tbl_buoyancy[[#This Row],[Empuxo]]), Auxiliar2!AL21, "")</f>
        <v/>
      </c>
    </row>
    <row r="26" spans="1:28" ht="12.75" customHeight="1" x14ac:dyDescent="0.25">
      <c r="A26" s="695" t="s">
        <v>884</v>
      </c>
      <c r="B26" s="352" t="s">
        <v>833</v>
      </c>
      <c r="C26" s="201"/>
      <c r="D26" s="196">
        <f>ROUND(C26,2)</f>
        <v>0</v>
      </c>
      <c r="E26" s="175" t="s">
        <v>830</v>
      </c>
      <c r="G26" s="695"/>
      <c r="H26" s="355" t="s">
        <v>885</v>
      </c>
      <c r="I26" s="202"/>
      <c r="J26" s="323">
        <f>ROUNDUP(I26,2)</f>
        <v>0</v>
      </c>
      <c r="K26" s="208" t="s">
        <v>862</v>
      </c>
      <c r="AA26" s="194" t="str">
        <f>Auxiliar2!AK22</f>
        <v/>
      </c>
      <c r="AB26" s="194" t="str">
        <f>IF(ISNUMBER(tbl_buoyancy[[#This Row],[Empuxo]]), Auxiliar2!AL22, "")</f>
        <v/>
      </c>
    </row>
    <row r="27" spans="1:28" ht="13" x14ac:dyDescent="0.25">
      <c r="A27" s="695"/>
      <c r="B27" s="352" t="s">
        <v>835</v>
      </c>
      <c r="C27" s="201"/>
      <c r="D27" s="196">
        <f>ROUND(C27,2)</f>
        <v>0</v>
      </c>
      <c r="E27" s="175" t="s">
        <v>830</v>
      </c>
      <c r="G27" s="695"/>
      <c r="H27" s="355" t="s">
        <v>886</v>
      </c>
      <c r="I27" s="202"/>
      <c r="J27" s="323">
        <f>ROUNDUP(I27,2)</f>
        <v>0</v>
      </c>
      <c r="K27" s="208" t="s">
        <v>862</v>
      </c>
      <c r="N27" s="685" t="s">
        <v>887</v>
      </c>
      <c r="O27" s="685"/>
      <c r="P27" s="685"/>
      <c r="Q27" s="685"/>
      <c r="T27" s="685" t="s">
        <v>888</v>
      </c>
      <c r="U27" s="685"/>
      <c r="V27" s="685"/>
      <c r="W27" s="685"/>
      <c r="AA27" s="194" t="str">
        <f>Auxiliar2!AK23</f>
        <v/>
      </c>
      <c r="AB27" s="194" t="str">
        <f>IF(ISNUMBER(tbl_buoyancy[[#This Row],[Empuxo]]), Auxiliar2!AL23, "")</f>
        <v/>
      </c>
    </row>
    <row r="28" spans="1:28" ht="25" x14ac:dyDescent="0.25">
      <c r="A28" s="695"/>
      <c r="B28" s="352" t="s">
        <v>867</v>
      </c>
      <c r="C28" s="202"/>
      <c r="D28" s="192">
        <f>ROUNDUP(C28,2)</f>
        <v>0</v>
      </c>
      <c r="E28" s="208" t="s">
        <v>830</v>
      </c>
      <c r="G28" s="695"/>
      <c r="H28" s="201"/>
      <c r="I28" s="201"/>
      <c r="J28" s="194"/>
      <c r="K28" s="209"/>
      <c r="N28" s="148" t="s">
        <v>816</v>
      </c>
      <c r="O28" s="148" t="s">
        <v>817</v>
      </c>
      <c r="P28" s="148" t="s">
        <v>818</v>
      </c>
      <c r="Q28" s="148" t="s">
        <v>819</v>
      </c>
      <c r="T28" s="148" t="s">
        <v>816</v>
      </c>
      <c r="U28" s="148" t="s">
        <v>889</v>
      </c>
      <c r="V28" s="148" t="s">
        <v>890</v>
      </c>
      <c r="W28" s="148" t="s">
        <v>819</v>
      </c>
      <c r="AA28" s="194" t="str">
        <f>Auxiliar2!AK24</f>
        <v/>
      </c>
      <c r="AB28" s="194" t="str">
        <f>IF(ISNUMBER(tbl_buoyancy[[#This Row],[Empuxo]]), Auxiliar2!AL24, "")</f>
        <v/>
      </c>
    </row>
    <row r="29" spans="1:28" ht="13" customHeight="1" x14ac:dyDescent="0.25">
      <c r="A29" s="695"/>
      <c r="B29" s="355" t="s">
        <v>891</v>
      </c>
      <c r="C29" s="202"/>
      <c r="D29" s="196">
        <f>ROUNDDOWN(C29,2)</f>
        <v>0</v>
      </c>
      <c r="E29" s="208" t="s">
        <v>830</v>
      </c>
      <c r="G29" s="695"/>
      <c r="H29" s="201"/>
      <c r="I29" s="201"/>
      <c r="J29" s="194"/>
      <c r="K29" s="209"/>
      <c r="M29" s="686" t="s">
        <v>827</v>
      </c>
      <c r="N29" s="191" t="s">
        <v>892</v>
      </c>
      <c r="O29" s="194">
        <f>hmax1_arclength_line_endb - hmax1_arclength_line_touchdown</f>
        <v>0</v>
      </c>
      <c r="P29" s="194" t="str">
        <f t="shared" ref="P29:P34" si="0">IF(_dvc_type=2, ROUND(O29, 2), "")</f>
        <v/>
      </c>
      <c r="Q29" s="175" t="s">
        <v>830</v>
      </c>
      <c r="T29" s="208" t="s">
        <v>893</v>
      </c>
      <c r="U29" s="207" t="s">
        <v>894</v>
      </c>
      <c r="V29" s="194">
        <f>IF(Values!C17="","",Values!C17)</f>
        <v>4</v>
      </c>
      <c r="W29" s="175" t="s">
        <v>588</v>
      </c>
      <c r="AA29" s="194" t="str">
        <f>Auxiliar2!AK25</f>
        <v/>
      </c>
      <c r="AB29" s="194" t="str">
        <f>IF(ISNUMBER(tbl_buoyancy[[#This Row],[Empuxo]]), Auxiliar2!AL25, "")</f>
        <v/>
      </c>
    </row>
    <row r="30" spans="1:28" ht="13" x14ac:dyDescent="0.25">
      <c r="A30" s="695"/>
      <c r="B30" s="355" t="s">
        <v>870</v>
      </c>
      <c r="C30" s="202"/>
      <c r="D30" s="196">
        <f>ROUNDDOWN(C30,2)</f>
        <v>0</v>
      </c>
      <c r="E30" s="208" t="s">
        <v>830</v>
      </c>
      <c r="G30" s="695"/>
      <c r="H30" s="201"/>
      <c r="I30" s="201"/>
      <c r="J30" s="194"/>
      <c r="K30" s="209"/>
      <c r="M30" s="687"/>
      <c r="N30" s="191" t="s">
        <v>895</v>
      </c>
      <c r="O30" s="194">
        <f>hmax1_z_line_endb + _lda</f>
        <v>0</v>
      </c>
      <c r="P30" s="194" t="str">
        <f t="shared" si="0"/>
        <v/>
      </c>
      <c r="Q30" s="175" t="s">
        <v>830</v>
      </c>
      <c r="T30" s="207" t="s">
        <v>896</v>
      </c>
      <c r="U30" s="207" t="s">
        <v>894</v>
      </c>
      <c r="V30" s="192">
        <f>ROUNDUP('MCV e Guindaste'!B8/1000, 2)</f>
        <v>4.5999999999999996</v>
      </c>
      <c r="W30" s="208" t="s">
        <v>830</v>
      </c>
      <c r="AA30" s="194" t="str">
        <f>Auxiliar2!AK26</f>
        <v/>
      </c>
      <c r="AB30" s="194" t="str">
        <f>IF(ISNUMBER(tbl_buoyancy[[#This Row],[Empuxo]]), Auxiliar2!AL26, "")</f>
        <v/>
      </c>
    </row>
    <row r="31" spans="1:28" ht="13" x14ac:dyDescent="0.25">
      <c r="A31" s="695"/>
      <c r="B31" s="351" t="s">
        <v>897</v>
      </c>
      <c r="C31" s="202"/>
      <c r="D31" s="196">
        <f>ROUND(C31, 2)</f>
        <v>0</v>
      </c>
      <c r="E31" s="208" t="s">
        <v>830</v>
      </c>
      <c r="G31" s="695"/>
      <c r="H31" s="201"/>
      <c r="I31" s="201"/>
      <c r="J31" s="194"/>
      <c r="K31" s="209"/>
      <c r="M31" s="687"/>
      <c r="N31" s="191" t="s">
        <v>898</v>
      </c>
      <c r="O31" s="194">
        <f>hmax1_x_line_touchdown - hmax1_x_line_endb</f>
        <v>0</v>
      </c>
      <c r="P31" s="194" t="str">
        <f t="shared" si="0"/>
        <v/>
      </c>
      <c r="Q31" s="175" t="s">
        <v>830</v>
      </c>
      <c r="T31" s="207" t="s">
        <v>899</v>
      </c>
      <c r="U31" s="207" t="s">
        <v>894</v>
      </c>
      <c r="V31" s="192">
        <f>ROUNDUP(Values!$C$34, 2)</f>
        <v>2.69</v>
      </c>
      <c r="W31" s="208" t="s">
        <v>830</v>
      </c>
      <c r="AA31" s="194" t="str">
        <f>Auxiliar2!AK27</f>
        <v/>
      </c>
      <c r="AB31" s="194" t="str">
        <f>IF(ISNUMBER(tbl_buoyancy[[#This Row],[Empuxo]]), Auxiliar2!AL27, "")</f>
        <v/>
      </c>
    </row>
    <row r="32" spans="1:28" ht="13" x14ac:dyDescent="0.25">
      <c r="A32" s="695"/>
      <c r="B32" s="352" t="s">
        <v>900</v>
      </c>
      <c r="C32" s="202"/>
      <c r="D32" s="192">
        <f>ROUNDUP(C32,2)</f>
        <v>0</v>
      </c>
      <c r="E32" s="208" t="s">
        <v>858</v>
      </c>
      <c r="G32" s="695"/>
      <c r="H32" s="201"/>
      <c r="I32" s="201"/>
      <c r="J32" s="194"/>
      <c r="K32" s="209"/>
      <c r="M32" s="687"/>
      <c r="N32" s="191" t="s">
        <v>901</v>
      </c>
      <c r="O32" s="194">
        <f>hmax1_arclength_line_endb - static_position_corc1</f>
        <v>0</v>
      </c>
      <c r="P32" s="194" t="str">
        <f t="shared" si="0"/>
        <v/>
      </c>
      <c r="Q32" s="175"/>
      <c r="T32" s="207" t="s">
        <v>902</v>
      </c>
      <c r="U32" s="207" t="s">
        <v>894</v>
      </c>
      <c r="V32" s="327">
        <f>ROUNDUP(Values!$C$19, 2)</f>
        <v>2.4300000000000002</v>
      </c>
      <c r="W32" s="208" t="s">
        <v>830</v>
      </c>
      <c r="AA32" s="194" t="str">
        <f>Auxiliar2!AK28</f>
        <v/>
      </c>
      <c r="AB32" s="194" t="str">
        <f>IF(ISNUMBER(tbl_buoyancy[[#This Row],[Empuxo]]), Auxiliar2!AL28, "")</f>
        <v/>
      </c>
    </row>
    <row r="33" spans="1:28" ht="13" x14ac:dyDescent="0.25">
      <c r="A33" s="695"/>
      <c r="B33" s="352" t="s">
        <v>903</v>
      </c>
      <c r="C33" s="202"/>
      <c r="D33" s="196">
        <f>ROUNDUP(C33,2)</f>
        <v>0</v>
      </c>
      <c r="E33" s="208" t="s">
        <v>862</v>
      </c>
      <c r="G33" s="695"/>
      <c r="H33" s="201"/>
      <c r="I33" s="201"/>
      <c r="J33" s="194"/>
      <c r="K33" s="209"/>
      <c r="M33" s="687"/>
      <c r="N33" s="191" t="s">
        <v>904</v>
      </c>
      <c r="O33" s="194">
        <f>hmax1_arclength_line_endb - static_position_corc2</f>
        <v>0</v>
      </c>
      <c r="P33" s="194" t="str">
        <f t="shared" si="0"/>
        <v/>
      </c>
      <c r="Q33" s="175"/>
      <c r="T33" s="207" t="s">
        <v>905</v>
      </c>
      <c r="U33" s="207" t="s">
        <v>894</v>
      </c>
      <c r="V33" s="194">
        <f>ROUNDDOWN(Values!C35,2)</f>
        <v>30</v>
      </c>
      <c r="W33" s="175" t="s">
        <v>858</v>
      </c>
      <c r="AA33" s="194" t="str">
        <f>Auxiliar2!AK29</f>
        <v/>
      </c>
      <c r="AB33" s="194" t="str">
        <f>IF(ISNUMBER(tbl_buoyancy[[#This Row],[Empuxo]]), Auxiliar2!AL29, "")</f>
        <v/>
      </c>
    </row>
    <row r="34" spans="1:28" ht="13" x14ac:dyDescent="0.25">
      <c r="A34" s="695"/>
      <c r="B34" s="352" t="s">
        <v>906</v>
      </c>
      <c r="C34" s="202"/>
      <c r="D34" s="196">
        <f>ROUNDUP(C34,2)*(-1)</f>
        <v>0</v>
      </c>
      <c r="E34" s="208" t="s">
        <v>862</v>
      </c>
      <c r="G34" s="695"/>
      <c r="H34" s="201"/>
      <c r="I34" s="201"/>
      <c r="J34" s="194"/>
      <c r="K34" s="209"/>
      <c r="M34" s="687"/>
      <c r="N34" s="191" t="s">
        <v>848</v>
      </c>
      <c r="O34" s="194" t="e">
        <f>hmax1_comp_susp - hmax1_dist_tdp_flange</f>
        <v>#VALUE!</v>
      </c>
      <c r="P34" s="194" t="str">
        <f t="shared" si="0"/>
        <v/>
      </c>
      <c r="Q34" s="175" t="s">
        <v>830</v>
      </c>
      <c r="T34" s="207" t="s">
        <v>907</v>
      </c>
      <c r="U34" s="207" t="s">
        <v>894</v>
      </c>
      <c r="V34" s="194">
        <f>ROUNDDOWN(Values!C36, 2)</f>
        <v>30</v>
      </c>
      <c r="W34" s="208" t="s">
        <v>862</v>
      </c>
      <c r="AA34" s="194" t="str">
        <f>Auxiliar2!AK30</f>
        <v/>
      </c>
      <c r="AB34" s="194" t="str">
        <f>IF(ISNUMBER(tbl_buoyancy[[#This Row],[Empuxo]]), Auxiliar2!AL30, "")</f>
        <v/>
      </c>
    </row>
    <row r="35" spans="1:28" ht="13" x14ac:dyDescent="0.25">
      <c r="A35" s="695"/>
      <c r="B35" s="353" t="s">
        <v>873</v>
      </c>
      <c r="C35" s="202"/>
      <c r="D35" s="192">
        <f>ROUNDUP(C35,2)</f>
        <v>0</v>
      </c>
      <c r="E35" s="208" t="s">
        <v>830</v>
      </c>
      <c r="G35" s="695"/>
      <c r="H35" s="201"/>
      <c r="I35" s="201"/>
      <c r="J35" s="194"/>
      <c r="K35" s="209"/>
      <c r="M35" s="687"/>
      <c r="N35" s="191"/>
      <c r="O35" s="194"/>
      <c r="P35" s="194"/>
      <c r="Q35" s="175"/>
      <c r="T35" s="16" t="s">
        <v>908</v>
      </c>
      <c r="U35" s="175" t="s">
        <v>894</v>
      </c>
      <c r="V35" s="194" t="b">
        <f>TRUE</f>
        <v>1</v>
      </c>
      <c r="W35" s="175" t="s">
        <v>588</v>
      </c>
      <c r="AA35" s="194" t="str">
        <f>Auxiliar2!AK31</f>
        <v/>
      </c>
      <c r="AB35" s="194" t="str">
        <f>IF(ISNUMBER(tbl_buoyancy[[#This Row],[Empuxo]]), Auxiliar2!AL31, "")</f>
        <v/>
      </c>
    </row>
    <row r="36" spans="1:28" ht="13" x14ac:dyDescent="0.25">
      <c r="A36" s="695"/>
      <c r="B36" s="355" t="s">
        <v>909</v>
      </c>
      <c r="C36" s="202"/>
      <c r="D36" s="196">
        <f>ROUNDDOWN(C36,2)</f>
        <v>0</v>
      </c>
      <c r="E36" s="208" t="s">
        <v>830</v>
      </c>
      <c r="G36" s="549"/>
      <c r="M36" s="687"/>
      <c r="N36" s="191"/>
      <c r="O36" s="194"/>
      <c r="P36" s="194"/>
      <c r="Q36" s="175"/>
      <c r="T36" s="16" t="s">
        <v>910</v>
      </c>
      <c r="U36" s="175" t="s">
        <v>894</v>
      </c>
      <c r="V36" s="194" t="b">
        <f>IF(COUNTBLANK(Results!B30:B34)&gt;3, FALSE, TRUE)</f>
        <v>0</v>
      </c>
      <c r="W36" s="175" t="s">
        <v>588</v>
      </c>
      <c r="AA36" s="194" t="str">
        <f>Auxiliar2!AK32</f>
        <v/>
      </c>
      <c r="AB36" s="194" t="str">
        <f>IF(ISNUMBER(tbl_buoyancy[[#This Row],[Empuxo]]), Auxiliar2!AL32, "")</f>
        <v/>
      </c>
    </row>
    <row r="37" spans="1:28" ht="13" x14ac:dyDescent="0.25">
      <c r="A37" s="695"/>
      <c r="B37" s="352" t="s">
        <v>911</v>
      </c>
      <c r="C37" s="202"/>
      <c r="D37" s="192">
        <f>ROUNDUP(C37,1)</f>
        <v>0</v>
      </c>
      <c r="E37" s="208" t="s">
        <v>858</v>
      </c>
      <c r="G37" s="549"/>
      <c r="H37" s="685" t="s">
        <v>912</v>
      </c>
      <c r="I37" s="685"/>
      <c r="J37" s="685"/>
      <c r="K37" s="685"/>
      <c r="M37" s="687"/>
      <c r="N37" s="191"/>
      <c r="O37" s="194"/>
      <c r="P37" s="194"/>
      <c r="Q37" s="175"/>
      <c r="T37" s="16" t="s">
        <v>913</v>
      </c>
      <c r="U37" s="175" t="s">
        <v>894</v>
      </c>
      <c r="V37" s="383">
        <f>Values!$C$8*1000</f>
        <v>0</v>
      </c>
      <c r="W37" s="175" t="s">
        <v>914</v>
      </c>
      <c r="AA37" s="194" t="str">
        <f>Auxiliar2!AK33</f>
        <v/>
      </c>
      <c r="AB37" s="194" t="str">
        <f>IF(ISNUMBER(tbl_buoyancy[[#This Row],[Empuxo]]), Auxiliar2!AL33, "")</f>
        <v/>
      </c>
    </row>
    <row r="38" spans="1:28" ht="25" x14ac:dyDescent="0.25">
      <c r="A38" s="695"/>
      <c r="B38" s="355" t="s">
        <v>915</v>
      </c>
      <c r="C38" s="202"/>
      <c r="D38" s="192">
        <f>ROUNDUP(C38,2)</f>
        <v>0</v>
      </c>
      <c r="E38" s="208" t="s">
        <v>858</v>
      </c>
      <c r="G38" s="549"/>
      <c r="H38" s="148" t="s">
        <v>816</v>
      </c>
      <c r="I38" s="148" t="s">
        <v>817</v>
      </c>
      <c r="J38" s="148" t="s">
        <v>818</v>
      </c>
      <c r="K38" s="148" t="s">
        <v>819</v>
      </c>
      <c r="M38" s="687"/>
      <c r="N38" s="191"/>
      <c r="O38" s="194"/>
      <c r="P38" s="194"/>
      <c r="Q38" s="175"/>
      <c r="T38" s="16" t="s">
        <v>916</v>
      </c>
      <c r="U38" s="175" t="s">
        <v>894</v>
      </c>
      <c r="V38" s="383">
        <f>Values!$C$9*1000</f>
        <v>0</v>
      </c>
      <c r="W38" s="175" t="s">
        <v>914</v>
      </c>
      <c r="AA38" s="194" t="str">
        <f>Auxiliar2!AK34</f>
        <v/>
      </c>
      <c r="AB38" s="194" t="str">
        <f>IF(ISNUMBER(tbl_buoyancy[[#This Row],[Empuxo]]), Auxiliar2!AL34, "")</f>
        <v/>
      </c>
    </row>
    <row r="39" spans="1:28" ht="13" x14ac:dyDescent="0.25">
      <c r="A39" s="695"/>
      <c r="B39" s="354" t="s">
        <v>917</v>
      </c>
      <c r="C39" s="202"/>
      <c r="D39" s="192">
        <f>ROUNDUP(C39,1)</f>
        <v>0</v>
      </c>
      <c r="E39" s="208" t="s">
        <v>862</v>
      </c>
      <c r="G39" s="686" t="s">
        <v>827</v>
      </c>
      <c r="H39" s="193" t="s">
        <v>918</v>
      </c>
      <c r="I39" s="192">
        <f>Auxiliar3!X4</f>
        <v>0</v>
      </c>
      <c r="J39" s="196">
        <f>ROUND(I39,2)</f>
        <v>0</v>
      </c>
      <c r="K39" s="193" t="s">
        <v>830</v>
      </c>
      <c r="M39" s="547"/>
      <c r="N39" s="191"/>
      <c r="O39" s="194"/>
      <c r="P39" s="194"/>
      <c r="Q39" s="175"/>
      <c r="T39" s="16" t="s">
        <v>919</v>
      </c>
      <c r="U39" s="175" t="s">
        <v>894</v>
      </c>
      <c r="V39" s="194">
        <f>Values!$C$7</f>
        <v>1.0249999999999999</v>
      </c>
      <c r="W39" s="175" t="s">
        <v>920</v>
      </c>
      <c r="AA39" s="194" t="str">
        <f>Auxiliar2!AK35</f>
        <v/>
      </c>
      <c r="AB39" s="194" t="str">
        <f>IF(ISNUMBER(tbl_buoyancy[[#This Row],[Empuxo]]), Auxiliar2!AL35, "")</f>
        <v/>
      </c>
    </row>
    <row r="40" spans="1:28" ht="13" x14ac:dyDescent="0.25">
      <c r="A40" s="695"/>
      <c r="B40" s="355" t="s">
        <v>921</v>
      </c>
      <c r="C40" s="202"/>
      <c r="D40" s="192">
        <f>ROUNDUP(C40,2)</f>
        <v>0</v>
      </c>
      <c r="E40" s="208" t="s">
        <v>862</v>
      </c>
      <c r="G40" s="687"/>
      <c r="H40" s="193" t="s">
        <v>825</v>
      </c>
      <c r="I40" s="192">
        <f>Auxiliar3!X6</f>
        <v>0</v>
      </c>
      <c r="J40" s="196">
        <f>ROUND(I40,2)</f>
        <v>0</v>
      </c>
      <c r="K40" s="193" t="s">
        <v>922</v>
      </c>
      <c r="M40" s="547"/>
      <c r="N40" s="191"/>
      <c r="O40" s="194"/>
      <c r="P40" s="194"/>
      <c r="Q40" s="175"/>
      <c r="T40" s="207" t="s">
        <v>923</v>
      </c>
      <c r="U40" s="207" t="s">
        <v>551</v>
      </c>
      <c r="V40" s="192">
        <f>_orcaflex_version</f>
        <v>0</v>
      </c>
      <c r="W40" s="175" t="s">
        <v>588</v>
      </c>
      <c r="AA40" s="194" t="str">
        <f>Auxiliar2!AK36</f>
        <v/>
      </c>
      <c r="AB40" s="194" t="str">
        <f>IF(ISNUMBER(tbl_buoyancy[[#This Row],[Empuxo]]), Auxiliar2!AL36, "")</f>
        <v/>
      </c>
    </row>
    <row r="41" spans="1:28" ht="13" x14ac:dyDescent="0.25">
      <c r="A41" s="695"/>
      <c r="B41" s="351" t="s">
        <v>924</v>
      </c>
      <c r="C41" s="201"/>
      <c r="D41" s="196">
        <f>ROUND(C41,2)</f>
        <v>0</v>
      </c>
      <c r="E41" s="175" t="s">
        <v>830</v>
      </c>
      <c r="G41" s="687"/>
      <c r="H41" s="194"/>
      <c r="I41" s="194"/>
      <c r="J41" s="194"/>
      <c r="K41" s="194"/>
      <c r="M41" s="547"/>
      <c r="N41" s="191"/>
      <c r="O41" s="194"/>
      <c r="P41" s="194"/>
      <c r="Q41" s="175"/>
      <c r="T41" s="207" t="s">
        <v>925</v>
      </c>
      <c r="U41" s="207" t="s">
        <v>551</v>
      </c>
      <c r="V41" s="323">
        <f>Auxiliar2!I12</f>
        <v>0</v>
      </c>
      <c r="W41" s="175" t="s">
        <v>830</v>
      </c>
      <c r="AA41" s="194" t="str">
        <f>Auxiliar2!AK37</f>
        <v/>
      </c>
      <c r="AB41" s="194" t="str">
        <f>IF(ISNUMBER(tbl_buoyancy[[#This Row],[Empuxo]]), Auxiliar2!AL37, "")</f>
        <v/>
      </c>
    </row>
    <row r="42" spans="1:28" ht="13" x14ac:dyDescent="0.25">
      <c r="A42" s="695"/>
      <c r="B42" s="351" t="s">
        <v>926</v>
      </c>
      <c r="C42" s="202"/>
      <c r="D42" s="196">
        <f>ROUND(C42, 2)</f>
        <v>0</v>
      </c>
      <c r="E42" s="208" t="s">
        <v>830</v>
      </c>
      <c r="G42" s="687"/>
      <c r="H42" s="194"/>
      <c r="I42" s="194"/>
      <c r="J42" s="194"/>
      <c r="K42" s="194"/>
      <c r="M42" s="547"/>
      <c r="N42" s="191"/>
      <c r="O42" s="194"/>
      <c r="P42" s="194"/>
      <c r="Q42" s="175"/>
      <c r="T42" s="16" t="s">
        <v>927</v>
      </c>
      <c r="U42" s="207" t="s">
        <v>551</v>
      </c>
      <c r="V42" s="194">
        <f>SUM(Data!AA6:AA55)</f>
        <v>0</v>
      </c>
      <c r="W42" s="208" t="s">
        <v>922</v>
      </c>
      <c r="AA42" s="194" t="str">
        <f>Auxiliar2!AK38</f>
        <v/>
      </c>
      <c r="AB42" s="194" t="str">
        <f>IF(ISNUMBER(tbl_buoyancy[[#This Row],[Empuxo]]), Auxiliar2!AL38, "")</f>
        <v/>
      </c>
    </row>
    <row r="43" spans="1:28" ht="13" x14ac:dyDescent="0.25">
      <c r="A43" s="695"/>
      <c r="B43" s="351" t="s">
        <v>928</v>
      </c>
      <c r="C43" s="201"/>
      <c r="D43" s="196">
        <f>ROUND(C43,2)</f>
        <v>0</v>
      </c>
      <c r="E43" s="175" t="s">
        <v>830</v>
      </c>
      <c r="G43" s="687"/>
      <c r="H43" s="194"/>
      <c r="I43" s="194"/>
      <c r="J43" s="194"/>
      <c r="K43" s="194"/>
      <c r="M43" s="548"/>
      <c r="N43" s="191"/>
      <c r="O43" s="194"/>
      <c r="P43" s="194"/>
      <c r="Q43" s="175"/>
      <c r="T43" s="208" t="s">
        <v>929</v>
      </c>
      <c r="U43" s="207" t="s">
        <v>551</v>
      </c>
      <c r="V43" s="194" cm="1">
        <f t="array" ref="V43">IF(ISNUMBER(INDEX(Data!AB6:AB55,MATCH(TRUE,ISNUMBER(Data!AB6:AB55),0))),INDEX(Data!AB6:AB55,MATCH(TRUE,ISNUMBER(Data!AB6:AB55),0)),0)</f>
        <v>0</v>
      </c>
      <c r="W43" s="208" t="s">
        <v>830</v>
      </c>
      <c r="AA43" s="194" t="str">
        <f>Auxiliar2!AK39</f>
        <v/>
      </c>
      <c r="AB43" s="194" t="str">
        <f>IF(ISNUMBER(tbl_buoyancy[[#This Row],[Empuxo]]), Auxiliar2!AL39, "")</f>
        <v/>
      </c>
    </row>
    <row r="44" spans="1:28" ht="13" x14ac:dyDescent="0.25">
      <c r="A44" s="695"/>
      <c r="B44" s="351" t="s">
        <v>930</v>
      </c>
      <c r="C44" s="203"/>
      <c r="D44" s="196">
        <f>ROUND(C44,2)</f>
        <v>0</v>
      </c>
      <c r="E44" s="208" t="s">
        <v>931</v>
      </c>
      <c r="G44" s="687"/>
      <c r="H44" s="194"/>
      <c r="I44" s="194"/>
      <c r="J44" s="194"/>
      <c r="K44" s="194"/>
      <c r="M44" s="688" t="s">
        <v>854</v>
      </c>
      <c r="N44" s="352" t="s">
        <v>855</v>
      </c>
      <c r="O44" s="202"/>
      <c r="P44" s="196">
        <f>ROUNDDOWN(O44,2)</f>
        <v>0</v>
      </c>
      <c r="Q44" s="208" t="s">
        <v>830</v>
      </c>
      <c r="T44" s="16" t="s">
        <v>932</v>
      </c>
      <c r="U44" s="207" t="s">
        <v>551</v>
      </c>
      <c r="V44" s="194" t="str">
        <f>Auxiliar2!$Z$2</f>
        <v>Boia</v>
      </c>
      <c r="W44" s="208" t="s">
        <v>588</v>
      </c>
      <c r="AA44" s="194" t="str">
        <f>Auxiliar2!AK40</f>
        <v/>
      </c>
      <c r="AB44" s="194" t="str">
        <f>IF(ISNUMBER(tbl_buoyancy[[#This Row],[Empuxo]]), Auxiliar2!AL40, "")</f>
        <v/>
      </c>
    </row>
    <row r="45" spans="1:28" ht="13" x14ac:dyDescent="0.25">
      <c r="A45" s="695"/>
      <c r="B45" s="355" t="s">
        <v>877</v>
      </c>
      <c r="C45" s="202"/>
      <c r="D45" s="196">
        <f>ABS(C45)</f>
        <v>0</v>
      </c>
      <c r="E45" s="208" t="s">
        <v>830</v>
      </c>
      <c r="G45" s="687"/>
      <c r="H45" s="194"/>
      <c r="I45" s="194"/>
      <c r="J45" s="194"/>
      <c r="K45" s="194"/>
      <c r="M45" s="689"/>
      <c r="N45" s="352" t="s">
        <v>933</v>
      </c>
      <c r="O45" s="202"/>
      <c r="P45" s="192">
        <f>ROUND(O45,2)</f>
        <v>0</v>
      </c>
      <c r="Q45" s="208" t="s">
        <v>830</v>
      </c>
      <c r="AA45" s="194" t="str">
        <f>Auxiliar2!AK41</f>
        <v/>
      </c>
      <c r="AB45" s="194" t="str">
        <f>IF(ISNUMBER(tbl_buoyancy[[#This Row],[Empuxo]]), Auxiliar2!AL41, "")</f>
        <v/>
      </c>
    </row>
    <row r="46" spans="1:28" ht="13" x14ac:dyDescent="0.25">
      <c r="A46" s="695"/>
      <c r="B46" s="352" t="s">
        <v>874</v>
      </c>
      <c r="C46" s="202"/>
      <c r="D46" s="196">
        <f>ROUND(C46,2)</f>
        <v>0</v>
      </c>
      <c r="E46" s="208" t="s">
        <v>830</v>
      </c>
      <c r="G46" s="687"/>
      <c r="H46" s="194"/>
      <c r="I46" s="194"/>
      <c r="J46" s="194"/>
      <c r="K46" s="194"/>
      <c r="M46" s="689"/>
      <c r="N46" s="352" t="s">
        <v>934</v>
      </c>
      <c r="O46" s="202"/>
      <c r="P46" s="196">
        <f>ROUND(O46,4)</f>
        <v>0</v>
      </c>
      <c r="Q46" s="208" t="s">
        <v>830</v>
      </c>
      <c r="T46" s="167" t="s">
        <v>935</v>
      </c>
      <c r="V46" s="324" t="s">
        <v>936</v>
      </c>
      <c r="X46" s="523" t="s">
        <v>937</v>
      </c>
      <c r="AA46" s="194" t="str">
        <f>Auxiliar2!AK42</f>
        <v/>
      </c>
      <c r="AB46" s="194" t="str">
        <f>IF(ISNUMBER(tbl_buoyancy[[#This Row],[Empuxo]]), Auxiliar2!AL42, "")</f>
        <v/>
      </c>
    </row>
    <row r="47" spans="1:28" ht="13" x14ac:dyDescent="0.25">
      <c r="A47" s="695"/>
      <c r="B47" s="352" t="s">
        <v>938</v>
      </c>
      <c r="C47" s="202"/>
      <c r="D47" s="196">
        <f>ROUND(C47,0)</f>
        <v>0</v>
      </c>
      <c r="E47" s="208" t="s">
        <v>830</v>
      </c>
      <c r="G47" s="687"/>
      <c r="H47" s="194"/>
      <c r="I47" s="194"/>
      <c r="J47" s="194"/>
      <c r="K47" s="194"/>
      <c r="M47" s="689"/>
      <c r="N47" s="352" t="s">
        <v>939</v>
      </c>
      <c r="O47" s="202"/>
      <c r="P47" s="196">
        <f>ROUND(O47,4)</f>
        <v>0</v>
      </c>
      <c r="Q47" s="208" t="s">
        <v>830</v>
      </c>
      <c r="T47" s="194" t="str">
        <f>TRIM(IF(Values!A14="",Values!A12,_xlfn.CONCAT(Values!A12," Rev. ",Values!A14)))</f>
        <v>NOV-101-9101 Rev. C</v>
      </c>
      <c r="V47" s="209" t="s">
        <v>1237</v>
      </c>
      <c r="X47" s="16" t="s">
        <v>940</v>
      </c>
      <c r="AA47" s="194" t="str">
        <f>Auxiliar2!AK43</f>
        <v/>
      </c>
      <c r="AB47" s="194" t="str">
        <f>IF(ISNUMBER(tbl_buoyancy[[#This Row],[Empuxo]]), Auxiliar2!AL43, "")</f>
        <v/>
      </c>
    </row>
    <row r="48" spans="1:28" ht="13" x14ac:dyDescent="0.25">
      <c r="A48" s="695"/>
      <c r="B48" s="352" t="s">
        <v>941</v>
      </c>
      <c r="C48" s="202"/>
      <c r="D48" s="196">
        <f>ROUND(C48,0)</f>
        <v>0</v>
      </c>
      <c r="E48" s="208" t="s">
        <v>830</v>
      </c>
      <c r="G48" s="687"/>
      <c r="H48" s="194"/>
      <c r="I48" s="194"/>
      <c r="J48" s="194"/>
      <c r="K48" s="194"/>
      <c r="M48" s="689"/>
      <c r="N48" s="352" t="s">
        <v>942</v>
      </c>
      <c r="O48" s="202"/>
      <c r="P48" s="196">
        <f>ROUND(O48,4)</f>
        <v>0</v>
      </c>
      <c r="Q48" s="208" t="s">
        <v>830</v>
      </c>
      <c r="T48" s="194" t="str">
        <f>TRIM(IF(Values!A28="",Values!A26,_xlfn.CONCAT(Values!A26," Rev. ",Values!A28)))</f>
        <v>15762-DWG-BR-102 Rev. 4</v>
      </c>
      <c r="X48" s="16" t="s">
        <v>943</v>
      </c>
      <c r="AA48" s="194" t="str">
        <f>Auxiliar2!AK44</f>
        <v/>
      </c>
      <c r="AB48" s="194" t="str">
        <f>IF(ISNUMBER(tbl_buoyancy[[#This Row],[Empuxo]]), Auxiliar2!AL44, "")</f>
        <v/>
      </c>
    </row>
    <row r="49" spans="1:28" ht="13" x14ac:dyDescent="0.25">
      <c r="A49" s="695"/>
      <c r="B49" s="355" t="s">
        <v>880</v>
      </c>
      <c r="C49" s="202"/>
      <c r="D49" s="192">
        <f>ROUND(C49/9.81,2)</f>
        <v>0</v>
      </c>
      <c r="E49" s="208" t="s">
        <v>881</v>
      </c>
      <c r="G49" s="688" t="s">
        <v>854</v>
      </c>
      <c r="H49" s="352" t="s">
        <v>868</v>
      </c>
      <c r="I49" s="202"/>
      <c r="J49" s="192">
        <f>ROUNDUP(I49,2)</f>
        <v>0</v>
      </c>
      <c r="K49" s="208" t="s">
        <v>858</v>
      </c>
      <c r="M49" s="689"/>
      <c r="N49" s="352" t="s">
        <v>897</v>
      </c>
      <c r="O49" s="202"/>
      <c r="P49" s="196">
        <f>ROUND(O49,4)</f>
        <v>0</v>
      </c>
      <c r="Q49" s="208" t="s">
        <v>830</v>
      </c>
      <c r="T49" s="194" t="str">
        <f>TRIM(IF(Values!A49="",Values!A47,_xlfn.CONCAT(Values!A47," Rev. ",Values!A49)))</f>
        <v>15762-DWG-EF-102 Rev. A</v>
      </c>
      <c r="V49" s="324" t="s">
        <v>944</v>
      </c>
      <c r="X49" s="16" t="s">
        <v>945</v>
      </c>
      <c r="AA49" s="194" t="str">
        <f>Auxiliar2!AK45</f>
        <v/>
      </c>
      <c r="AB49" s="194" t="str">
        <f>IF(ISNUMBER(tbl_buoyancy[[#This Row],[Empuxo]]), Auxiliar2!AL45, "")</f>
        <v/>
      </c>
    </row>
    <row r="50" spans="1:28" ht="13" x14ac:dyDescent="0.25">
      <c r="A50" s="695"/>
      <c r="B50" s="355" t="s">
        <v>883</v>
      </c>
      <c r="C50" s="202"/>
      <c r="D50" s="192">
        <f>ROUND(C50/9.81,2)</f>
        <v>0</v>
      </c>
      <c r="E50" s="208" t="s">
        <v>881</v>
      </c>
      <c r="G50" s="689"/>
      <c r="H50" s="352" t="s">
        <v>871</v>
      </c>
      <c r="I50" s="202"/>
      <c r="J50" s="192">
        <f>ROUNDUP(I50,2)</f>
        <v>0</v>
      </c>
      <c r="K50" s="208" t="s">
        <v>862</v>
      </c>
      <c r="M50" s="689"/>
      <c r="N50" s="352" t="s">
        <v>946</v>
      </c>
      <c r="O50" s="202"/>
      <c r="P50" s="196">
        <f>ROUND(O50,4)</f>
        <v>0</v>
      </c>
      <c r="Q50" s="208" t="s">
        <v>830</v>
      </c>
      <c r="T50" s="194" t="str">
        <f>TRIM(IF(Values!A60="","xinputx",IF(Values!A62="",Values!A60,_xlfn.CONCAT(Values!A60," Rev. ",Values!A62))))</f>
        <v>DE-F-05-J-0158 Rev. A</v>
      </c>
      <c r="V50" s="326">
        <v>1</v>
      </c>
      <c r="AA50" s="194" t="str">
        <f>Auxiliar2!AK46</f>
        <v/>
      </c>
      <c r="AB50" s="194" t="str">
        <f>IF(ISNUMBER(tbl_buoyancy[[#This Row],[Empuxo]]), Auxiliar2!AL46, "")</f>
        <v/>
      </c>
    </row>
    <row r="51" spans="1:28" ht="13" x14ac:dyDescent="0.25">
      <c r="A51" s="695"/>
      <c r="B51" s="354" t="s">
        <v>947</v>
      </c>
      <c r="C51" s="202"/>
      <c r="D51" s="196">
        <f>ROUND(C51, 0)</f>
        <v>0</v>
      </c>
      <c r="E51" s="208" t="s">
        <v>830</v>
      </c>
      <c r="G51" s="689"/>
      <c r="H51" s="352" t="s">
        <v>865</v>
      </c>
      <c r="I51" s="202"/>
      <c r="J51" s="196">
        <f>ROUNDDOWN(I51,2)</f>
        <v>0</v>
      </c>
      <c r="K51" s="208" t="s">
        <v>830</v>
      </c>
      <c r="M51" s="689"/>
      <c r="N51" s="351" t="s">
        <v>857</v>
      </c>
      <c r="O51" s="202"/>
      <c r="P51" s="196">
        <f>ROUNDUP(O51,2)*(-1)</f>
        <v>0</v>
      </c>
      <c r="Q51" s="208" t="s">
        <v>858</v>
      </c>
      <c r="T51" s="194" t="str">
        <f>TRIM(IF(AND('MCV e Guindaste'!B5=0,'MCV e Guindaste'!B6=0),"xinputx",IF('MCV e Guindaste'!B5="",'MCV e Guindaste'!B6,IF('MCV e Guindaste'!B6="",'MCV e Guindaste'!B5,_xlfn.CONCAT('MCV e Guindaste'!B6," / ",'MCV e Guindaste'!B5)))))</f>
        <v>2184362-14 / SK-130685-17 / OneSubsea</v>
      </c>
      <c r="AA51" s="194" t="str">
        <f>Auxiliar2!AK47</f>
        <v/>
      </c>
      <c r="AB51" s="194" t="str">
        <f>IF(ISNUMBER(tbl_buoyancy[[#This Row],[Empuxo]]), Auxiliar2!AL47, "")</f>
        <v/>
      </c>
    </row>
    <row r="52" spans="1:28" ht="13" x14ac:dyDescent="0.25">
      <c r="A52" s="695"/>
      <c r="B52" s="354" t="s">
        <v>948</v>
      </c>
      <c r="C52" s="202"/>
      <c r="D52" s="196">
        <f>ROUND(C52,0)</f>
        <v>0</v>
      </c>
      <c r="E52" s="208" t="s">
        <v>830</v>
      </c>
      <c r="G52" s="689"/>
      <c r="H52" s="352" t="s">
        <v>855</v>
      </c>
      <c r="I52" s="202"/>
      <c r="J52" s="196">
        <f>ROUNDDOWN(I52,2)</f>
        <v>0</v>
      </c>
      <c r="K52" s="208" t="s">
        <v>830</v>
      </c>
      <c r="M52" s="689"/>
      <c r="N52" s="351" t="s">
        <v>861</v>
      </c>
      <c r="O52" s="202"/>
      <c r="P52" s="196">
        <f>ROUNDUP(O52,2)</f>
        <v>0</v>
      </c>
      <c r="Q52" s="208" t="s">
        <v>862</v>
      </c>
      <c r="AA52" s="194" t="str">
        <f>Auxiliar2!AK48</f>
        <v/>
      </c>
      <c r="AB52" s="194" t="str">
        <f>IF(ISNUMBER(tbl_buoyancy[[#This Row],[Empuxo]]), Auxiliar2!AL48, "")</f>
        <v/>
      </c>
    </row>
    <row r="53" spans="1:28" ht="13" x14ac:dyDescent="0.25">
      <c r="A53" s="695"/>
      <c r="B53" s="200"/>
      <c r="C53" s="201"/>
      <c r="D53" s="194"/>
      <c r="E53" s="175"/>
      <c r="G53" s="689"/>
      <c r="H53" s="352" t="s">
        <v>906</v>
      </c>
      <c r="I53" s="202"/>
      <c r="J53" s="196">
        <f>ROUNDUP(I53,2)*(-1)</f>
        <v>0</v>
      </c>
      <c r="K53" s="208" t="s">
        <v>858</v>
      </c>
      <c r="M53" s="689"/>
      <c r="N53" s="352" t="s">
        <v>865</v>
      </c>
      <c r="O53" s="202"/>
      <c r="P53" s="196">
        <f>ROUNDDOWN(O53,2)</f>
        <v>0</v>
      </c>
      <c r="Q53" s="208" t="s">
        <v>830</v>
      </c>
      <c r="T53" s="167" t="s">
        <v>949</v>
      </c>
      <c r="V53" s="691" t="s">
        <v>950</v>
      </c>
      <c r="W53" s="692"/>
      <c r="AA53" s="194" t="str">
        <f>Auxiliar2!AK49</f>
        <v/>
      </c>
      <c r="AB53" s="194" t="str">
        <f>IF(ISNUMBER(tbl_buoyancy[[#This Row],[Empuxo]]), Auxiliar2!AL49, "")</f>
        <v/>
      </c>
    </row>
    <row r="54" spans="1:28" ht="13" x14ac:dyDescent="0.25">
      <c r="A54" s="695"/>
      <c r="B54" s="200"/>
      <c r="C54" s="201"/>
      <c r="D54" s="194"/>
      <c r="E54" s="175"/>
      <c r="G54" s="689"/>
      <c r="H54" s="352" t="s">
        <v>951</v>
      </c>
      <c r="I54" s="202"/>
      <c r="J54" s="192">
        <f>ROUNDUP(I54,2)</f>
        <v>0</v>
      </c>
      <c r="K54" s="208" t="s">
        <v>862</v>
      </c>
      <c r="M54" s="689"/>
      <c r="N54" s="351" t="s">
        <v>868</v>
      </c>
      <c r="O54" s="201"/>
      <c r="P54" s="192">
        <f>ROUNDUP(O54,2)</f>
        <v>0</v>
      </c>
      <c r="Q54" s="208" t="s">
        <v>858</v>
      </c>
      <c r="T54" s="16" t="s">
        <v>952</v>
      </c>
      <c r="V54" s="311" t="s">
        <v>953</v>
      </c>
      <c r="W54" s="311" t="s">
        <v>954</v>
      </c>
      <c r="AA54" s="194" t="str">
        <f>Auxiliar2!AK50</f>
        <v/>
      </c>
      <c r="AB54" s="194" t="str">
        <f>IF(ISNUMBER(tbl_buoyancy[[#This Row],[Empuxo]]), Auxiliar2!AL50, "")</f>
        <v/>
      </c>
    </row>
    <row r="55" spans="1:28" ht="13" x14ac:dyDescent="0.25">
      <c r="A55" s="695"/>
      <c r="B55" s="200"/>
      <c r="C55" s="201"/>
      <c r="D55" s="194"/>
      <c r="E55" s="175"/>
      <c r="G55" s="689"/>
      <c r="H55" s="201"/>
      <c r="I55" s="201"/>
      <c r="J55" s="194"/>
      <c r="K55" s="209"/>
      <c r="M55" s="689"/>
      <c r="N55" s="351" t="s">
        <v>871</v>
      </c>
      <c r="O55" s="201"/>
      <c r="P55" s="192">
        <f>ROUNDUP(O55,2)</f>
        <v>0</v>
      </c>
      <c r="Q55" s="175" t="s">
        <v>862</v>
      </c>
      <c r="T55" s="16" t="s">
        <v>955</v>
      </c>
      <c r="V55" s="175" t="s">
        <v>956</v>
      </c>
      <c r="W55" s="175" t="s">
        <v>957</v>
      </c>
      <c r="AA55" s="194" t="str">
        <f>Auxiliar2!AK51</f>
        <v/>
      </c>
      <c r="AB55" s="194" t="str">
        <f>IF(ISNUMBER(tbl_buoyancy[[#This Row],[Empuxo]]), Auxiliar2!AL51, "")</f>
        <v/>
      </c>
    </row>
    <row r="56" spans="1:28" ht="13" x14ac:dyDescent="0.25">
      <c r="G56" s="689"/>
      <c r="H56" s="201"/>
      <c r="I56" s="201"/>
      <c r="J56" s="194"/>
      <c r="K56" s="209"/>
      <c r="M56" s="689"/>
      <c r="N56" s="352" t="s">
        <v>930</v>
      </c>
      <c r="O56" s="202"/>
      <c r="P56" s="196">
        <f>ROUNDUP(O56,2)</f>
        <v>0</v>
      </c>
      <c r="Q56" s="208" t="s">
        <v>958</v>
      </c>
      <c r="T56" s="16" t="s">
        <v>959</v>
      </c>
      <c r="V56" s="175" t="s">
        <v>960</v>
      </c>
      <c r="W56" s="175" t="s">
        <v>961</v>
      </c>
    </row>
    <row r="57" spans="1:28" ht="13" x14ac:dyDescent="0.25">
      <c r="G57" s="689"/>
      <c r="H57" s="201"/>
      <c r="I57" s="201"/>
      <c r="J57" s="194"/>
      <c r="K57" s="209"/>
      <c r="M57" s="689"/>
      <c r="N57" s="351" t="s">
        <v>962</v>
      </c>
      <c r="O57" s="201"/>
      <c r="P57" s="192">
        <f>ROUND(O57/9.81,2)</f>
        <v>0</v>
      </c>
      <c r="Q57" s="175" t="s">
        <v>881</v>
      </c>
      <c r="T57" s="16" t="s">
        <v>963</v>
      </c>
      <c r="V57" s="175" t="s">
        <v>964</v>
      </c>
      <c r="W57" s="175" t="s">
        <v>965</v>
      </c>
    </row>
    <row r="58" spans="1:28" ht="13" x14ac:dyDescent="0.25">
      <c r="G58" s="689"/>
      <c r="H58" s="201"/>
      <c r="I58" s="201"/>
      <c r="J58" s="194"/>
      <c r="K58" s="209"/>
      <c r="M58" s="690"/>
      <c r="N58" s="351" t="s">
        <v>966</v>
      </c>
      <c r="O58" s="201"/>
      <c r="P58" s="192">
        <f>ROUND(O58/9.81,2)</f>
        <v>0</v>
      </c>
      <c r="Q58" s="175" t="s">
        <v>881</v>
      </c>
      <c r="T58" s="16" t="s">
        <v>967</v>
      </c>
      <c r="V58" s="175" t="s">
        <v>968</v>
      </c>
      <c r="W58" s="175" t="s">
        <v>969</v>
      </c>
    </row>
    <row r="59" spans="1:28" x14ac:dyDescent="0.25">
      <c r="G59" s="689"/>
      <c r="H59" s="201"/>
      <c r="I59" s="201"/>
      <c r="J59" s="194"/>
      <c r="K59" s="209"/>
      <c r="T59" s="16" t="s">
        <v>970</v>
      </c>
      <c r="V59" s="175" t="s">
        <v>971</v>
      </c>
      <c r="W59" s="175" t="s">
        <v>972</v>
      </c>
    </row>
    <row r="60" spans="1:28" ht="12.75" customHeight="1" x14ac:dyDescent="0.25">
      <c r="F60" s="302"/>
      <c r="G60" s="689"/>
      <c r="H60" s="201"/>
      <c r="I60" s="201"/>
      <c r="J60" s="194"/>
      <c r="K60" s="209"/>
      <c r="L60" s="302"/>
      <c r="N60" s="685" t="s">
        <v>973</v>
      </c>
      <c r="O60" s="685"/>
      <c r="P60" s="685"/>
      <c r="Q60" s="685"/>
      <c r="R60" s="302"/>
      <c r="T60" s="16" t="s">
        <v>974</v>
      </c>
      <c r="V60" s="175" t="s">
        <v>975</v>
      </c>
      <c r="W60" s="175" t="s">
        <v>976</v>
      </c>
    </row>
    <row r="61" spans="1:28" ht="25" x14ac:dyDescent="0.25">
      <c r="F61" s="302"/>
      <c r="G61" s="689"/>
      <c r="H61" s="201"/>
      <c r="I61" s="201"/>
      <c r="J61" s="194"/>
      <c r="K61" s="209"/>
      <c r="L61" s="302"/>
      <c r="N61" s="148" t="s">
        <v>816</v>
      </c>
      <c r="O61" s="148" t="s">
        <v>817</v>
      </c>
      <c r="P61" s="148" t="s">
        <v>818</v>
      </c>
      <c r="Q61" s="148" t="s">
        <v>819</v>
      </c>
      <c r="R61" s="302"/>
      <c r="T61" s="16" t="s">
        <v>977</v>
      </c>
      <c r="V61" s="175" t="s">
        <v>978</v>
      </c>
      <c r="W61" s="175" t="s">
        <v>979</v>
      </c>
    </row>
    <row r="62" spans="1:28" x14ac:dyDescent="0.25">
      <c r="F62" s="302"/>
      <c r="G62" s="689"/>
      <c r="H62" s="201"/>
      <c r="I62" s="201"/>
      <c r="J62" s="194"/>
      <c r="K62" s="209"/>
      <c r="L62" s="302"/>
      <c r="M62" s="686" t="s">
        <v>827</v>
      </c>
      <c r="N62" s="191" t="s">
        <v>892</v>
      </c>
      <c r="O62" s="194">
        <f>hmax1_arclength_line_endb - hmax1_arclength_line_touchdown</f>
        <v>0</v>
      </c>
      <c r="P62" s="194" t="str">
        <f t="shared" ref="P62:P67" si="1">IF(_dvc_type=2, ROUND(O62, 2), "")</f>
        <v/>
      </c>
      <c r="Q62" s="175" t="s">
        <v>830</v>
      </c>
      <c r="R62" s="302"/>
      <c r="T62" s="16" t="s">
        <v>980</v>
      </c>
      <c r="V62" s="175" t="s">
        <v>981</v>
      </c>
      <c r="W62" s="175" t="s">
        <v>982</v>
      </c>
    </row>
    <row r="63" spans="1:28" x14ac:dyDescent="0.25">
      <c r="F63" s="302"/>
      <c r="G63" s="690"/>
      <c r="H63" s="201"/>
      <c r="I63" s="201"/>
      <c r="J63" s="194"/>
      <c r="K63" s="209"/>
      <c r="L63" s="302"/>
      <c r="M63" s="687"/>
      <c r="N63" s="191" t="s">
        <v>895</v>
      </c>
      <c r="O63" s="194">
        <f>hmax1_z_line_endb + _lda</f>
        <v>0</v>
      </c>
      <c r="P63" s="194" t="str">
        <f t="shared" si="1"/>
        <v/>
      </c>
      <c r="Q63" s="175" t="s">
        <v>830</v>
      </c>
      <c r="R63" s="302"/>
      <c r="T63" s="16" t="s">
        <v>983</v>
      </c>
      <c r="V63" s="551" t="s">
        <v>984</v>
      </c>
      <c r="W63" s="237" t="str">
        <f>IF(_dvc_type=1, "IGNORAR", "Hmax")</f>
        <v>IGNORAR</v>
      </c>
    </row>
    <row r="64" spans="1:28" x14ac:dyDescent="0.25">
      <c r="F64" s="302"/>
      <c r="G64" s="549"/>
      <c r="H64" s="206"/>
      <c r="K64" s="206"/>
      <c r="L64" s="302"/>
      <c r="M64" s="687"/>
      <c r="N64" s="191" t="s">
        <v>898</v>
      </c>
      <c r="O64" s="194">
        <f>hmax1_x_line_touchdown - hmax1_x_line_endb</f>
        <v>0</v>
      </c>
      <c r="P64" s="194" t="str">
        <f t="shared" si="1"/>
        <v/>
      </c>
      <c r="Q64" s="175" t="s">
        <v>830</v>
      </c>
      <c r="R64" s="302"/>
      <c r="T64" s="16" t="s">
        <v>985</v>
      </c>
      <c r="V64" s="175" t="s">
        <v>986</v>
      </c>
      <c r="W64" s="237" t="str">
        <f>IF(OR(_dvc_type=1, _total_buoyant&lt;&gt;0), "IGNORAR", "Puxada")</f>
        <v>IGNORAR</v>
      </c>
    </row>
    <row r="65" spans="2:23" x14ac:dyDescent="0.25">
      <c r="F65" s="302"/>
      <c r="G65" s="549"/>
      <c r="H65" s="685" t="s">
        <v>987</v>
      </c>
      <c r="I65" s="685"/>
      <c r="J65" s="685"/>
      <c r="K65" s="685"/>
      <c r="L65" s="302"/>
      <c r="M65" s="687"/>
      <c r="N65" s="191" t="s">
        <v>901</v>
      </c>
      <c r="O65" s="194">
        <f>hmax1_arclength_line_endb - static_position_corc1</f>
        <v>0</v>
      </c>
      <c r="P65" s="194" t="str">
        <f t="shared" si="1"/>
        <v/>
      </c>
      <c r="Q65" s="175"/>
      <c r="R65" s="302"/>
      <c r="V65" s="551" t="s">
        <v>988</v>
      </c>
      <c r="W65" s="607" t="s">
        <v>989</v>
      </c>
    </row>
    <row r="66" spans="2:23" ht="25" x14ac:dyDescent="0.25">
      <c r="F66" s="302"/>
      <c r="G66" s="549"/>
      <c r="H66" s="148" t="s">
        <v>816</v>
      </c>
      <c r="I66" s="148" t="s">
        <v>817</v>
      </c>
      <c r="J66" s="148" t="s">
        <v>818</v>
      </c>
      <c r="K66" s="148" t="s">
        <v>819</v>
      </c>
      <c r="L66" s="302"/>
      <c r="M66" s="687"/>
      <c r="N66" s="191" t="s">
        <v>904</v>
      </c>
      <c r="O66" s="194">
        <f>hmax1_arclength_line_endb - static_position_corc2</f>
        <v>0</v>
      </c>
      <c r="P66" s="194" t="str">
        <f t="shared" si="1"/>
        <v/>
      </c>
      <c r="Q66" s="175"/>
      <c r="R66" s="302"/>
      <c r="T66" s="210" t="s">
        <v>990</v>
      </c>
    </row>
    <row r="67" spans="2:23" ht="12.65" customHeight="1" x14ac:dyDescent="0.25">
      <c r="F67" s="302"/>
      <c r="G67" s="686" t="s">
        <v>827</v>
      </c>
      <c r="H67" s="193" t="s">
        <v>991</v>
      </c>
      <c r="I67" s="192">
        <f>Auxiliar4!X4</f>
        <v>0</v>
      </c>
      <c r="J67" s="196">
        <f>ROUND(I67,2)</f>
        <v>0</v>
      </c>
      <c r="K67" s="208" t="s">
        <v>830</v>
      </c>
      <c r="L67" s="302"/>
      <c r="M67" s="687"/>
      <c r="N67" s="191" t="s">
        <v>848</v>
      </c>
      <c r="O67" s="194" t="e">
        <f>hmax1_comp_susp - hmax1_dist_tdp_flange</f>
        <v>#VALUE!</v>
      </c>
      <c r="P67" s="194" t="str">
        <f t="shared" si="1"/>
        <v/>
      </c>
      <c r="Q67" s="175" t="s">
        <v>830</v>
      </c>
      <c r="R67" s="302"/>
      <c r="T67" s="185" t="s">
        <v>992</v>
      </c>
    </row>
    <row r="68" spans="2:23" x14ac:dyDescent="0.25">
      <c r="F68" s="302"/>
      <c r="G68" s="687"/>
      <c r="H68" s="193" t="s">
        <v>825</v>
      </c>
      <c r="I68" s="192">
        <f>Auxiliar4!X6</f>
        <v>0</v>
      </c>
      <c r="J68" s="196">
        <f>ROUND(I68,2)</f>
        <v>0</v>
      </c>
      <c r="K68" s="208" t="s">
        <v>922</v>
      </c>
      <c r="L68" s="302"/>
      <c r="M68" s="687"/>
      <c r="N68" s="191"/>
      <c r="O68" s="194"/>
      <c r="P68" s="194"/>
      <c r="Q68" s="175"/>
      <c r="R68" s="302"/>
      <c r="T68" s="185" t="s">
        <v>993</v>
      </c>
    </row>
    <row r="69" spans="2:23" x14ac:dyDescent="0.25">
      <c r="F69" s="302"/>
      <c r="G69" s="687"/>
      <c r="H69" s="191"/>
      <c r="I69" s="194"/>
      <c r="J69" s="194"/>
      <c r="K69" s="175"/>
      <c r="L69" s="302"/>
      <c r="M69" s="687"/>
      <c r="N69" s="191"/>
      <c r="O69" s="194"/>
      <c r="P69" s="194"/>
      <c r="Q69" s="175"/>
      <c r="R69" s="302"/>
      <c r="T69" s="185" t="s">
        <v>994</v>
      </c>
    </row>
    <row r="70" spans="2:23" x14ac:dyDescent="0.25">
      <c r="F70" s="302"/>
      <c r="G70" s="687"/>
      <c r="H70" s="550"/>
      <c r="I70" s="313"/>
      <c r="J70" s="313"/>
      <c r="K70" s="551"/>
      <c r="L70" s="302"/>
      <c r="M70" s="687"/>
      <c r="N70" s="191"/>
      <c r="O70" s="194"/>
      <c r="P70" s="194"/>
      <c r="Q70" s="175"/>
      <c r="R70" s="302"/>
      <c r="T70" s="185" t="s">
        <v>995</v>
      </c>
    </row>
    <row r="71" spans="2:23" x14ac:dyDescent="0.25">
      <c r="F71" s="302"/>
      <c r="G71" s="687"/>
      <c r="H71" s="191"/>
      <c r="I71" s="194"/>
      <c r="J71" s="194"/>
      <c r="K71" s="175"/>
      <c r="L71" s="302"/>
      <c r="M71" s="687"/>
      <c r="N71" s="191"/>
      <c r="O71" s="194"/>
      <c r="P71" s="194"/>
      <c r="Q71" s="175"/>
      <c r="R71" s="302"/>
      <c r="T71" s="185" t="s">
        <v>996</v>
      </c>
    </row>
    <row r="72" spans="2:23" x14ac:dyDescent="0.25">
      <c r="F72" s="302"/>
      <c r="G72" s="687"/>
      <c r="H72" s="191"/>
      <c r="I72" s="194"/>
      <c r="J72" s="194"/>
      <c r="K72" s="175"/>
      <c r="L72" s="302"/>
      <c r="M72" s="547"/>
      <c r="N72" s="191"/>
      <c r="O72" s="194"/>
      <c r="P72" s="194"/>
      <c r="Q72" s="175"/>
      <c r="R72" s="302"/>
      <c r="T72" s="185" t="s">
        <v>997</v>
      </c>
    </row>
    <row r="73" spans="2:23" x14ac:dyDescent="0.25">
      <c r="F73" s="302"/>
      <c r="G73" s="687"/>
      <c r="H73" s="191"/>
      <c r="I73" s="194"/>
      <c r="J73" s="194"/>
      <c r="K73" s="175"/>
      <c r="L73" s="302"/>
      <c r="M73" s="547"/>
      <c r="N73" s="191"/>
      <c r="O73" s="194"/>
      <c r="P73" s="194"/>
      <c r="Q73" s="175"/>
      <c r="R73" s="302"/>
    </row>
    <row r="74" spans="2:23" x14ac:dyDescent="0.25">
      <c r="F74" s="302"/>
      <c r="G74" s="687"/>
      <c r="H74" s="191"/>
      <c r="I74" s="194"/>
      <c r="J74" s="194"/>
      <c r="K74" s="175"/>
      <c r="L74" s="302"/>
      <c r="M74" s="547"/>
      <c r="N74" s="191"/>
      <c r="O74" s="194"/>
      <c r="P74" s="194"/>
      <c r="Q74" s="175"/>
      <c r="R74" s="302"/>
      <c r="T74" s="560" t="s">
        <v>998</v>
      </c>
      <c r="U74" s="561"/>
    </row>
    <row r="75" spans="2:23" ht="12.75" customHeight="1" x14ac:dyDescent="0.25">
      <c r="F75" s="302"/>
      <c r="G75" s="687"/>
      <c r="H75" s="191"/>
      <c r="I75" s="194"/>
      <c r="J75" s="194"/>
      <c r="K75" s="175"/>
      <c r="L75" s="302"/>
      <c r="M75" s="547"/>
      <c r="N75" s="191"/>
      <c r="O75" s="194"/>
      <c r="P75" s="194"/>
      <c r="Q75" s="175"/>
      <c r="R75" s="302"/>
      <c r="T75" s="522" t="s">
        <v>999</v>
      </c>
      <c r="U75" s="522" t="s">
        <v>1000</v>
      </c>
    </row>
    <row r="76" spans="2:23" x14ac:dyDescent="0.25">
      <c r="F76" s="302"/>
      <c r="G76" s="687"/>
      <c r="H76" s="191"/>
      <c r="I76" s="194"/>
      <c r="J76" s="194"/>
      <c r="K76" s="175"/>
      <c r="L76" s="302"/>
      <c r="M76" s="548"/>
      <c r="N76" s="191"/>
      <c r="O76" s="194"/>
      <c r="P76" s="194"/>
      <c r="Q76" s="175"/>
      <c r="R76" s="302"/>
      <c r="T76" s="522" t="s">
        <v>1001</v>
      </c>
      <c r="U76" s="522" t="s">
        <v>1002</v>
      </c>
    </row>
    <row r="77" spans="2:23" ht="13" x14ac:dyDescent="0.25">
      <c r="F77" s="302"/>
      <c r="G77" s="688" t="s">
        <v>854</v>
      </c>
      <c r="H77" s="352" t="s">
        <v>868</v>
      </c>
      <c r="I77" s="202"/>
      <c r="J77" s="192">
        <f>ROUNDUP(I77,2)</f>
        <v>0</v>
      </c>
      <c r="K77" s="208" t="s">
        <v>858</v>
      </c>
      <c r="L77" s="302"/>
      <c r="M77" s="688" t="s">
        <v>854</v>
      </c>
      <c r="N77" s="352" t="s">
        <v>855</v>
      </c>
      <c r="O77" s="202"/>
      <c r="P77" s="196">
        <f>ROUNDDOWN(O77,2)</f>
        <v>0</v>
      </c>
      <c r="Q77" s="208" t="s">
        <v>830</v>
      </c>
      <c r="R77" s="302"/>
      <c r="T77" s="522" t="s">
        <v>1003</v>
      </c>
      <c r="U77" s="522" t="s">
        <v>1004</v>
      </c>
    </row>
    <row r="78" spans="2:23" ht="13" x14ac:dyDescent="0.25">
      <c r="B78" s="206"/>
      <c r="C78" s="206"/>
      <c r="D78" s="206"/>
      <c r="E78" s="206"/>
      <c r="F78" s="302"/>
      <c r="G78" s="689"/>
      <c r="H78" s="353" t="s">
        <v>871</v>
      </c>
      <c r="I78" s="202"/>
      <c r="J78" s="192">
        <f>ROUNDUP(I78,2)</f>
        <v>0</v>
      </c>
      <c r="K78" s="208" t="s">
        <v>862</v>
      </c>
      <c r="L78" s="302"/>
      <c r="M78" s="689"/>
      <c r="N78" s="352" t="s">
        <v>933</v>
      </c>
      <c r="O78" s="202"/>
      <c r="P78" s="192">
        <f>ROUND(O78,2)</f>
        <v>0</v>
      </c>
      <c r="Q78" s="208" t="s">
        <v>830</v>
      </c>
      <c r="R78" s="302"/>
      <c r="T78" s="522" t="s">
        <v>1005</v>
      </c>
      <c r="U78" s="522" t="s">
        <v>1006</v>
      </c>
    </row>
    <row r="79" spans="2:23" ht="13" x14ac:dyDescent="0.25">
      <c r="B79" s="206"/>
      <c r="C79" s="206"/>
      <c r="D79" s="206"/>
      <c r="E79" s="206"/>
      <c r="F79" s="302"/>
      <c r="G79" s="689"/>
      <c r="H79" s="352" t="s">
        <v>865</v>
      </c>
      <c r="I79" s="202"/>
      <c r="J79" s="196">
        <f>ROUNDDOWN(I79,2)</f>
        <v>0</v>
      </c>
      <c r="K79" s="208" t="s">
        <v>830</v>
      </c>
      <c r="L79" s="302"/>
      <c r="M79" s="689"/>
      <c r="N79" s="352" t="s">
        <v>934</v>
      </c>
      <c r="O79" s="202"/>
      <c r="P79" s="196">
        <f>ROUND(O79,4)</f>
        <v>0</v>
      </c>
      <c r="Q79" s="208" t="s">
        <v>830</v>
      </c>
      <c r="R79" s="302"/>
      <c r="T79" s="522" t="s">
        <v>1007</v>
      </c>
      <c r="U79" s="522" t="s">
        <v>1008</v>
      </c>
    </row>
    <row r="80" spans="2:23" ht="12.75" customHeight="1" x14ac:dyDescent="0.25">
      <c r="B80" s="206"/>
      <c r="C80" s="206"/>
      <c r="D80" s="206"/>
      <c r="E80" s="206"/>
      <c r="F80" s="302"/>
      <c r="G80" s="689"/>
      <c r="H80" s="352" t="s">
        <v>855</v>
      </c>
      <c r="I80" s="202"/>
      <c r="J80" s="196">
        <f>ROUNDDOWN(I80,2)</f>
        <v>0</v>
      </c>
      <c r="K80" s="208" t="s">
        <v>830</v>
      </c>
      <c r="L80" s="302"/>
      <c r="M80" s="689"/>
      <c r="N80" s="352" t="s">
        <v>939</v>
      </c>
      <c r="O80" s="202"/>
      <c r="P80" s="196">
        <f>ROUND(O80,4)</f>
        <v>0</v>
      </c>
      <c r="Q80" s="208" t="s">
        <v>830</v>
      </c>
      <c r="R80" s="302"/>
      <c r="T80" s="522" t="s">
        <v>1009</v>
      </c>
      <c r="U80" s="522" t="s">
        <v>1010</v>
      </c>
    </row>
    <row r="81" spans="2:21" ht="13" x14ac:dyDescent="0.25">
      <c r="B81" s="206"/>
      <c r="C81" s="206"/>
      <c r="D81" s="206"/>
      <c r="E81" s="206"/>
      <c r="F81" s="302"/>
      <c r="G81" s="689"/>
      <c r="H81" s="352" t="s">
        <v>906</v>
      </c>
      <c r="I81" s="202"/>
      <c r="J81" s="196">
        <f>ROUNDUP(I81,2)*(-1)</f>
        <v>0</v>
      </c>
      <c r="K81" s="208" t="s">
        <v>858</v>
      </c>
      <c r="L81" s="302"/>
      <c r="M81" s="689"/>
      <c r="N81" s="352" t="s">
        <v>942</v>
      </c>
      <c r="O81" s="202"/>
      <c r="P81" s="196">
        <f>ROUND(O81,4)</f>
        <v>0</v>
      </c>
      <c r="Q81" s="208" t="s">
        <v>830</v>
      </c>
      <c r="R81" s="302"/>
      <c r="T81" s="522" t="s">
        <v>1011</v>
      </c>
      <c r="U81" s="522" t="s">
        <v>1012</v>
      </c>
    </row>
    <row r="82" spans="2:21" ht="13" x14ac:dyDescent="0.25">
      <c r="B82" s="206"/>
      <c r="C82" s="206"/>
      <c r="D82" s="206"/>
      <c r="E82" s="206"/>
      <c r="F82" s="302"/>
      <c r="G82" s="689"/>
      <c r="H82" s="352" t="s">
        <v>951</v>
      </c>
      <c r="I82" s="202"/>
      <c r="J82" s="192">
        <f>ROUNDUP(I82,2)</f>
        <v>0</v>
      </c>
      <c r="K82" s="208" t="s">
        <v>862</v>
      </c>
      <c r="L82" s="302"/>
      <c r="M82" s="689"/>
      <c r="N82" s="352" t="s">
        <v>897</v>
      </c>
      <c r="O82" s="202"/>
      <c r="P82" s="196">
        <f>ROUND(O82,4)</f>
        <v>0</v>
      </c>
      <c r="Q82" s="208" t="s">
        <v>830</v>
      </c>
      <c r="R82" s="302"/>
      <c r="T82" s="522" t="s">
        <v>1013</v>
      </c>
      <c r="U82" s="522" t="s">
        <v>1014</v>
      </c>
    </row>
    <row r="83" spans="2:21" ht="13" x14ac:dyDescent="0.25">
      <c r="B83" s="206"/>
      <c r="C83" s="206"/>
      <c r="D83" s="206"/>
      <c r="E83" s="206"/>
      <c r="F83" s="302"/>
      <c r="G83" s="689"/>
      <c r="H83" s="204"/>
      <c r="I83" s="202"/>
      <c r="J83" s="192"/>
      <c r="K83" s="208"/>
      <c r="L83" s="302"/>
      <c r="M83" s="689"/>
      <c r="N83" s="352" t="s">
        <v>946</v>
      </c>
      <c r="O83" s="202"/>
      <c r="P83" s="196">
        <f>ROUND(O83,4)</f>
        <v>0</v>
      </c>
      <c r="Q83" s="208" t="s">
        <v>830</v>
      </c>
      <c r="R83" s="302"/>
    </row>
    <row r="84" spans="2:21" ht="13" x14ac:dyDescent="0.25">
      <c r="B84" s="206"/>
      <c r="C84" s="206"/>
      <c r="D84" s="206"/>
      <c r="E84" s="206"/>
      <c r="F84" s="302"/>
      <c r="G84" s="689"/>
      <c r="H84" s="205"/>
      <c r="I84" s="202"/>
      <c r="J84" s="192"/>
      <c r="K84" s="208"/>
      <c r="L84" s="302"/>
      <c r="M84" s="689"/>
      <c r="N84" s="351" t="s">
        <v>857</v>
      </c>
      <c r="O84" s="202"/>
      <c r="P84" s="196">
        <f>ROUNDUP(O84,2)*(-1)</f>
        <v>0</v>
      </c>
      <c r="Q84" s="208" t="s">
        <v>858</v>
      </c>
      <c r="R84" s="302"/>
    </row>
    <row r="85" spans="2:21" ht="13" x14ac:dyDescent="0.25">
      <c r="B85" s="206"/>
      <c r="C85" s="206"/>
      <c r="D85" s="206"/>
      <c r="E85" s="206"/>
      <c r="F85" s="302"/>
      <c r="G85" s="689"/>
      <c r="H85" s="200"/>
      <c r="I85" s="202"/>
      <c r="J85" s="196"/>
      <c r="K85" s="208"/>
      <c r="L85" s="302"/>
      <c r="M85" s="689"/>
      <c r="N85" s="351" t="s">
        <v>861</v>
      </c>
      <c r="O85" s="202"/>
      <c r="P85" s="196">
        <f>ROUNDUP(O85,2)</f>
        <v>0</v>
      </c>
      <c r="Q85" s="208" t="s">
        <v>862</v>
      </c>
      <c r="R85" s="302"/>
    </row>
    <row r="86" spans="2:21" ht="13" x14ac:dyDescent="0.25">
      <c r="B86" s="206"/>
      <c r="C86" s="206"/>
      <c r="D86" s="206"/>
      <c r="E86" s="206"/>
      <c r="F86" s="302"/>
      <c r="G86" s="689"/>
      <c r="H86" s="204"/>
      <c r="I86" s="202"/>
      <c r="J86" s="192"/>
      <c r="K86" s="208"/>
      <c r="L86" s="302"/>
      <c r="M86" s="689"/>
      <c r="N86" s="352" t="s">
        <v>865</v>
      </c>
      <c r="O86" s="202"/>
      <c r="P86" s="196">
        <f>ROUNDDOWN(O86,2)</f>
        <v>0</v>
      </c>
      <c r="Q86" s="208" t="s">
        <v>830</v>
      </c>
      <c r="R86" s="302"/>
    </row>
    <row r="87" spans="2:21" ht="13" x14ac:dyDescent="0.25">
      <c r="B87" s="206"/>
      <c r="C87" s="206"/>
      <c r="D87" s="206"/>
      <c r="E87" s="206"/>
      <c r="F87" s="302"/>
      <c r="G87" s="689"/>
      <c r="H87" s="204"/>
      <c r="I87" s="202"/>
      <c r="J87" s="192"/>
      <c r="K87" s="208"/>
      <c r="L87" s="302"/>
      <c r="M87" s="689"/>
      <c r="N87" s="351" t="s">
        <v>868</v>
      </c>
      <c r="O87" s="201"/>
      <c r="P87" s="192">
        <f>ROUNDUP(O87,2)</f>
        <v>0</v>
      </c>
      <c r="Q87" s="208" t="s">
        <v>858</v>
      </c>
      <c r="R87" s="302"/>
    </row>
    <row r="88" spans="2:21" ht="13" x14ac:dyDescent="0.25">
      <c r="B88" s="206"/>
      <c r="C88" s="206"/>
      <c r="D88" s="206"/>
      <c r="E88" s="206"/>
      <c r="F88" s="302"/>
      <c r="G88" s="689"/>
      <c r="H88" s="204"/>
      <c r="I88" s="202"/>
      <c r="J88" s="192"/>
      <c r="K88" s="208"/>
      <c r="L88" s="302"/>
      <c r="M88" s="689"/>
      <c r="N88" s="351" t="s">
        <v>871</v>
      </c>
      <c r="O88" s="201"/>
      <c r="P88" s="192">
        <f>ROUNDUP(O88,2)</f>
        <v>0</v>
      </c>
      <c r="Q88" s="175" t="s">
        <v>862</v>
      </c>
      <c r="R88" s="302"/>
    </row>
    <row r="89" spans="2:21" ht="13" x14ac:dyDescent="0.25">
      <c r="B89" s="206"/>
      <c r="C89" s="206"/>
      <c r="D89" s="206"/>
      <c r="E89" s="206"/>
      <c r="F89" s="302"/>
      <c r="G89" s="689"/>
      <c r="H89" s="204"/>
      <c r="I89" s="202"/>
      <c r="J89" s="192"/>
      <c r="K89" s="208"/>
      <c r="L89" s="302"/>
      <c r="M89" s="689"/>
      <c r="N89" s="352" t="s">
        <v>930</v>
      </c>
      <c r="O89" s="202"/>
      <c r="P89" s="196">
        <f>ROUNDUP(O89,2)</f>
        <v>0</v>
      </c>
      <c r="Q89" s="208" t="s">
        <v>958</v>
      </c>
      <c r="R89" s="302"/>
    </row>
    <row r="90" spans="2:21" ht="13" x14ac:dyDescent="0.25">
      <c r="B90" s="206"/>
      <c r="C90" s="206"/>
      <c r="D90" s="206"/>
      <c r="E90" s="206"/>
      <c r="F90" s="302"/>
      <c r="G90" s="689"/>
      <c r="H90" s="211"/>
      <c r="I90" s="202"/>
      <c r="J90" s="196"/>
      <c r="K90" s="208"/>
      <c r="L90" s="302"/>
      <c r="M90" s="689"/>
      <c r="N90" s="351" t="s">
        <v>962</v>
      </c>
      <c r="O90" s="201"/>
      <c r="P90" s="192">
        <f>ROUND(O90/9.81,2)</f>
        <v>0</v>
      </c>
      <c r="Q90" s="175" t="s">
        <v>881</v>
      </c>
      <c r="R90" s="302"/>
    </row>
    <row r="91" spans="2:21" ht="13" x14ac:dyDescent="0.25">
      <c r="B91" s="206"/>
      <c r="C91" s="206"/>
      <c r="D91" s="206"/>
      <c r="E91" s="206"/>
      <c r="F91" s="302"/>
      <c r="G91" s="690"/>
      <c r="H91" s="200"/>
      <c r="I91" s="201"/>
      <c r="J91" s="194"/>
      <c r="K91" s="175"/>
      <c r="L91" s="302"/>
      <c r="M91" s="690"/>
      <c r="N91" s="351" t="s">
        <v>966</v>
      </c>
      <c r="O91" s="201"/>
      <c r="P91" s="192">
        <f>ROUND(O91/9.81,2)</f>
        <v>0</v>
      </c>
      <c r="Q91" s="175" t="s">
        <v>881</v>
      </c>
      <c r="R91" s="302"/>
    </row>
    <row r="92" spans="2:21" x14ac:dyDescent="0.25">
      <c r="B92" s="206"/>
      <c r="C92" s="206"/>
      <c r="D92" s="206"/>
      <c r="E92" s="206"/>
      <c r="F92" s="302"/>
      <c r="G92" s="549"/>
      <c r="H92" s="206"/>
      <c r="K92" s="206"/>
      <c r="L92" s="302"/>
      <c r="R92" s="302"/>
    </row>
    <row r="93" spans="2:21" x14ac:dyDescent="0.25">
      <c r="B93" s="206"/>
      <c r="C93" s="206"/>
      <c r="D93" s="206"/>
      <c r="E93" s="206"/>
      <c r="F93" s="302"/>
      <c r="G93" s="549"/>
      <c r="H93" s="206"/>
      <c r="K93" s="206"/>
      <c r="L93" s="302"/>
      <c r="R93" s="302"/>
    </row>
    <row r="94" spans="2:21" x14ac:dyDescent="0.25">
      <c r="B94" s="206"/>
      <c r="C94" s="206"/>
      <c r="D94" s="206"/>
      <c r="E94" s="206"/>
      <c r="F94" s="302"/>
      <c r="G94" s="549"/>
      <c r="H94" s="206"/>
      <c r="K94" s="206"/>
      <c r="L94" s="302"/>
      <c r="R94" s="302"/>
    </row>
    <row r="95" spans="2:21" x14ac:dyDescent="0.25">
      <c r="B95" s="206"/>
      <c r="C95" s="206"/>
      <c r="D95" s="206"/>
      <c r="E95" s="206"/>
      <c r="F95" s="302"/>
      <c r="G95" s="549"/>
      <c r="H95" s="206"/>
      <c r="K95" s="206"/>
      <c r="L95" s="302"/>
      <c r="R95" s="302"/>
    </row>
    <row r="96" spans="2:21" x14ac:dyDescent="0.25">
      <c r="B96" s="206"/>
      <c r="C96" s="206"/>
      <c r="D96" s="206"/>
      <c r="E96" s="206"/>
      <c r="F96" s="302"/>
      <c r="G96" s="549"/>
      <c r="H96" s="206"/>
      <c r="K96" s="206"/>
      <c r="L96" s="302"/>
      <c r="R96" s="302"/>
    </row>
    <row r="97" spans="2:23" x14ac:dyDescent="0.25">
      <c r="B97" s="206"/>
      <c r="C97" s="206"/>
      <c r="D97" s="206"/>
      <c r="E97" s="206"/>
      <c r="F97" s="302"/>
      <c r="G97" s="549"/>
      <c r="H97" s="206"/>
      <c r="K97" s="206"/>
      <c r="L97" s="302"/>
      <c r="R97" s="302"/>
      <c r="T97" s="206"/>
    </row>
    <row r="98" spans="2:23" x14ac:dyDescent="0.25">
      <c r="B98" s="206"/>
      <c r="C98" s="206"/>
      <c r="D98" s="206"/>
      <c r="E98" s="206"/>
      <c r="F98" s="302"/>
      <c r="G98" s="549"/>
      <c r="H98" s="206"/>
      <c r="K98" s="206"/>
      <c r="L98" s="302"/>
      <c r="R98" s="302"/>
      <c r="V98" s="206"/>
      <c r="W98" s="206"/>
    </row>
    <row r="99" spans="2:23" x14ac:dyDescent="0.25">
      <c r="B99" s="206"/>
      <c r="C99" s="206"/>
      <c r="D99" s="206"/>
      <c r="E99" s="206"/>
      <c r="F99" s="302"/>
      <c r="G99" s="549"/>
      <c r="H99" s="206"/>
      <c r="K99" s="206"/>
      <c r="L99" s="302"/>
      <c r="R99" s="302"/>
    </row>
    <row r="100" spans="2:23" x14ac:dyDescent="0.25">
      <c r="B100" s="206"/>
      <c r="C100" s="206"/>
      <c r="D100" s="206"/>
      <c r="E100" s="206"/>
      <c r="F100" s="302"/>
      <c r="G100" s="549"/>
      <c r="H100" s="206"/>
      <c r="K100" s="206"/>
      <c r="L100" s="302"/>
      <c r="R100" s="302"/>
    </row>
    <row r="101" spans="2:23" x14ac:dyDescent="0.25">
      <c r="B101" s="206"/>
      <c r="C101" s="206"/>
      <c r="D101" s="206"/>
      <c r="E101" s="206"/>
      <c r="F101" s="302"/>
      <c r="G101" s="549"/>
      <c r="H101" s="206"/>
      <c r="K101" s="206"/>
      <c r="L101" s="302"/>
      <c r="R101" s="302"/>
    </row>
    <row r="102" spans="2:23" x14ac:dyDescent="0.25">
      <c r="B102" s="206"/>
      <c r="C102" s="206"/>
      <c r="D102" s="206"/>
      <c r="E102" s="206"/>
      <c r="F102" s="302"/>
      <c r="G102" s="549"/>
      <c r="H102" s="206"/>
      <c r="K102" s="206"/>
      <c r="L102" s="302"/>
      <c r="R102" s="302"/>
    </row>
    <row r="103" spans="2:23" x14ac:dyDescent="0.25">
      <c r="B103" s="206"/>
      <c r="C103" s="206"/>
      <c r="D103" s="206"/>
      <c r="E103" s="206"/>
      <c r="F103" s="302"/>
      <c r="G103" s="549"/>
      <c r="H103" s="206"/>
      <c r="K103" s="206"/>
      <c r="L103" s="302"/>
      <c r="R103" s="302"/>
    </row>
    <row r="104" spans="2:23" x14ac:dyDescent="0.25">
      <c r="B104" s="206"/>
      <c r="C104" s="206"/>
      <c r="D104" s="206"/>
      <c r="E104" s="206"/>
      <c r="F104" s="302"/>
      <c r="G104" s="549"/>
      <c r="H104" s="206"/>
      <c r="K104" s="206"/>
      <c r="L104" s="302"/>
      <c r="R104" s="302"/>
    </row>
    <row r="105" spans="2:23" x14ac:dyDescent="0.25">
      <c r="B105" s="206"/>
      <c r="C105" s="206"/>
      <c r="D105" s="206"/>
      <c r="E105" s="206"/>
      <c r="F105" s="302"/>
      <c r="G105" s="549"/>
      <c r="H105" s="206"/>
      <c r="K105" s="206"/>
      <c r="L105" s="302"/>
      <c r="R105" s="302"/>
    </row>
    <row r="106" spans="2:23" x14ac:dyDescent="0.25">
      <c r="B106" s="206"/>
      <c r="C106" s="206"/>
      <c r="D106" s="206"/>
      <c r="E106" s="206"/>
      <c r="F106" s="302"/>
      <c r="G106" s="549"/>
      <c r="H106" s="206"/>
      <c r="K106" s="206"/>
      <c r="L106" s="302"/>
      <c r="R106" s="302"/>
    </row>
    <row r="107" spans="2:23" x14ac:dyDescent="0.25">
      <c r="B107" s="206"/>
      <c r="C107" s="206"/>
      <c r="D107" s="206"/>
      <c r="E107" s="206"/>
      <c r="F107" s="302"/>
      <c r="G107" s="549"/>
      <c r="H107" s="206"/>
      <c r="K107" s="206"/>
      <c r="L107" s="302"/>
      <c r="R107" s="302"/>
    </row>
    <row r="108" spans="2:23" x14ac:dyDescent="0.25">
      <c r="B108" s="206"/>
      <c r="C108" s="206"/>
      <c r="D108" s="206"/>
      <c r="E108" s="206"/>
      <c r="F108" s="302"/>
      <c r="G108" s="549"/>
      <c r="H108" s="206"/>
      <c r="K108" s="206"/>
      <c r="L108" s="302"/>
      <c r="R108" s="302"/>
    </row>
    <row r="109" spans="2:23" x14ac:dyDescent="0.25">
      <c r="B109" s="206"/>
      <c r="C109" s="206"/>
      <c r="D109" s="206"/>
      <c r="E109" s="206"/>
      <c r="F109" s="302"/>
      <c r="G109" s="549"/>
      <c r="H109" s="206"/>
      <c r="K109" s="206"/>
      <c r="L109" s="302"/>
      <c r="R109" s="302"/>
    </row>
    <row r="110" spans="2:23" x14ac:dyDescent="0.25">
      <c r="B110" s="206"/>
      <c r="C110" s="206"/>
      <c r="D110" s="206"/>
      <c r="E110" s="206"/>
      <c r="F110" s="302"/>
      <c r="G110" s="206"/>
      <c r="H110" s="206"/>
      <c r="I110" s="206"/>
      <c r="J110" s="206"/>
      <c r="K110" s="206"/>
      <c r="L110" s="302"/>
      <c r="R110" s="302"/>
      <c r="S110" s="302"/>
    </row>
    <row r="111" spans="2:23" x14ac:dyDescent="0.25"/>
  </sheetData>
  <mergeCells count="25">
    <mergeCell ref="M77:M91"/>
    <mergeCell ref="G77:G91"/>
    <mergeCell ref="AA4:AB4"/>
    <mergeCell ref="A6:A25"/>
    <mergeCell ref="B4:E4"/>
    <mergeCell ref="H4:K4"/>
    <mergeCell ref="N4:Q4"/>
    <mergeCell ref="T4:X4"/>
    <mergeCell ref="G6:G15"/>
    <mergeCell ref="G16:G35"/>
    <mergeCell ref="M6:M15"/>
    <mergeCell ref="M16:M25"/>
    <mergeCell ref="M29:M38"/>
    <mergeCell ref="A26:A55"/>
    <mergeCell ref="N27:Q27"/>
    <mergeCell ref="M44:M58"/>
    <mergeCell ref="T27:W27"/>
    <mergeCell ref="H37:K37"/>
    <mergeCell ref="G67:G76"/>
    <mergeCell ref="G39:G48"/>
    <mergeCell ref="G49:G63"/>
    <mergeCell ref="H65:K65"/>
    <mergeCell ref="N60:Q60"/>
    <mergeCell ref="M62:M71"/>
    <mergeCell ref="V53:W53"/>
  </mergeCells>
  <phoneticPr fontId="23" type="noConversion"/>
  <dataValidations count="4">
    <dataValidation allowBlank="1" showErrorMessage="1" sqref="B32 H54 B6:B11 O11:O14 K39:K40 B14 E38 W42:W44 Q6:Q14 H53:I53 H49:I50 K49:K54 H77:I78 H81:H82 K82 H22:H23 Q54 Q87 O51 Q51 O84 Q84 B35:B39" xr:uid="{72D1D828-A98B-4F68-BB64-6E2ED7EAB9EC}"/>
    <dataValidation allowBlank="1" showErrorMessage="1" prompt="O conteúdo desta célula não deve ser alterado." sqref="W33 V44 B46 T29 B13:B14 B6:B11 T42:T44 V33:V39 T33:T39" xr:uid="{A2EE4B11-3665-46E2-A2F6-0EBE22AA412F}"/>
    <dataValidation allowBlank="1" sqref="P17 N9:N14 K89:K90 K83:K84 W30:W32 B16:E16 E49:E50 H79:J80 H39:J40 H51:J52 P34:Q34 B14:E14 W6:X14 C13:E13 H67:J68 J53:J54 J49:J50 J81:J82 J77:J78 P9:P14 W16:X18 W20:X20 P29:P33 Q29:Q31 W22:X23 J6:K13 H6:H13 B33:E34 N6:P8 T30:T32 B47:E48 E32 B6:E11 D15 K16:K17 B49:D52 C46:E46 E52 P67:Q67 P62:P66 Q62:Q64 O52:Q52 D26:D27 B36:E36 E35:E39 B38:E38 B40:E45 H17:K27 P44:P51 P53:P58 P77:P84 O85:Q88 P89:P91 U29:U34 B29:D34 T66" xr:uid="{A2694099-C3B3-48E2-9D23-B034A4E7E636}"/>
    <dataValidation allowBlank="1" prompt="O conteúdo desta célula não deve ser alterado." sqref="T67:T72" xr:uid="{2B7D7512-800B-4313-9C6F-0DB83D9DD2FC}"/>
  </dataValidations>
  <pageMargins left="0.7" right="0.7" top="0.75" bottom="0.75" header="0.3" footer="0.3"/>
  <pageSetup paperSize="9" orientation="portrait" r:id="rId1"/>
  <ignoredErrors>
    <ignoredError sqref="D6" unlockedFormula="1"/>
  </ignoredErrors>
  <drawing r:id="rId2"/>
  <legacyDrawing r:id="rId3"/>
  <tableParts count="2">
    <tablePart r:id="rId4"/>
    <tablePart r:id="rId5"/>
  </tablePart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Plan1"/>
  <dimension ref="A1:N299"/>
  <sheetViews>
    <sheetView zoomScale="80" zoomScaleNormal="80" workbookViewId="0"/>
  </sheetViews>
  <sheetFormatPr defaultColWidth="12.7265625" defaultRowHeight="18" customHeight="1" x14ac:dyDescent="0.25"/>
  <cols>
    <col min="1" max="1" width="40.54296875" style="15" customWidth="1"/>
    <col min="2" max="2" width="36.54296875" style="15" customWidth="1"/>
    <col min="3" max="3" width="2.54296875" style="15" customWidth="1"/>
    <col min="4" max="4" width="27.54296875" style="15" customWidth="1"/>
    <col min="5" max="5" width="2.54296875" style="15" customWidth="1"/>
    <col min="6" max="6" width="42.54296875" style="15" customWidth="1"/>
    <col min="7" max="12" width="15.54296875" style="15" customWidth="1"/>
    <col min="13" max="13" width="5.7265625" style="15" customWidth="1"/>
    <col min="14" max="24" width="12.7265625" style="15" customWidth="1"/>
    <col min="25" max="16384" width="12.7265625" style="15"/>
  </cols>
  <sheetData>
    <row r="1" spans="1:14" ht="18" customHeight="1" thickBot="1" x14ac:dyDescent="0.3">
      <c r="A1" s="142"/>
      <c r="M1" s="12"/>
    </row>
    <row r="2" spans="1:14" ht="18" customHeight="1" thickBot="1" x14ac:dyDescent="0.3">
      <c r="A2" s="615" t="s">
        <v>1015</v>
      </c>
      <c r="B2" s="616"/>
      <c r="C2" s="73"/>
      <c r="D2" s="374" t="str">
        <f>IF(_dvc_type=2, "CVD de 2ª", IF(_dvc_type=1, "CVD de 1ª", "Selecione o tipo de CVD"))</f>
        <v>CVD de 1ª</v>
      </c>
      <c r="E2" s="13"/>
      <c r="F2" s="615" t="s">
        <v>1016</v>
      </c>
      <c r="G2" s="674"/>
      <c r="H2" s="674"/>
      <c r="I2" s="616"/>
      <c r="M2" s="12"/>
    </row>
    <row r="3" spans="1:14" ht="18" customHeight="1" thickTop="1" x14ac:dyDescent="0.25">
      <c r="A3" s="238" t="s">
        <v>1017</v>
      </c>
      <c r="B3" s="305" t="str">
        <f>Values!$C$5</f>
        <v>GL</v>
      </c>
      <c r="C3" s="334"/>
      <c r="E3" s="13"/>
      <c r="F3" s="517" t="s">
        <v>890</v>
      </c>
      <c r="G3" s="517" t="s">
        <v>1018</v>
      </c>
      <c r="H3" s="517" t="s">
        <v>819</v>
      </c>
      <c r="I3" s="247" t="s">
        <v>1019</v>
      </c>
    </row>
    <row r="4" spans="1:14" ht="18" customHeight="1" x14ac:dyDescent="0.25">
      <c r="A4" s="236" t="s">
        <v>1020</v>
      </c>
      <c r="B4" s="402"/>
      <c r="C4" s="334"/>
      <c r="F4" s="515" t="s">
        <v>1021</v>
      </c>
      <c r="G4" s="243">
        <f>_total_buoyant</f>
        <v>0</v>
      </c>
      <c r="H4" s="243" t="s">
        <v>1022</v>
      </c>
      <c r="I4" s="243" t="s">
        <v>588</v>
      </c>
    </row>
    <row r="5" spans="1:14" ht="18" customHeight="1" x14ac:dyDescent="0.25">
      <c r="A5" s="236">
        <f>B4</f>
        <v>0</v>
      </c>
      <c r="B5" s="401"/>
      <c r="C5" s="377"/>
      <c r="F5" s="516" t="s">
        <v>1023</v>
      </c>
      <c r="G5" s="209">
        <f>Data!$V$43</f>
        <v>0</v>
      </c>
      <c r="H5" s="209" t="s">
        <v>588</v>
      </c>
      <c r="I5" s="209" t="s">
        <v>588</v>
      </c>
      <c r="M5" s="12"/>
    </row>
    <row r="6" spans="1:14" ht="18" customHeight="1" x14ac:dyDescent="0.25">
      <c r="A6" s="236" t="s">
        <v>1024</v>
      </c>
      <c r="B6" s="402"/>
      <c r="C6" s="334"/>
      <c r="F6" s="516" t="s">
        <v>1025</v>
      </c>
      <c r="G6" s="242">
        <f>Data!$V$43</f>
        <v>0</v>
      </c>
      <c r="H6" s="242" t="s">
        <v>830</v>
      </c>
      <c r="I6" s="242" t="str">
        <f>IF(G6&gt;=3, "OK", "NOT OK")</f>
        <v>NOT OK</v>
      </c>
      <c r="M6" s="12"/>
    </row>
    <row r="7" spans="1:14" ht="18" customHeight="1" x14ac:dyDescent="0.25">
      <c r="A7" s="236" t="s">
        <v>1026</v>
      </c>
      <c r="B7" s="240"/>
      <c r="C7" s="13"/>
      <c r="F7" s="516" t="s">
        <v>1027</v>
      </c>
      <c r="G7" s="80" t="str">
        <f>IF(dynamic_heave_up=0,"",ABS(dynamic_heave_up))</f>
        <v/>
      </c>
      <c r="H7" s="80" t="s">
        <v>830</v>
      </c>
      <c r="I7" s="242" t="str">
        <f>IF(AND(ABS(dynamic_heave_up)&gt;=1.8, ABS(dynamic_heave_up)&lt;=2.5), "OK", "CRÍTICO")</f>
        <v>CRÍTICO</v>
      </c>
    </row>
    <row r="8" spans="1:14" ht="18" customHeight="1" x14ac:dyDescent="0.25">
      <c r="A8" s="236" t="s">
        <v>1028</v>
      </c>
      <c r="B8" s="240"/>
      <c r="C8" s="13"/>
      <c r="F8" s="431" t="s">
        <v>1029</v>
      </c>
      <c r="G8" s="518">
        <f>static_sbed_clear</f>
        <v>0</v>
      </c>
      <c r="H8" s="80" t="s">
        <v>830</v>
      </c>
      <c r="I8" s="185" t="str">
        <f>IF(G8&gt;=0.5, "OK", "NOT OK")</f>
        <v>NOT OK</v>
      </c>
    </row>
    <row r="9" spans="1:14" ht="18" customHeight="1" x14ac:dyDescent="0.25">
      <c r="A9" s="235" t="s">
        <v>1030</v>
      </c>
      <c r="B9" s="240" t="s">
        <v>601</v>
      </c>
      <c r="C9" s="13"/>
      <c r="F9" s="431" t="s">
        <v>1031</v>
      </c>
      <c r="G9" s="518">
        <f>static_dist_flange</f>
        <v>0</v>
      </c>
      <c r="H9" s="80" t="s">
        <v>830</v>
      </c>
      <c r="I9" s="185" t="str">
        <f>IF(ABS('MCV e Guindaste'!B8*0.001-G9) &gt; 0.01, "NOT OK", "OK")</f>
        <v>NOT OK</v>
      </c>
    </row>
    <row r="10" spans="1:14" ht="18" customHeight="1" x14ac:dyDescent="0.25">
      <c r="A10" s="235" t="s">
        <v>1032</v>
      </c>
      <c r="B10" s="371"/>
      <c r="C10" s="375"/>
      <c r="F10" s="431" t="s">
        <v>1033</v>
      </c>
      <c r="G10" s="518" t="str">
        <f>IF(OR(Values!C6=0, _has_bend_restrictor=FALSE), "IGNORAR", Values!C6+5*25.4*Values!C17)</f>
        <v>IGNORAR</v>
      </c>
      <c r="H10" s="80" t="s">
        <v>830</v>
      </c>
      <c r="I10" s="185" t="str">
        <f>IF(G10 &lt; Values!C24, "NOT OK", "OK")</f>
        <v>OK</v>
      </c>
    </row>
    <row r="11" spans="1:14" ht="18" customHeight="1" x14ac:dyDescent="0.25">
      <c r="A11" s="234" t="s">
        <v>1034</v>
      </c>
      <c r="B11" s="372"/>
      <c r="C11" s="375"/>
      <c r="F11" s="516" t="s">
        <v>1035</v>
      </c>
      <c r="G11" s="209" t="str">
        <f>IF(_dvc_type=2, _xlfn.CONCAT(static_position_corc1," : ",static_position_corc2), "IGNORAR")</f>
        <v>IGNORAR</v>
      </c>
      <c r="H11" s="209" t="s">
        <v>830</v>
      </c>
      <c r="I11" s="209" t="s">
        <v>588</v>
      </c>
    </row>
    <row r="12" spans="1:14" ht="18" customHeight="1" x14ac:dyDescent="0.25">
      <c r="A12" s="234" t="s">
        <v>1036</v>
      </c>
      <c r="B12" s="239" t="s">
        <v>1037</v>
      </c>
      <c r="C12" s="375"/>
      <c r="F12" s="516" t="s">
        <v>1038</v>
      </c>
      <c r="G12" s="209" t="str">
        <f>IF(_dvc_type=2, _xlfn.CONCAT(static_comp_lingada1," : ",static_comp_lingada2), "IGNORAR")</f>
        <v>IGNORAR</v>
      </c>
      <c r="H12" s="209" t="s">
        <v>830</v>
      </c>
      <c r="I12" s="209" t="s">
        <v>588</v>
      </c>
      <c r="M12" s="12"/>
    </row>
    <row r="13" spans="1:14" ht="18" customHeight="1" x14ac:dyDescent="0.25">
      <c r="A13" s="234" t="s">
        <v>1039</v>
      </c>
      <c r="B13" s="373"/>
      <c r="C13" s="13"/>
      <c r="F13" s="516" t="s">
        <v>1040</v>
      </c>
      <c r="G13" s="209" t="str">
        <f>IF(_dvc_type=2, _xlfn.CONCAT(dynamic_axial_force_cabr1," : ",dynamic_axial_force_cabr2), "IGNORAR")</f>
        <v>IGNORAR</v>
      </c>
      <c r="H13" s="209" t="s">
        <v>862</v>
      </c>
      <c r="I13" s="209" t="s">
        <v>588</v>
      </c>
      <c r="M13" s="12"/>
    </row>
    <row r="14" spans="1:14" ht="18" customHeight="1" x14ac:dyDescent="0.25">
      <c r="A14" s="235" t="s">
        <v>1041</v>
      </c>
      <c r="B14" s="240"/>
      <c r="C14" s="13"/>
      <c r="F14" s="516" t="s">
        <v>848</v>
      </c>
      <c r="G14" s="209" t="str">
        <f>IF(_dvc_type=2, static_overlength, "IGNORAR")</f>
        <v>IGNORAR</v>
      </c>
      <c r="H14" s="209" t="s">
        <v>830</v>
      </c>
      <c r="I14" s="209" t="str">
        <f>IF(_dvc_type=2, IF(AND(static_overlength&gt;=1, static_overlength&lt;=4), "OK", "NOT OK"), "IGNORAR")</f>
        <v>IGNORAR</v>
      </c>
      <c r="M14" s="12"/>
    </row>
    <row r="15" spans="1:14" ht="18" customHeight="1" x14ac:dyDescent="0.25">
      <c r="A15" s="235" t="s">
        <v>1042</v>
      </c>
      <c r="B15" s="240"/>
      <c r="C15" s="13"/>
      <c r="M15" s="12"/>
      <c r="N15" s="12"/>
    </row>
    <row r="16" spans="1:14" ht="18" customHeight="1" thickBot="1" x14ac:dyDescent="0.3">
      <c r="A16" s="235" t="s">
        <v>1043</v>
      </c>
      <c r="B16" s="240"/>
      <c r="C16" s="13"/>
      <c r="D16" s="241" t="s">
        <v>1044</v>
      </c>
      <c r="F16" s="702" t="s">
        <v>1045</v>
      </c>
      <c r="G16" s="703"/>
      <c r="H16" s="703"/>
      <c r="I16" s="703"/>
      <c r="J16" s="703"/>
      <c r="K16" s="704"/>
      <c r="L16" s="12"/>
      <c r="M16" s="12"/>
      <c r="N16" s="12"/>
    </row>
    <row r="17" spans="1:14" ht="18" customHeight="1" thickTop="1" x14ac:dyDescent="0.25">
      <c r="A17" s="235" t="s">
        <v>1046</v>
      </c>
      <c r="B17" s="240"/>
      <c r="C17" s="13"/>
      <c r="D17" s="699" t="str">
        <f>IF(ISERROR(FIND("11.3d", _orcaflex_version)), "ATENÇÃO! Versão incompatível ou não testada.Verifique a versão do OrcaFlex para evitar erros de pós-processamento!", "Versão compatível")</f>
        <v>ATENÇÃO! Versão incompatível ou não testada.Verifique a versão do OrcaFlex para evitar erros de pós-processamento!</v>
      </c>
      <c r="F17" s="705" t="s">
        <v>1047</v>
      </c>
      <c r="G17" s="247" t="s">
        <v>1048</v>
      </c>
      <c r="H17" s="247" t="s">
        <v>1049</v>
      </c>
      <c r="I17" s="247" t="s">
        <v>1050</v>
      </c>
      <c r="J17" s="247" t="s">
        <v>1051</v>
      </c>
      <c r="K17" s="247" t="s">
        <v>1052</v>
      </c>
      <c r="L17" s="12"/>
      <c r="M17" s="12"/>
      <c r="N17" s="12"/>
    </row>
    <row r="18" spans="1:14" ht="18" customHeight="1" x14ac:dyDescent="0.25">
      <c r="A18" s="236" t="s">
        <v>1053</v>
      </c>
      <c r="B18" s="208">
        <f>_orcaflex_version</f>
        <v>0</v>
      </c>
      <c r="C18" s="13"/>
      <c r="D18" s="700"/>
      <c r="F18" s="706"/>
      <c r="G18" s="246" t="s">
        <v>1054</v>
      </c>
      <c r="H18" s="246" t="s">
        <v>1055</v>
      </c>
      <c r="I18" s="246" t="s">
        <v>1056</v>
      </c>
      <c r="J18" s="246" t="s">
        <v>1056</v>
      </c>
      <c r="K18" s="246" t="s">
        <v>1057</v>
      </c>
      <c r="L18" s="12"/>
      <c r="M18" s="12"/>
      <c r="N18" s="12"/>
    </row>
    <row r="19" spans="1:14" ht="18" customHeight="1" x14ac:dyDescent="0.25">
      <c r="A19" s="236" t="s">
        <v>1058</v>
      </c>
      <c r="B19" s="240"/>
      <c r="C19" s="13"/>
      <c r="D19" s="700"/>
      <c r="F19" s="431" t="s">
        <v>1059</v>
      </c>
      <c r="G19" s="212">
        <f>IF(_has_bend_restrictor=TRUE, static_sf_vert, "N/A")</f>
        <v>0</v>
      </c>
      <c r="H19" s="212">
        <f>IF(_has_bend_restrictor=TRUE, ABS(static_bm_vert), "N/A")</f>
        <v>0</v>
      </c>
      <c r="I19" s="212">
        <f>static_mbr_line</f>
        <v>0</v>
      </c>
      <c r="J19" s="212">
        <f>IF(_has_bend_restrictor=TRUE, static_mbr_vert, "N/A")</f>
        <v>0</v>
      </c>
      <c r="K19" s="185" t="str">
        <f xml:space="preserve"> IF(_has_bend_restrictor=TRUE, IF(AND(static_mbr_vert=0, report_mbr_vert_rl=0), "Aguardando processamento", IF(static_mbr_vert&lt;=report_mbr_vert_rl, "Travou", "Não travou")), "N/A")</f>
        <v>Travou</v>
      </c>
      <c r="L19" s="12"/>
      <c r="M19" s="12"/>
      <c r="N19" s="12"/>
    </row>
    <row r="20" spans="1:14" ht="18" customHeight="1" x14ac:dyDescent="0.25">
      <c r="A20" s="236" t="s">
        <v>1060</v>
      </c>
      <c r="B20" s="240"/>
      <c r="C20" s="13"/>
      <c r="D20" s="701"/>
      <c r="E20" s="12"/>
      <c r="F20" s="431" t="s">
        <v>1061</v>
      </c>
      <c r="G20" s="212">
        <f>IF(_has_bend_restrictor=TRUE, dynamic_sf_vert, "N/A")</f>
        <v>0</v>
      </c>
      <c r="H20" s="212">
        <f>IF(_has_bend_restrictor=TRUE, ABS(dynamic_bm_vert), "N/A")</f>
        <v>0</v>
      </c>
      <c r="I20" s="212">
        <f>dynamic_mbr_line_case_3i</f>
        <v>0</v>
      </c>
      <c r="J20" s="212">
        <f>IF(_has_bend_restrictor=TRUE, dynamic_mbr_vert, "N/A")</f>
        <v>0</v>
      </c>
      <c r="K20" s="185" t="str">
        <f xml:space="preserve"> IF(_has_bend_restrictor=TRUE, IF(AND(dynamic_mbr_vert=0, report_mbr_vert_rl=0), "Aguardando processamento", IF(dynamic_mbr_vert&lt;=report_mbr_vert_rl, "Travou", "Não travou")), "N/A")</f>
        <v>Travou</v>
      </c>
      <c r="L20" s="12"/>
      <c r="M20" s="12"/>
      <c r="N20" s="12"/>
    </row>
    <row r="21" spans="1:14" ht="18" customHeight="1" x14ac:dyDescent="0.25">
      <c r="A21" s="236" t="s">
        <v>1062</v>
      </c>
      <c r="B21" s="240"/>
      <c r="C21" s="13"/>
      <c r="E21" s="12"/>
      <c r="F21" s="431" t="s">
        <v>1063</v>
      </c>
      <c r="G21" s="212" t="s">
        <v>588</v>
      </c>
      <c r="H21" s="185" t="s">
        <v>588</v>
      </c>
      <c r="I21" s="212">
        <f>dynamic_mbr_line_whole_simulation</f>
        <v>0</v>
      </c>
      <c r="J21" s="185" t="s">
        <v>588</v>
      </c>
      <c r="K21" s="185" t="s">
        <v>588</v>
      </c>
      <c r="L21" s="12"/>
      <c r="M21" s="12"/>
      <c r="N21" s="12"/>
    </row>
    <row r="22" spans="1:14" ht="18" customHeight="1" thickBot="1" x14ac:dyDescent="0.3">
      <c r="A22" s="236" t="s">
        <v>1064</v>
      </c>
      <c r="B22" s="208" t="str">
        <f>_xlfn.CONCAT("RT-",B8)</f>
        <v>RT-</v>
      </c>
      <c r="C22" s="13"/>
      <c r="D22" s="232" t="s">
        <v>1065</v>
      </c>
      <c r="E22" s="12"/>
      <c r="F22" s="431" t="s">
        <v>1066</v>
      </c>
      <c r="G22" s="212">
        <f>IF(_has_bend_restrictor=TRUE, cont1_sf_vert, "N/A")</f>
        <v>0</v>
      </c>
      <c r="H22" s="212">
        <f>IF(_has_bend_restrictor=TRUE, ABS(cont1_bm_vert), "N/A")</f>
        <v>0</v>
      </c>
      <c r="I22" s="212">
        <f>cont1_mbr_line</f>
        <v>0</v>
      </c>
      <c r="J22" s="212">
        <f>IF(_has_bend_restrictor=TRUE, cont1_mbr_vert, "N/A")</f>
        <v>0</v>
      </c>
      <c r="K22" s="185" t="str">
        <f xml:space="preserve"> IF(_has_bend_restrictor=TRUE, IF(AND(cont1_mbr_vert=0, report_mbr_vert_rl=0), "Aguardando processamento", IF(cont1_mbr_vert&lt;=report_mbr_vert_rl, "Travou", "Não travou")), "N/A")</f>
        <v>Travou</v>
      </c>
      <c r="L22" s="12"/>
      <c r="M22" s="12"/>
      <c r="N22" s="12"/>
    </row>
    <row r="23" spans="1:14" ht="18" customHeight="1" thickTop="1" x14ac:dyDescent="0.25">
      <c r="A23" s="236" t="s">
        <v>1067</v>
      </c>
      <c r="B23" s="240"/>
      <c r="C23" s="13"/>
      <c r="D23" s="233" t="str">
        <f>IF(COUNTBLANK(B3:B24)&lt;3,  "Sim!", "Não! Há campos em branco.")</f>
        <v>Não! Há campos em branco.</v>
      </c>
      <c r="F23" s="431" t="s">
        <v>1068</v>
      </c>
      <c r="G23" s="212">
        <f>IF(_has_bend_restrictor=TRUE, cont2_sf_vert, "N/A")</f>
        <v>0</v>
      </c>
      <c r="H23" s="212">
        <f>IF(_has_bend_restrictor=TRUE, ABS(cont2_bm_vert), "N/A")</f>
        <v>0</v>
      </c>
      <c r="I23" s="212">
        <f>cont2_mbr_line</f>
        <v>0</v>
      </c>
      <c r="J23" s="212">
        <f>IF(_has_bend_restrictor=TRUE, cont2_mbr_vert, "N/A")</f>
        <v>0</v>
      </c>
      <c r="K23" s="185" t="str">
        <f xml:space="preserve"> IF(_has_bend_restrictor=TRUE, IF(AND(cont2_mbr_vert=0, report_mbr_vert_rl=0), "Aguardando processamento", IF(cont2_mbr_vert&lt;=report_mbr_vert_rl, "Travou", "Não travou")), "N/A")</f>
        <v>Travou</v>
      </c>
      <c r="L23" s="12"/>
      <c r="M23" s="12"/>
      <c r="N23" s="12"/>
    </row>
    <row r="24" spans="1:14" ht="18" customHeight="1" x14ac:dyDescent="0.25">
      <c r="A24" s="236" t="s">
        <v>1069</v>
      </c>
      <c r="B24" s="240"/>
      <c r="C24" s="13"/>
      <c r="F24" s="431" t="s">
        <v>1070</v>
      </c>
      <c r="G24" s="212" t="str">
        <f>IF(AND(_has_bend_restrictor=TRUE, _dvc_type=2, _total_buoyant=0), puxada_sf_vert, "N/A")</f>
        <v>N/A</v>
      </c>
      <c r="H24" s="185" t="str">
        <f>IF(AND(_has_bend_restrictor=TRUE,_dvc_type=2, _total_buoyant=0), ABS(puxada_bm_vert), "N/A")</f>
        <v>N/A</v>
      </c>
      <c r="I24" s="185" t="str">
        <f>IF(AND(_dvc_type = 2, _total_buoyant=0), puxada_mbr_line, "N/A")</f>
        <v>N/A</v>
      </c>
      <c r="J24" s="185" t="str">
        <f>IF(AND(_dvc_type = 2, _total_buoyant=0),IF(_has_bend_restrictor=TRUE, puxada_mbr_vert, "N/A"), "N/A")</f>
        <v>N/A</v>
      </c>
      <c r="K24" s="185" t="str">
        <f xml:space="preserve"> IF(AND(_has_bend_restrictor=TRUE, _dvc_type=2, _total_buoyant=0), IF(AND(puxada_mbr_vert=0, report_mbr_vert_rl=0), "Aguardando processamento", IF(puxada_mbr_vert&lt;=report_mbr_vert_rl, "Travou", "Não travou")), "N/A")</f>
        <v>N/A</v>
      </c>
      <c r="L24" s="12"/>
      <c r="M24" s="12"/>
      <c r="N24" s="12"/>
    </row>
    <row r="25" spans="1:14" ht="18" customHeight="1" x14ac:dyDescent="0.25">
      <c r="A25" s="6"/>
      <c r="B25" s="13"/>
      <c r="C25" s="73"/>
      <c r="D25" s="390" t="s">
        <v>1071</v>
      </c>
      <c r="F25" s="431" t="s">
        <v>1072</v>
      </c>
      <c r="G25" s="212" t="str">
        <f>IF(AND(_has_bend_restrictor=TRUE, _dvc_type=2), hmax1_sf_vert, "N/A")</f>
        <v>N/A</v>
      </c>
      <c r="H25" s="185" t="str">
        <f>IF(AND(_has_bend_restrictor=TRUE,_dvc_type=2), ABS(hmax1_bm_vert), "N/A")</f>
        <v>N/A</v>
      </c>
      <c r="I25" s="185" t="str">
        <f>IF(_dvc_type = 2, hmax1_mbr_line, "N/A")</f>
        <v>N/A</v>
      </c>
      <c r="J25" s="185" t="str">
        <f>IF(_dvc_type = 2, IF(_has_bend_restrictor=TRUE,  hmax1_mbr_vert, "N/A"), "N/A")</f>
        <v>N/A</v>
      </c>
      <c r="K25" s="185" t="str">
        <f xml:space="preserve"> IF(AND(_has_bend_restrictor=TRUE,_dvc_type=2), IF(AND(hmax1_mbr_vert=0, report_mbr_vert_rl=0), "Aguardando processamento", IF(hmax1_mbr_vert&lt;=report_mbr_vert_rl, "Travou", "Não travou")), "N/A")</f>
        <v>N/A</v>
      </c>
      <c r="M25" s="12"/>
      <c r="N25" s="12"/>
    </row>
    <row r="26" spans="1:14" ht="18" customHeight="1" thickBot="1" x14ac:dyDescent="0.3">
      <c r="A26" s="615" t="s">
        <v>1073</v>
      </c>
      <c r="B26" s="616"/>
      <c r="C26" s="378"/>
      <c r="D26" s="142"/>
      <c r="F26" s="431" t="s">
        <v>1074</v>
      </c>
      <c r="G26" s="212" t="str">
        <f>IF(AND(_has_bend_restrictor=TRUE, _dvc_type=2), hmax2_sf_vert, "N/A")</f>
        <v>N/A</v>
      </c>
      <c r="H26" s="185" t="str">
        <f>IF(AND(_has_bend_restrictor=TRUE,_dvc_type=2), ABS(hmax2_bm_vert), "N/A")</f>
        <v>N/A</v>
      </c>
      <c r="I26" s="185" t="str">
        <f>IF(_dvc_type = 2, hmax2_mbr_line, "N/A")</f>
        <v>N/A</v>
      </c>
      <c r="J26" s="185" t="str">
        <f>IF(_dvc_type = 2, IF(_has_bend_restrictor=TRUE,  hmax2_mbr_vert, "N/A"), "N/A")</f>
        <v>N/A</v>
      </c>
      <c r="K26" s="185" t="str">
        <f xml:space="preserve"> IF(AND(_has_bend_restrictor=TRUE,_dvc_type=2), IF(AND(hmax2_mbr_vert=0, report_mbr_vert_rl=0), "Aguardando processamento", IF(hmax2_mbr_vert&lt;=report_mbr_vert_rl, "Travou", "Não travou")), "N/A")</f>
        <v>N/A</v>
      </c>
      <c r="M26" s="12"/>
      <c r="N26" s="12"/>
    </row>
    <row r="27" spans="1:14" ht="18" customHeight="1" thickTop="1" x14ac:dyDescent="0.25">
      <c r="A27" s="245" t="s">
        <v>890</v>
      </c>
      <c r="B27" s="245" t="s">
        <v>1075</v>
      </c>
      <c r="C27" s="378"/>
      <c r="F27" s="557" t="s">
        <v>1076</v>
      </c>
      <c r="G27" s="323">
        <f>IF(_has_bend_restrictor=TRUE, preliminary_static_sf_vert, "N/A")</f>
        <v>0</v>
      </c>
      <c r="H27" s="323">
        <f>IF(_has_bend_restrictor=TRUE, ABS(preliminary_static_bm_vert), "N/A")</f>
        <v>0</v>
      </c>
      <c r="I27" s="323">
        <f>preliminary_static_mbr_line</f>
        <v>0</v>
      </c>
      <c r="J27" s="323">
        <f>IF(_has_bend_restrictor=TRUE,  preliminary_static_mbr_vert, "N/A")</f>
        <v>0</v>
      </c>
      <c r="K27" s="192" t="str">
        <f xml:space="preserve"> IF(_has_bend_restrictor=TRUE, IF(AND( preliminary_static_mbr_vert=0, report_mbr_vert_rl=0), "Aguardando processamento", IF( preliminary_static_mbr_vert&lt;=report_mbr_vert_rl, "Travou", "Não travou")), "N/A")</f>
        <v>Travou</v>
      </c>
      <c r="M27" s="12"/>
      <c r="N27" s="12"/>
    </row>
    <row r="28" spans="1:14" ht="18" customHeight="1" x14ac:dyDescent="0.25">
      <c r="A28" s="238" t="s">
        <v>1077</v>
      </c>
      <c r="B28" s="434"/>
      <c r="C28" s="378"/>
      <c r="F28" s="557" t="s">
        <v>1078</v>
      </c>
      <c r="G28" s="323">
        <f>IF(_has_bend_restrictor=TRUE, preliminary_dynamic_sf_vert, "N/A")</f>
        <v>0</v>
      </c>
      <c r="H28" s="323">
        <f>IF(_has_bend_restrictor=TRUE, ABS(preliminary_dynamic_bm_vert), "N/A")</f>
        <v>0</v>
      </c>
      <c r="I28" s="323">
        <f>preliminary_dynamic_mbr_line</f>
        <v>0</v>
      </c>
      <c r="J28" s="323">
        <f>IF(_has_bend_restrictor=TRUE,  preliminary_dynamic_mbr_vert, "N/A")</f>
        <v>0</v>
      </c>
      <c r="K28" s="192" t="str">
        <f xml:space="preserve"> IF(_has_bend_restrictor=TRUE, IF(AND(preliminary_dynamic_mbr_vert=0, report_mbr_vert_rl=0), "Aguardando processamento", IF(preliminary_dynamic_mbr_vert&lt;=report_mbr_vert_rl, "Travou", "Não travou")), "N/A")</f>
        <v>Travou</v>
      </c>
      <c r="M28" s="12"/>
      <c r="N28" s="12"/>
    </row>
    <row r="29" spans="1:14" ht="18" customHeight="1" x14ac:dyDescent="0.25">
      <c r="A29" s="519" t="s">
        <v>1079</v>
      </c>
      <c r="B29" s="432">
        <f>B28 + static_dist_mcv_origem</f>
        <v>0</v>
      </c>
      <c r="F29" s="558" t="s">
        <v>1080</v>
      </c>
      <c r="G29" s="568">
        <f>IF(_has_bend_restrictor=TRUE, report_sf_adm_vert, "N/A")</f>
        <v>30</v>
      </c>
      <c r="H29" s="568">
        <f>IF(_has_bend_restrictor=TRUE, report_bm_adm_vert, "N/A")</f>
        <v>30</v>
      </c>
      <c r="I29" s="568">
        <f>report_mbr_line_rl</f>
        <v>2.4300000000000002</v>
      </c>
      <c r="J29" s="568">
        <f>IF(_has_bend_restrictor=TRUE, report_mbr_vert_rl, "N/A")</f>
        <v>2.69</v>
      </c>
      <c r="K29" s="210" t="s">
        <v>1081</v>
      </c>
      <c r="M29" s="12"/>
    </row>
    <row r="30" spans="1:14" ht="18" customHeight="1" x14ac:dyDescent="0.25">
      <c r="A30" s="431" t="s">
        <v>1082</v>
      </c>
      <c r="B30" s="433"/>
      <c r="C30" s="73"/>
      <c r="M30" s="12"/>
    </row>
    <row r="31" spans="1:14" ht="18" customHeight="1" thickBot="1" x14ac:dyDescent="0.3">
      <c r="A31" s="235" t="s">
        <v>1083</v>
      </c>
      <c r="B31" s="433"/>
      <c r="C31" s="334"/>
      <c r="F31" s="615" t="s">
        <v>1084</v>
      </c>
      <c r="G31" s="674"/>
      <c r="H31" s="674"/>
      <c r="I31" s="674"/>
      <c r="J31" s="616"/>
    </row>
    <row r="32" spans="1:14" ht="18" customHeight="1" thickTop="1" x14ac:dyDescent="0.25">
      <c r="A32" s="431" t="s">
        <v>1085</v>
      </c>
      <c r="B32" s="433"/>
      <c r="C32" s="334"/>
      <c r="F32" s="696" t="s">
        <v>1047</v>
      </c>
      <c r="G32" s="247" t="s">
        <v>1086</v>
      </c>
      <c r="H32" s="247" t="s">
        <v>1087</v>
      </c>
      <c r="I32" s="247" t="s">
        <v>1088</v>
      </c>
      <c r="J32" s="247" t="s">
        <v>1089</v>
      </c>
    </row>
    <row r="33" spans="1:11" ht="18" customHeight="1" x14ac:dyDescent="0.25">
      <c r="A33" s="235" t="s">
        <v>1090</v>
      </c>
      <c r="B33" s="433"/>
      <c r="C33" s="334"/>
      <c r="F33" s="697"/>
      <c r="G33" s="246" t="s">
        <v>1054</v>
      </c>
      <c r="H33" s="246" t="s">
        <v>1054</v>
      </c>
      <c r="I33" s="246" t="s">
        <v>1055</v>
      </c>
      <c r="J33" s="246" t="s">
        <v>1091</v>
      </c>
    </row>
    <row r="34" spans="1:11" ht="18" customHeight="1" x14ac:dyDescent="0.25">
      <c r="A34" s="235" t="s">
        <v>1092</v>
      </c>
      <c r="B34" s="433"/>
      <c r="C34" s="334"/>
      <c r="F34" s="520" t="s">
        <v>1093</v>
      </c>
      <c r="G34" s="80">
        <f>case3i_heave_ez_axial_max</f>
        <v>0</v>
      </c>
      <c r="H34" s="80">
        <f>case3i_heave_ex_shear_force_max</f>
        <v>0</v>
      </c>
      <c r="I34" s="80">
        <f>case3i_heave_ey_moment_max</f>
        <v>0</v>
      </c>
      <c r="J34" s="80" t="s">
        <v>588</v>
      </c>
    </row>
    <row r="35" spans="1:11" ht="18" customHeight="1" x14ac:dyDescent="0.25">
      <c r="A35" s="431" t="s">
        <v>1094</v>
      </c>
      <c r="B35" s="185" t="s">
        <v>1095</v>
      </c>
      <c r="C35" s="334"/>
      <c r="F35" s="520" t="s">
        <v>1096</v>
      </c>
      <c r="G35" s="212">
        <f>case3i_heave_ez_axial_min</f>
        <v>0</v>
      </c>
      <c r="H35" s="212">
        <f>case3i_heave_ex_shear_force_min</f>
        <v>0</v>
      </c>
      <c r="I35" s="80">
        <f>case3i_heave_ey_moment_min</f>
        <v>0</v>
      </c>
      <c r="J35" s="80" t="s">
        <v>588</v>
      </c>
    </row>
    <row r="36" spans="1:11" ht="18" customHeight="1" x14ac:dyDescent="0.25">
      <c r="C36" s="334"/>
      <c r="F36" s="520" t="s">
        <v>1097</v>
      </c>
      <c r="G36" s="212">
        <f>case3ii_toque_ez_axial_max</f>
        <v>0</v>
      </c>
      <c r="H36" s="212">
        <f>case3ii_toque_ex_shear_force_max</f>
        <v>0</v>
      </c>
      <c r="I36" s="212">
        <f>case3ii_toque_ey_moment_max</f>
        <v>0</v>
      </c>
      <c r="J36" s="80" t="str">
        <f>IF(ISTEXT(postproc_case3ii_time_toque_solo), "Não teve toque", postproc_case3ii_time_toque_solo)</f>
        <v>Não teve toque</v>
      </c>
    </row>
    <row r="37" spans="1:11" ht="18" customHeight="1" x14ac:dyDescent="0.25">
      <c r="C37" s="334"/>
      <c r="F37" s="520" t="s">
        <v>1098</v>
      </c>
      <c r="G37" s="80" t="str">
        <f>case4_et_result_ez_axial_with_buoys</f>
        <v>N/A</v>
      </c>
      <c r="H37" s="80" t="str">
        <f>case4_et_result_ex_shear_force_with_buoys</f>
        <v>N/A</v>
      </c>
      <c r="I37" s="80" t="str">
        <f>case4_et_result_ey_moment_with_buoys</f>
        <v>N/A</v>
      </c>
      <c r="J37" s="80" t="s">
        <v>588</v>
      </c>
    </row>
    <row r="38" spans="1:11" ht="18" customHeight="1" x14ac:dyDescent="0.25">
      <c r="C38" s="334"/>
      <c r="F38" s="520" t="s">
        <v>1099</v>
      </c>
      <c r="G38" s="80">
        <f>case4_et_result_ez_axial_without_buoys</f>
        <v>0</v>
      </c>
      <c r="H38" s="80">
        <f>case4_et_result_ex_shear_force_without_buoys</f>
        <v>0</v>
      </c>
      <c r="I38" s="80">
        <f>case4_et_result_ey_moment_without_buoys</f>
        <v>0</v>
      </c>
      <c r="J38" s="80" t="s">
        <v>588</v>
      </c>
    </row>
    <row r="39" spans="1:11" ht="18" customHeight="1" x14ac:dyDescent="0.25">
      <c r="C39" s="334"/>
      <c r="F39" s="520" t="s">
        <v>1100</v>
      </c>
      <c r="G39" s="80">
        <f>case5_et_result_ez_axial</f>
        <v>0</v>
      </c>
      <c r="H39" s="80">
        <f>case5_et_result_ex_shear_force</f>
        <v>0</v>
      </c>
      <c r="I39" s="80">
        <f>case5_et_result_ey_moment</f>
        <v>0</v>
      </c>
      <c r="J39" s="80" t="s">
        <v>588</v>
      </c>
    </row>
    <row r="40" spans="1:11" ht="18" customHeight="1" x14ac:dyDescent="0.25">
      <c r="C40" s="334"/>
      <c r="F40" s="520" t="s">
        <v>1066</v>
      </c>
      <c r="G40" s="80" t="s">
        <v>588</v>
      </c>
      <c r="H40" s="80" t="s">
        <v>588</v>
      </c>
      <c r="I40" s="80">
        <f>ABS(cont1_ey_moment)</f>
        <v>0</v>
      </c>
      <c r="J40" s="80" t="s">
        <v>588</v>
      </c>
      <c r="K40" s="17"/>
    </row>
    <row r="41" spans="1:11" ht="18" customHeight="1" x14ac:dyDescent="0.25">
      <c r="C41" s="334"/>
      <c r="F41" s="520" t="s">
        <v>1068</v>
      </c>
      <c r="G41" s="80" t="s">
        <v>588</v>
      </c>
      <c r="H41" s="80" t="s">
        <v>588</v>
      </c>
      <c r="I41" s="80">
        <f>ABS(cont2_ey_moment)</f>
        <v>0</v>
      </c>
      <c r="J41" s="80" t="s">
        <v>588</v>
      </c>
    </row>
    <row r="42" spans="1:11" ht="18" customHeight="1" x14ac:dyDescent="0.25">
      <c r="C42" s="334"/>
      <c r="F42" s="520" t="s">
        <v>875</v>
      </c>
      <c r="G42" s="80" t="str">
        <f>IF(OR(_dvc_type=1, _total_buoyant&lt;&gt;0), "IGNORAR", puxada_ez_axial_max)</f>
        <v>IGNORAR</v>
      </c>
      <c r="H42" s="80" t="str">
        <f>IF(OR(_dvc_type=1, _total_buoyant&lt;&gt;0), "IGNORAR", puxada_ex_shear_force_max)</f>
        <v>IGNORAR</v>
      </c>
      <c r="I42" s="80" t="str">
        <f>IF(OR(_dvc_type=1, _total_buoyant&lt;&gt;0), "IGNORAR", puxada_ey_moment_max)</f>
        <v>IGNORAR</v>
      </c>
      <c r="J42" s="80" t="s">
        <v>588</v>
      </c>
    </row>
    <row r="43" spans="1:11" ht="18" customHeight="1" x14ac:dyDescent="0.25">
      <c r="F43" s="520" t="s">
        <v>878</v>
      </c>
      <c r="G43" s="80" t="str">
        <f>IF(OR(_dvc_type=1, _total_buoyant&lt;&gt;0), "IGNORAR", puxada_ez_axial_min)</f>
        <v>IGNORAR</v>
      </c>
      <c r="H43" s="80" t="str">
        <f>IF(OR(_dvc_type=1, _total_buoyant&lt;&gt;0), "IGNORAR", puxada_ex_shear_force_min)</f>
        <v>IGNORAR</v>
      </c>
      <c r="I43" s="80" t="str">
        <f>IF(OR(_dvc_type=1, _total_buoyant&lt;&gt;0), "IGNORAR", puxada_ey_moment_min)</f>
        <v>IGNORAR</v>
      </c>
      <c r="J43" s="80" t="s">
        <v>588</v>
      </c>
    </row>
    <row r="44" spans="1:11" ht="18" customHeight="1" x14ac:dyDescent="0.25">
      <c r="C44" s="73"/>
      <c r="F44" s="521" t="s">
        <v>1101</v>
      </c>
      <c r="G44" s="383">
        <f>preliminary_heave_ez_axial_max</f>
        <v>0</v>
      </c>
      <c r="H44" s="383">
        <f>preliminary_heave_ex_shear_force_max</f>
        <v>0</v>
      </c>
      <c r="I44" s="383">
        <f>preliminary_heave_ey_moment_max</f>
        <v>0</v>
      </c>
      <c r="J44" s="383" t="s">
        <v>588</v>
      </c>
    </row>
    <row r="45" spans="1:11" ht="18" customHeight="1" x14ac:dyDescent="0.25">
      <c r="C45" s="379"/>
      <c r="F45" s="521" t="s">
        <v>1102</v>
      </c>
      <c r="G45" s="323">
        <f>preliminary_heave_ez_axial_min</f>
        <v>0</v>
      </c>
      <c r="H45" s="323">
        <f>preliminary_heave_ex_shear_force_min</f>
        <v>0</v>
      </c>
      <c r="I45" s="383">
        <f>preliminary_heave_ey_moment_min</f>
        <v>0</v>
      </c>
      <c r="J45" s="383" t="s">
        <v>588</v>
      </c>
    </row>
    <row r="46" spans="1:11" ht="18" customHeight="1" x14ac:dyDescent="0.25">
      <c r="C46" s="376"/>
      <c r="F46" s="521" t="s">
        <v>1103</v>
      </c>
      <c r="G46" s="323">
        <f>preliminary_toque_ez_axial_max</f>
        <v>0</v>
      </c>
      <c r="H46" s="323">
        <f>preliminary_toque_ex_shear_force_max</f>
        <v>0</v>
      </c>
      <c r="I46" s="323">
        <f>preliminary_toque_ey_moment_max</f>
        <v>0</v>
      </c>
      <c r="J46" s="383" t="str">
        <f>IF(ISTEXT(postproc_case3ii_time_toque_solo_preview), "Não teve toque", postproc_case3ii_time_toque_solo_preview)</f>
        <v>Não teve toque</v>
      </c>
    </row>
    <row r="47" spans="1:11" ht="18" customHeight="1" x14ac:dyDescent="0.25">
      <c r="C47" s="376"/>
      <c r="F47" s="698" t="s">
        <v>1104</v>
      </c>
      <c r="G47" s="698"/>
      <c r="H47" s="698"/>
      <c r="I47" s="698"/>
      <c r="J47" s="698"/>
    </row>
    <row r="48" spans="1:11" ht="18" customHeight="1" x14ac:dyDescent="0.25">
      <c r="C48" s="376"/>
    </row>
    <row r="49" spans="3:9" ht="18" customHeight="1" x14ac:dyDescent="0.25">
      <c r="C49" s="376"/>
    </row>
    <row r="50" spans="3:9" ht="18" customHeight="1" x14ac:dyDescent="0.25">
      <c r="C50" s="376"/>
      <c r="I50" s="17"/>
    </row>
    <row r="299" spans="1:1" ht="18" customHeight="1" x14ac:dyDescent="0.25">
      <c r="A299" s="5"/>
    </row>
  </sheetData>
  <sheetProtection formatCells="0" formatColumns="0" formatRows="0" insertColumns="0" insertRows="0" insertHyperlinks="0" deleteColumns="0" deleteRows="0" sort="0" autoFilter="0" pivotTables="0"/>
  <sortState xmlns:xlrd2="http://schemas.microsoft.com/office/spreadsheetml/2017/richdata2" ref="G6:G13">
    <sortCondition ref="G6"/>
  </sortState>
  <mergeCells count="9">
    <mergeCell ref="F32:F33"/>
    <mergeCell ref="F47:J47"/>
    <mergeCell ref="F31:J31"/>
    <mergeCell ref="A2:B2"/>
    <mergeCell ref="D17:D20"/>
    <mergeCell ref="F2:I2"/>
    <mergeCell ref="A26:B26"/>
    <mergeCell ref="F16:K16"/>
    <mergeCell ref="F17:F18"/>
  </mergeCells>
  <phoneticPr fontId="23" type="noConversion"/>
  <conditionalFormatting sqref="D23">
    <cfRule type="containsText" dxfId="32" priority="35" operator="containsText" text="Sim">
      <formula>NOT(ISERROR(SEARCH("Sim",D23)))</formula>
    </cfRule>
    <cfRule type="containsText" dxfId="31" priority="36" operator="containsText" text="Não">
      <formula>NOT(ISERROR(SEARCH("Não",D23)))</formula>
    </cfRule>
  </conditionalFormatting>
  <conditionalFormatting sqref="D17">
    <cfRule type="containsText" dxfId="30" priority="33" operator="containsText" text="Versão compatível">
      <formula>NOT(ISERROR(SEARCH("Versão compatível",D17)))</formula>
    </cfRule>
    <cfRule type="containsText" dxfId="29" priority="34" operator="containsText" text="incompatível">
      <formula>NOT(ISERROR(SEARCH("incompatível",D17)))</formula>
    </cfRule>
  </conditionalFormatting>
  <conditionalFormatting sqref="D2">
    <cfRule type="containsText" dxfId="28" priority="22" operator="containsText" text="2ª">
      <formula>NOT(ISERROR(SEARCH("2ª",D2)))</formula>
    </cfRule>
    <cfRule type="containsText" dxfId="27" priority="23" operator="containsText" text="1ª">
      <formula>NOT(ISERROR(SEARCH("1ª",D2)))</formula>
    </cfRule>
    <cfRule type="containsText" dxfId="26" priority="24" operator="containsText" text="Selecione">
      <formula>NOT(ISERROR(SEARCH("Selecione",D2)))</formula>
    </cfRule>
  </conditionalFormatting>
  <conditionalFormatting sqref="J34:J46">
    <cfRule type="containsText" dxfId="25" priority="19" operator="containsText" text="toque">
      <formula>NOT(ISERROR(SEARCH("toque",J34)))</formula>
    </cfRule>
  </conditionalFormatting>
  <conditionalFormatting sqref="I4:I14">
    <cfRule type="cellIs" dxfId="24" priority="16" operator="equal">
      <formula>"CRÍTICO"</formula>
    </cfRule>
    <cfRule type="cellIs" dxfId="23" priority="17" operator="equal">
      <formula>"OK"</formula>
    </cfRule>
    <cfRule type="cellIs" dxfId="22" priority="18" operator="equal">
      <formula>"NOT OK"</formula>
    </cfRule>
  </conditionalFormatting>
  <conditionalFormatting sqref="K19:K28">
    <cfRule type="cellIs" dxfId="21" priority="4" operator="equal">
      <formula>"Não travou"</formula>
    </cfRule>
    <cfRule type="cellIs" dxfId="20" priority="5" operator="equal">
      <formula>"Travou"</formula>
    </cfRule>
  </conditionalFormatting>
  <conditionalFormatting sqref="G19:G20 G22:G28">
    <cfRule type="cellIs" dxfId="19" priority="6" operator="greaterThan">
      <formula>$G$29</formula>
    </cfRule>
  </conditionalFormatting>
  <conditionalFormatting sqref="H19:H20 H22:H28">
    <cfRule type="cellIs" dxfId="18" priority="7" operator="greaterThan">
      <formula>$H$29</formula>
    </cfRule>
  </conditionalFormatting>
  <conditionalFormatting sqref="I19:I28">
    <cfRule type="cellIs" dxfId="17" priority="8" operator="lessThan">
      <formula>$I$29</formula>
    </cfRule>
  </conditionalFormatting>
  <conditionalFormatting sqref="J19:J28">
    <cfRule type="cellIs" dxfId="16" priority="9" operator="lessThan">
      <formula>$J$29</formula>
    </cfRule>
  </conditionalFormatting>
  <conditionalFormatting sqref="I40">
    <cfRule type="cellIs" dxfId="15" priority="2" operator="greaterThan">
      <formula>"ABS(MAX($I$34:$I$39))"</formula>
    </cfRule>
  </conditionalFormatting>
  <conditionalFormatting sqref="I41">
    <cfRule type="cellIs" dxfId="14" priority="1" operator="greaterThan">
      <formula>"""ABS(MAX($I$34:$I$39))"""</formula>
    </cfRule>
  </conditionalFormatting>
  <dataValidations count="3">
    <dataValidation type="whole" operator="greaterThanOrEqual" allowBlank="1" showInputMessage="1" showErrorMessage="1" errorTitle="Erro de Input" error="Inserir apenas números inteiros." sqref="B8" xr:uid="{E6EFA81D-AD11-409B-8144-0317FC5CCCBE}">
      <formula1>0</formula1>
    </dataValidation>
    <dataValidation operator="greaterThanOrEqual" allowBlank="1" showInputMessage="1" showErrorMessage="1" errorTitle="Erro de Input" error="Inserir apenas números inteiros." sqref="B9" xr:uid="{2551668E-F02A-4813-8538-A6425BED7297}"/>
    <dataValidation type="decimal" allowBlank="1" showInputMessage="1" showErrorMessage="1" sqref="B28:B34" xr:uid="{00000000-0002-0000-1100-000008000000}">
      <formula1>0</formula1>
      <formula2>99999999999</formula2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14" r:id="rId4" name="Button 42">
              <controlPr defaultSize="0" print="0" autoFill="0" autoPict="0" macro="[0]!GenerateWordReport">
                <anchor moveWithCells="1" sizeWithCells="1">
                  <from>
                    <xdr:col>3</xdr:col>
                    <xdr:colOff>12700</xdr:colOff>
                    <xdr:row>11</xdr:row>
                    <xdr:rowOff>190500</xdr:rowOff>
                  </from>
                  <to>
                    <xdr:col>3</xdr:col>
                    <xdr:colOff>2127250</xdr:colOff>
                    <xdr:row>14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5" r:id="rId5" name="Button 43">
              <controlPr defaultSize="0" print="0" autoFill="0" autoPict="0" macro="[0]!RunPostProcessing">
                <anchor moveWithCells="1" sizeWithCells="1">
                  <from>
                    <xdr:col>3</xdr:col>
                    <xdr:colOff>12700</xdr:colOff>
                    <xdr:row>8</xdr:row>
                    <xdr:rowOff>190500</xdr:rowOff>
                  </from>
                  <to>
                    <xdr:col>3</xdr:col>
                    <xdr:colOff>2127250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6" r:id="rId6" name="Button 74">
              <controlPr defaultSize="0" print="0" autoFill="0" autoPict="0" macro="[0]!GenerateCases_4_5">
                <anchor moveWithCells="1" sizeWithCells="1">
                  <from>
                    <xdr:col>3</xdr:col>
                    <xdr:colOff>12700</xdr:colOff>
                    <xdr:row>6</xdr:row>
                    <xdr:rowOff>0</xdr:rowOff>
                  </from>
                  <to>
                    <xdr:col>3</xdr:col>
                    <xdr:colOff>2127250</xdr:colOff>
                    <xdr:row>8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6" r:id="rId7" name="Button 84">
              <controlPr defaultSize="0" print="0" autoFill="0" autoPict="0" macro="[0]!GenerateLayaway">
                <anchor moveWithCells="1" sizeWithCells="1">
                  <from>
                    <xdr:col>3</xdr:col>
                    <xdr:colOff>12700</xdr:colOff>
                    <xdr:row>2</xdr:row>
                    <xdr:rowOff>203200</xdr:rowOff>
                  </from>
                  <to>
                    <xdr:col>3</xdr:col>
                    <xdr:colOff>2127250</xdr:colOff>
                    <xdr:row>5</xdr:row>
                    <xdr:rowOff>12700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" id="{385FCCCD-6A0D-4043-8905-AB6B2D5595BB}">
            <xm:f>Data!$V$50&lt;&gt;2</xm:f>
            <x14:dxf>
              <fill>
                <patternFill patternType="darkGrid"/>
              </fill>
            </x14:dxf>
          </x14:cfRule>
          <xm:sqref>F11:I14 F24:K26 F42:J43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CAB5C2D-6E3B-4151-B037-284F7A86DBF7}">
          <x14:formula1>
            <xm:f>Data!$X$47:$X$49</xm:f>
          </x14:formula1>
          <xm:sqref>B4</xm:sqref>
        </x14:dataValidation>
        <x14:dataValidation type="list" allowBlank="1" showInputMessage="1" xr:uid="{AC36C449-589E-466F-A52D-957C7D86FBB5}">
          <x14:formula1>
            <xm:f>Data!$T$75:$T$82</xm:f>
          </x14:formula1>
          <xm:sqref>B6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7"/>
  <dimension ref="A1:M53"/>
  <sheetViews>
    <sheetView zoomScale="90" zoomScaleNormal="90" workbookViewId="0"/>
  </sheetViews>
  <sheetFormatPr defaultColWidth="0" defaultRowHeight="12.5" zeroHeight="1" x14ac:dyDescent="0.25"/>
  <cols>
    <col min="1" max="1" width="1.7265625" style="12" customWidth="1"/>
    <col min="2" max="2" width="24.54296875" style="12" customWidth="1"/>
    <col min="3" max="5" width="22.54296875" style="12" customWidth="1"/>
    <col min="6" max="10" width="15.54296875" style="12" customWidth="1"/>
    <col min="11" max="11" width="1.7265625" style="12" customWidth="1"/>
    <col min="12" max="13" width="0" style="12" hidden="1" customWidth="1"/>
    <col min="14" max="16384" width="9.26953125" style="12" hidden="1"/>
  </cols>
  <sheetData>
    <row r="1" spans="2:10" x14ac:dyDescent="0.25"/>
    <row r="2" spans="2:10" ht="30" customHeight="1" thickBot="1" x14ac:dyDescent="0.3">
      <c r="B2" s="398" t="s">
        <v>1105</v>
      </c>
      <c r="C2" s="486" t="s">
        <v>963</v>
      </c>
    </row>
    <row r="3" spans="2:10" ht="15" customHeight="1" thickTop="1" x14ac:dyDescent="0.25">
      <c r="B3" s="397" t="s">
        <v>1106</v>
      </c>
      <c r="C3" s="146">
        <f>IF(C2="Preliminar (Dinâmico) - Caso 3 - Heave Up (Max)", preliminary_heave_ez_axial_max,
IF(C2="Preliminar (Dinâmico) - Caso 3 - Heave Up (Min)", preliminary_heave_ez_axial_min,
IF(C2="Preliminar (Dinâmico) - Caso 3 - Toque no Solo", preliminary_toque_ez_axial_max,
IF(C2="Final (Dinâmico) - Caso 3 - Heave Up (Max)", case3i_heave_ez_axial_max,
IF(C2="Final (Dinâmico) - Caso 3 - Heave Up (Min)", case3i_heave_ez_axial_min,
IF(C2="Final (Dinâmico) - Caso 3 - Toque no Solo", case3ii_toque_ez_axial_max,
IF(C2="Caso 4 - Teste Hidrostático (Com Flutuador)", case4_et_result_ez_axial_with_buoys,
IF(C2="Caso 4 - Teste Hidrostático (Sem Flutuador)", case4_et_result_ez_axial_without_buoys,
IF(C2="Caso 5 - Operação (Sem Flutuador)", case5_et_result_ez_axial,
IF(C2="Puxada com GP Max", puxada_ez_axial_max,
IF(C2="Puxada com GP Min", puxada_ez_axial_min)))))))))))</f>
        <v>0</v>
      </c>
    </row>
    <row r="4" spans="2:10" ht="15" customHeight="1" x14ac:dyDescent="0.25">
      <c r="B4" s="396" t="s">
        <v>1107</v>
      </c>
      <c r="C4" s="16">
        <f>IF(C2="Preliminar (Dinâmico) - Caso 3 - Heave Up (Max)", preliminary_heave_ex_shear_force_max,
IF(C2="Preliminar (Dinâmico) - Caso 3 - Heave Up (Min)", preliminary_heave_ex_shear_force_min,
IF(C2="Preliminar (Dinâmico) - Caso 3 - Toque no Solo", preliminary_toque_ex_shear_force_max,
IF(C2="Final (Dinâmico) - Caso 3 - Heave Up (Max)", case3i_heave_ex_shear_force_max,
IF(C2="Final (Dinâmico) - Caso 3 - Heave Up (Min)", case3i_heave_ex_shear_force_min,
IF(C2="Final (Dinâmico) - Caso 3 - Toque no Solo", case3ii_toque_ex_shear_force_max,
IF(C2="Caso 4 - Teste Hidrostático (Com Flutuador)", case4_et_result_ex_shear_force_with_buoys,
IF(C2="Caso 4 - Teste Hidrostático (Sem Flutuador)", case4_et_result_ex_shear_force_without_buoys,
IF(C2="Caso 5 - Operação (Sem Flutuador)", case5_et_result_ex_shear_force,
IF(C2="Puxada com GP Max", puxada_ex_shear_force_max,
IF(C2="Puxada com GP Min", puxada_ex_shear_force_min)))))))))))</f>
        <v>0</v>
      </c>
    </row>
    <row r="5" spans="2:10" ht="15" customHeight="1" x14ac:dyDescent="0.25">
      <c r="B5" s="396" t="s">
        <v>1108</v>
      </c>
      <c r="C5" s="16">
        <f>IF(C2="Preliminar (Dinâmico) - Caso 3 - Heave Up (Max)", preliminary_heave_ey_moment_max,
IF(C2="Preliminar (Dinâmico) - Caso 3 - Heave Up (Min)", preliminary_heave_ey_moment_min,
IF(C2="Preliminar (Dinâmico) - Caso 3 - Toque no Solo", preliminary_toque_ey_moment_max,
IF(C2="Final (Dinâmico) - Caso 3 - Heave Up (Max)", case3i_heave_ey_moment_max,
IF(C2="Final (Dinâmico) - Caso 3 - Heave Up (Min)", case3i_heave_ey_moment_min,
IF(C2="Final (Dinâmico) - Caso 3 - Toque no Solo", case3ii_toque_ey_moment_max,
IF(C2="Caso 4 - Teste Hidrostático (Com Flutuador)", case4_et_result_ey_moment_with_buoys,
IF(C2="Caso 4 - Teste Hidrostático (Sem Flutuador)", case4_et_result_ey_moment_without_buoys,
IF(C2="Caso 5 - Operação (Sem Flutuador)", case5_et_result_ey_moment,
IF(C2="Puxada com GP Max", puxada_ey_moment_max,
IF(C2="Puxada com GP Min", puxada_ey_moment_min)))))))))))</f>
        <v>0</v>
      </c>
    </row>
    <row r="6" spans="2:10" ht="15" customHeight="1" thickBot="1" x14ac:dyDescent="0.3"/>
    <row r="7" spans="2:10" ht="20.149999999999999" customHeight="1" thickBot="1" x14ac:dyDescent="0.3">
      <c r="F7" s="4" t="s">
        <v>1109</v>
      </c>
      <c r="G7" s="715" t="s">
        <v>1110</v>
      </c>
      <c r="H7" s="716"/>
      <c r="I7" s="716"/>
      <c r="J7" s="717"/>
    </row>
    <row r="8" spans="2:10" ht="30" customHeight="1" thickBot="1" x14ac:dyDescent="0.3">
      <c r="B8" s="713" t="s">
        <v>1111</v>
      </c>
      <c r="C8" s="714"/>
      <c r="D8" s="500" t="s">
        <v>1112</v>
      </c>
      <c r="E8" s="473" t="s">
        <v>1113</v>
      </c>
      <c r="F8" s="35" t="s">
        <v>1018</v>
      </c>
      <c r="G8" s="8" t="s">
        <v>1114</v>
      </c>
      <c r="H8" s="9" t="s">
        <v>1048</v>
      </c>
      <c r="I8" s="8" t="s">
        <v>1115</v>
      </c>
      <c r="J8" s="230" t="s">
        <v>1116</v>
      </c>
    </row>
    <row r="9" spans="2:10" ht="15" customHeight="1" thickTop="1" thickBot="1" x14ac:dyDescent="0.3">
      <c r="B9" s="487" t="s">
        <v>1117</v>
      </c>
      <c r="C9" s="488"/>
      <c r="D9" s="494" t="s">
        <v>1118</v>
      </c>
      <c r="E9" s="493"/>
      <c r="F9" s="36" t="e">
        <f>VALUE(LEFT(E9,SEARCH(" ",E9)-1))</f>
        <v>#VALUE!</v>
      </c>
      <c r="G9" s="23"/>
      <c r="H9" s="29"/>
      <c r="I9" s="224"/>
      <c r="J9" s="223" t="str">
        <f>IF(tbl_esforcos[[#This Row],[Cortante]]&lt;&gt;"",IF(SIGN(tbl_esforcos[[#This Row],[Cortante]])&lt;&gt;SIGN(tbl_esforcos[[#This Row],[Valor]]),"SINAL",IF(ABS(tbl_esforcos[[#This Row],[Cortante]])&gt;ABS(tbl_esforcos[[#This Row],[Valor]]),"VALOR","OK")),IF(tbl_esforcos[[#This Row],[Tração]]&lt;&gt;"",IF(SIGN(tbl_esforcos[[#This Row],[Tração]])&lt;&gt;SIGN(tbl_esforcos[[#This Row],[Valor]]),"SINAL",IF(ABS(tbl_esforcos[[#This Row],[Tração]])&gt;ABS(tbl_esforcos[[#This Row],[Valor]]),"VALOR","OK")),IF(tbl_esforcos[[#This Row],[M. Fletor]]&lt;&gt;"",IF(SIGN(tbl_esforcos[[#This Row],[M. Fletor]])&lt;&gt;SIGN(tbl_esforcos[[#This Row],[Valor]]),"SINAL",IF(ABS(tbl_esforcos[[#This Row],[M. Fletor]])&gt;ABS(tbl_esforcos[[#This Row],[Valor]]),"VALOR","OK")),"---")))</f>
        <v>---</v>
      </c>
    </row>
    <row r="10" spans="2:10" ht="15" customHeight="1" x14ac:dyDescent="0.25">
      <c r="B10" s="718" t="s">
        <v>1119</v>
      </c>
      <c r="C10" s="489"/>
      <c r="D10" s="495" t="s">
        <v>1118</v>
      </c>
      <c r="E10" s="177"/>
      <c r="F10" s="37" t="e">
        <f t="shared" ref="F10:F49" si="0">VALUE(LEFT(E10,SEARCH(" ",E10)-1))</f>
        <v>#VALUE!</v>
      </c>
      <c r="G10" s="24">
        <f>$C$3</f>
        <v>0</v>
      </c>
      <c r="H10" s="30"/>
      <c r="I10" s="217"/>
      <c r="J10" s="222" t="e">
        <f>IF(tbl_esforcos[[#This Row],[Cortante]]&lt;&gt;"",IF(SIGN(tbl_esforcos[[#This Row],[Cortante]])&lt;&gt;SIGN(tbl_esforcos[[#This Row],[Valor]]),"SINAL",IF(ABS(tbl_esforcos[[#This Row],[Cortante]])&gt;ABS(tbl_esforcos[[#This Row],[Valor]]),"VALOR","OK")),IF(tbl_esforcos[[#This Row],[Tração]]&lt;&gt;"",IF(SIGN(tbl_esforcos[[#This Row],[Tração]])&lt;&gt;SIGN(tbl_esforcos[[#This Row],[Valor]]),"SINAL",IF(ABS(tbl_esforcos[[#This Row],[Tração]])&gt;ABS(tbl_esforcos[[#This Row],[Valor]]),"VALOR","OK")),IF(tbl_esforcos[[#This Row],[M. Fletor]]&lt;&gt;"",IF(SIGN(tbl_esforcos[[#This Row],[M. Fletor]])&lt;&gt;SIGN(tbl_esforcos[[#This Row],[Valor]]),"SINAL",IF(ABS(tbl_esforcos[[#This Row],[M. Fletor]])&gt;ABS(tbl_esforcos[[#This Row],[Valor]]),"VALOR","OK")),"---")))</f>
        <v>#VALUE!</v>
      </c>
    </row>
    <row r="11" spans="2:10" ht="15" customHeight="1" x14ac:dyDescent="0.25">
      <c r="B11" s="719"/>
      <c r="C11" s="490"/>
      <c r="D11" s="496" t="s">
        <v>1120</v>
      </c>
      <c r="E11" s="178"/>
      <c r="F11" s="38" t="e">
        <f t="shared" si="0"/>
        <v>#VALUE!</v>
      </c>
      <c r="G11" s="25"/>
      <c r="H11" s="31">
        <f>$C$4</f>
        <v>0</v>
      </c>
      <c r="I11" s="218"/>
      <c r="J11" s="225" t="e">
        <f>IF(tbl_esforcos[[#This Row],[Cortante]]&lt;&gt;"",IF(SIGN(tbl_esforcos[[#This Row],[Cortante]])&lt;&gt;SIGN(tbl_esforcos[[#This Row],[Valor]]),"SINAL",IF(ABS(tbl_esforcos[[#This Row],[Cortante]])&gt;ABS(tbl_esforcos[[#This Row],[Valor]]),"VALOR","OK")),IF(tbl_esforcos[[#This Row],[Tração]]&lt;&gt;"",IF(SIGN(tbl_esforcos[[#This Row],[Tração]])&lt;&gt;SIGN(tbl_esforcos[[#This Row],[Valor]]),"SINAL",IF(ABS(tbl_esforcos[[#This Row],[Tração]])&gt;ABS(tbl_esforcos[[#This Row],[Valor]]),"VALOR","OK")),IF(tbl_esforcos[[#This Row],[M. Fletor]]&lt;&gt;"",IF(SIGN(tbl_esforcos[[#This Row],[M. Fletor]])&lt;&gt;SIGN(tbl_esforcos[[#This Row],[Valor]]),"SINAL",IF(ABS(tbl_esforcos[[#This Row],[M. Fletor]])&gt;ABS(tbl_esforcos[[#This Row],[Valor]]),"VALOR","OK")),"---")))</f>
        <v>#VALUE!</v>
      </c>
    </row>
    <row r="12" spans="2:10" ht="15" customHeight="1" thickBot="1" x14ac:dyDescent="0.3">
      <c r="B12" s="719"/>
      <c r="C12" s="490"/>
      <c r="D12" s="497" t="s">
        <v>1121</v>
      </c>
      <c r="E12" s="180"/>
      <c r="F12" s="39" t="e">
        <f t="shared" si="0"/>
        <v>#VALUE!</v>
      </c>
      <c r="G12" s="26"/>
      <c r="H12" s="32"/>
      <c r="I12" s="219">
        <f>$C$5</f>
        <v>0</v>
      </c>
      <c r="J12" s="226" t="e">
        <f>IF(tbl_esforcos[[#This Row],[Cortante]]&lt;&gt;"",IF(SIGN(tbl_esforcos[[#This Row],[Cortante]])&lt;&gt;SIGN(tbl_esforcos[[#This Row],[Valor]]),"SINAL",IF(ABS(tbl_esforcos[[#This Row],[Cortante]])&gt;ABS(tbl_esforcos[[#This Row],[Valor]]),"VALOR","OK")),IF(tbl_esforcos[[#This Row],[Tração]]&lt;&gt;"",IF(SIGN(tbl_esforcos[[#This Row],[Tração]])&lt;&gt;SIGN(tbl_esforcos[[#This Row],[Valor]]),"SINAL",IF(ABS(tbl_esforcos[[#This Row],[Tração]])&gt;ABS(tbl_esforcos[[#This Row],[Valor]]),"VALOR","OK")),IF(tbl_esforcos[[#This Row],[M. Fletor]]&lt;&gt;"",IF(SIGN(tbl_esforcos[[#This Row],[M. Fletor]])&lt;&gt;SIGN(tbl_esforcos[[#This Row],[Valor]]),"SINAL",IF(ABS(tbl_esforcos[[#This Row],[M. Fletor]])&gt;ABS(tbl_esforcos[[#This Row],[Valor]]),"VALOR","OK")),"---")))</f>
        <v>#VALUE!</v>
      </c>
    </row>
    <row r="13" spans="2:10" ht="15" customHeight="1" x14ac:dyDescent="0.25">
      <c r="B13" s="719"/>
      <c r="C13" s="490"/>
      <c r="D13" s="499" t="s">
        <v>1122</v>
      </c>
      <c r="E13" s="181"/>
      <c r="F13" s="40" t="e">
        <f t="shared" si="0"/>
        <v>#VALUE!</v>
      </c>
      <c r="G13" s="27"/>
      <c r="H13" s="33"/>
      <c r="I13" s="220"/>
      <c r="J13" s="228" t="str">
        <f>IF(tbl_esforcos[[#This Row],[Cortante]]&lt;&gt;"",IF(SIGN(tbl_esforcos[[#This Row],[Cortante]])&lt;&gt;SIGN(tbl_esforcos[[#This Row],[Valor]]),"SINAL",IF(ABS(tbl_esforcos[[#This Row],[Cortante]])&gt;ABS(tbl_esforcos[[#This Row],[Valor]]),"VALOR","OK")),IF(tbl_esforcos[[#This Row],[Tração]]&lt;&gt;"",IF(SIGN(tbl_esforcos[[#This Row],[Tração]])&lt;&gt;SIGN(tbl_esforcos[[#This Row],[Valor]]),"SINAL",IF(ABS(tbl_esforcos[[#This Row],[Tração]])&gt;ABS(tbl_esforcos[[#This Row],[Valor]]),"VALOR","OK")),IF(tbl_esforcos[[#This Row],[M. Fletor]]&lt;&gt;"",IF(SIGN(tbl_esforcos[[#This Row],[M. Fletor]])&lt;&gt;SIGN(tbl_esforcos[[#This Row],[Valor]]),"SINAL",IF(ABS(tbl_esforcos[[#This Row],[M. Fletor]])&gt;ABS(tbl_esforcos[[#This Row],[Valor]]),"VALOR","OK")),"---")))</f>
        <v>---</v>
      </c>
    </row>
    <row r="14" spans="2:10" ht="15" customHeight="1" thickBot="1" x14ac:dyDescent="0.3">
      <c r="B14" s="720"/>
      <c r="C14" s="488"/>
      <c r="D14" s="497" t="s">
        <v>1123</v>
      </c>
      <c r="E14" s="180"/>
      <c r="F14" s="39" t="e">
        <f t="shared" si="0"/>
        <v>#VALUE!</v>
      </c>
      <c r="G14" s="26"/>
      <c r="H14" s="32"/>
      <c r="I14" s="219"/>
      <c r="J14" s="226" t="str">
        <f>IF(tbl_esforcos[[#This Row],[Cortante]]&lt;&gt;"",IF(SIGN(tbl_esforcos[[#This Row],[Cortante]])&lt;&gt;SIGN(tbl_esforcos[[#This Row],[Valor]]),"SINAL",IF(ABS(tbl_esforcos[[#This Row],[Cortante]])&gt;ABS(tbl_esforcos[[#This Row],[Valor]]),"VALOR","OK")),IF(tbl_esforcos[[#This Row],[Tração]]&lt;&gt;"",IF(SIGN(tbl_esforcos[[#This Row],[Tração]])&lt;&gt;SIGN(tbl_esforcos[[#This Row],[Valor]]),"SINAL",IF(ABS(tbl_esforcos[[#This Row],[Tração]])&gt;ABS(tbl_esforcos[[#This Row],[Valor]]),"VALOR","OK")),IF(tbl_esforcos[[#This Row],[M. Fletor]]&lt;&gt;"",IF(SIGN(tbl_esforcos[[#This Row],[M. Fletor]])&lt;&gt;SIGN(tbl_esforcos[[#This Row],[Valor]]),"SINAL",IF(ABS(tbl_esforcos[[#This Row],[M. Fletor]])&gt;ABS(tbl_esforcos[[#This Row],[Valor]]),"VALOR","OK")),"---")))</f>
        <v>---</v>
      </c>
    </row>
    <row r="15" spans="2:10" ht="15" customHeight="1" x14ac:dyDescent="0.25">
      <c r="B15" s="707" t="s">
        <v>1124</v>
      </c>
      <c r="C15" s="721" t="s">
        <v>1125</v>
      </c>
      <c r="D15" s="495" t="s">
        <v>1118</v>
      </c>
      <c r="E15" s="177"/>
      <c r="F15" s="37" t="e">
        <f t="shared" si="0"/>
        <v>#VALUE!</v>
      </c>
      <c r="G15" s="24">
        <f>$C$3</f>
        <v>0</v>
      </c>
      <c r="H15" s="30"/>
      <c r="I15" s="217"/>
      <c r="J15" s="228" t="e">
        <f>IF(tbl_esforcos[[#This Row],[Cortante]]&lt;&gt;"",IF(SIGN(tbl_esforcos[[#This Row],[Cortante]])&lt;&gt;SIGN(tbl_esforcos[[#This Row],[Valor]]),"SINAL",IF(ABS(tbl_esforcos[[#This Row],[Cortante]])&gt;ABS(tbl_esforcos[[#This Row],[Valor]]),"VALOR","OK")),IF(tbl_esforcos[[#This Row],[Tração]]&lt;&gt;"",IF(SIGN(tbl_esforcos[[#This Row],[Tração]])&lt;&gt;SIGN(tbl_esforcos[[#This Row],[Valor]]),"SINAL",IF(ABS(tbl_esforcos[[#This Row],[Tração]])&gt;ABS(tbl_esforcos[[#This Row],[Valor]]),"VALOR","OK")),IF(tbl_esforcos[[#This Row],[M. Fletor]]&lt;&gt;"",IF(SIGN(tbl_esforcos[[#This Row],[M. Fletor]])&lt;&gt;SIGN(tbl_esforcos[[#This Row],[Valor]]),"SINAL",IF(ABS(tbl_esforcos[[#This Row],[M. Fletor]])&gt;ABS(tbl_esforcos[[#This Row],[Valor]]),"VALOR","OK")),"---")))</f>
        <v>#VALUE!</v>
      </c>
    </row>
    <row r="16" spans="2:10" ht="15" customHeight="1" x14ac:dyDescent="0.25">
      <c r="B16" s="708"/>
      <c r="C16" s="722"/>
      <c r="D16" s="498" t="s">
        <v>1120</v>
      </c>
      <c r="E16" s="179"/>
      <c r="F16" s="38" t="e">
        <f t="shared" si="0"/>
        <v>#VALUE!</v>
      </c>
      <c r="G16" s="25"/>
      <c r="H16" s="31">
        <f>$C$4</f>
        <v>0</v>
      </c>
      <c r="I16" s="218"/>
      <c r="J16" s="225" t="e">
        <f>IF(tbl_esforcos[[#This Row],[Cortante]]&lt;&gt;"",IF(SIGN(tbl_esforcos[[#This Row],[Cortante]])&lt;&gt;SIGN(tbl_esforcos[[#This Row],[Valor]]),"SINAL",IF(ABS(tbl_esforcos[[#This Row],[Cortante]])&gt;ABS(tbl_esforcos[[#This Row],[Valor]]),"VALOR","OK")),IF(tbl_esforcos[[#This Row],[Tração]]&lt;&gt;"",IF(SIGN(tbl_esforcos[[#This Row],[Tração]])&lt;&gt;SIGN(tbl_esforcos[[#This Row],[Valor]]),"SINAL",IF(ABS(tbl_esforcos[[#This Row],[Tração]])&gt;ABS(tbl_esforcos[[#This Row],[Valor]]),"VALOR","OK")),IF(tbl_esforcos[[#This Row],[M. Fletor]]&lt;&gt;"",IF(SIGN(tbl_esforcos[[#This Row],[M. Fletor]])&lt;&gt;SIGN(tbl_esforcos[[#This Row],[Valor]]),"SINAL",IF(ABS(tbl_esforcos[[#This Row],[M. Fletor]])&gt;ABS(tbl_esforcos[[#This Row],[Valor]]),"VALOR","OK")),"---")))</f>
        <v>#VALUE!</v>
      </c>
    </row>
    <row r="17" spans="2:10" ht="15" customHeight="1" thickBot="1" x14ac:dyDescent="0.3">
      <c r="B17" s="708"/>
      <c r="C17" s="723"/>
      <c r="D17" s="497" t="s">
        <v>1121</v>
      </c>
      <c r="E17" s="180"/>
      <c r="F17" s="39" t="e">
        <f t="shared" si="0"/>
        <v>#VALUE!</v>
      </c>
      <c r="G17" s="26"/>
      <c r="H17" s="32"/>
      <c r="I17" s="219">
        <f>$C$5</f>
        <v>0</v>
      </c>
      <c r="J17" s="227" t="e">
        <f>IF(tbl_esforcos[[#This Row],[Cortante]]&lt;&gt;"",IF(SIGN(tbl_esforcos[[#This Row],[Cortante]])&lt;&gt;SIGN(tbl_esforcos[[#This Row],[Valor]]),"SINAL",IF(ABS(tbl_esforcos[[#This Row],[Cortante]])&gt;ABS(tbl_esforcos[[#This Row],[Valor]]),"VALOR","OK")),IF(tbl_esforcos[[#This Row],[Tração]]&lt;&gt;"",IF(SIGN(tbl_esforcos[[#This Row],[Tração]])&lt;&gt;SIGN(tbl_esforcos[[#This Row],[Valor]]),"SINAL",IF(ABS(tbl_esforcos[[#This Row],[Tração]])&gt;ABS(tbl_esforcos[[#This Row],[Valor]]),"VALOR","OK")),IF(tbl_esforcos[[#This Row],[M. Fletor]]&lt;&gt;"",IF(SIGN(tbl_esforcos[[#This Row],[M. Fletor]])&lt;&gt;SIGN(tbl_esforcos[[#This Row],[Valor]]),"SINAL",IF(ABS(tbl_esforcos[[#This Row],[M. Fletor]])&gt;ABS(tbl_esforcos[[#This Row],[Valor]]),"VALOR","OK")),"---")))</f>
        <v>#VALUE!</v>
      </c>
    </row>
    <row r="18" spans="2:10" ht="15" customHeight="1" x14ac:dyDescent="0.25">
      <c r="B18" s="708"/>
      <c r="C18" s="724" t="s">
        <v>1126</v>
      </c>
      <c r="D18" s="499" t="s">
        <v>1118</v>
      </c>
      <c r="E18" s="181"/>
      <c r="F18" s="40" t="e">
        <f t="shared" si="0"/>
        <v>#VALUE!</v>
      </c>
      <c r="G18" s="27">
        <f>$C$3</f>
        <v>0</v>
      </c>
      <c r="H18" s="33"/>
      <c r="I18" s="220"/>
      <c r="J18" s="229" t="e">
        <f>IF(tbl_esforcos[[#This Row],[Cortante]]&lt;&gt;"",IF(SIGN(tbl_esforcos[[#This Row],[Cortante]])&lt;&gt;SIGN(tbl_esforcos[[#This Row],[Valor]]),"SINAL",IF(ABS(tbl_esforcos[[#This Row],[Cortante]])&gt;ABS(tbl_esforcos[[#This Row],[Valor]]),"VALOR","OK")),IF(tbl_esforcos[[#This Row],[Tração]]&lt;&gt;"",IF(SIGN(tbl_esforcos[[#This Row],[Tração]])&lt;&gt;SIGN(tbl_esforcos[[#This Row],[Valor]]),"SINAL",IF(ABS(tbl_esforcos[[#This Row],[Tração]])&gt;ABS(tbl_esforcos[[#This Row],[Valor]]),"VALOR","OK")),IF(tbl_esforcos[[#This Row],[M. Fletor]]&lt;&gt;"",IF(SIGN(tbl_esforcos[[#This Row],[M. Fletor]])&lt;&gt;SIGN(tbl_esforcos[[#This Row],[Valor]]),"SINAL",IF(ABS(tbl_esforcos[[#This Row],[M. Fletor]])&gt;ABS(tbl_esforcos[[#This Row],[Valor]]),"VALOR","OK")),"---")))</f>
        <v>#VALUE!</v>
      </c>
    </row>
    <row r="19" spans="2:10" ht="15" customHeight="1" x14ac:dyDescent="0.25">
      <c r="B19" s="708"/>
      <c r="C19" s="722"/>
      <c r="D19" s="498" t="s">
        <v>1120</v>
      </c>
      <c r="E19" s="178"/>
      <c r="F19" s="38" t="e">
        <f t="shared" si="0"/>
        <v>#VALUE!</v>
      </c>
      <c r="G19" s="25"/>
      <c r="H19" s="31">
        <f>$C$4</f>
        <v>0</v>
      </c>
      <c r="I19" s="218"/>
      <c r="J19" s="225" t="e">
        <f>IF(tbl_esforcos[[#This Row],[Cortante]]&lt;&gt;"",IF(SIGN(tbl_esforcos[[#This Row],[Cortante]])&lt;&gt;SIGN(tbl_esforcos[[#This Row],[Valor]]),"SINAL",IF(ABS(tbl_esforcos[[#This Row],[Cortante]])&gt;ABS(tbl_esforcos[[#This Row],[Valor]]),"VALOR","OK")),IF(tbl_esforcos[[#This Row],[Tração]]&lt;&gt;"",IF(SIGN(tbl_esforcos[[#This Row],[Tração]])&lt;&gt;SIGN(tbl_esforcos[[#This Row],[Valor]]),"SINAL",IF(ABS(tbl_esforcos[[#This Row],[Tração]])&gt;ABS(tbl_esforcos[[#This Row],[Valor]]),"VALOR","OK")),IF(tbl_esforcos[[#This Row],[M. Fletor]]&lt;&gt;"",IF(SIGN(tbl_esforcos[[#This Row],[M. Fletor]])&lt;&gt;SIGN(tbl_esforcos[[#This Row],[Valor]]),"SINAL",IF(ABS(tbl_esforcos[[#This Row],[M. Fletor]])&gt;ABS(tbl_esforcos[[#This Row],[Valor]]),"VALOR","OK")),"---")))</f>
        <v>#VALUE!</v>
      </c>
    </row>
    <row r="20" spans="2:10" ht="15" customHeight="1" thickBot="1" x14ac:dyDescent="0.3">
      <c r="B20" s="708"/>
      <c r="C20" s="723"/>
      <c r="D20" s="497" t="s">
        <v>1121</v>
      </c>
      <c r="E20" s="180"/>
      <c r="F20" s="39" t="e">
        <f t="shared" si="0"/>
        <v>#VALUE!</v>
      </c>
      <c r="G20" s="26"/>
      <c r="H20" s="32"/>
      <c r="I20" s="219">
        <f>$C$5</f>
        <v>0</v>
      </c>
      <c r="J20" s="226" t="e">
        <f>IF(tbl_esforcos[[#This Row],[Cortante]]&lt;&gt;"",IF(SIGN(tbl_esforcos[[#This Row],[Cortante]])&lt;&gt;SIGN(tbl_esforcos[[#This Row],[Valor]]),"SINAL",IF(ABS(tbl_esforcos[[#This Row],[Cortante]])&gt;ABS(tbl_esforcos[[#This Row],[Valor]]),"VALOR","OK")),IF(tbl_esforcos[[#This Row],[Tração]]&lt;&gt;"",IF(SIGN(tbl_esforcos[[#This Row],[Tração]])&lt;&gt;SIGN(tbl_esforcos[[#This Row],[Valor]]),"SINAL",IF(ABS(tbl_esforcos[[#This Row],[Tração]])&gt;ABS(tbl_esforcos[[#This Row],[Valor]]),"VALOR","OK")),IF(tbl_esforcos[[#This Row],[M. Fletor]]&lt;&gt;"",IF(SIGN(tbl_esforcos[[#This Row],[M. Fletor]])&lt;&gt;SIGN(tbl_esforcos[[#This Row],[Valor]]),"SINAL",IF(ABS(tbl_esforcos[[#This Row],[M. Fletor]])&gt;ABS(tbl_esforcos[[#This Row],[Valor]]),"VALOR","OK")),"---")))</f>
        <v>#VALUE!</v>
      </c>
    </row>
    <row r="21" spans="2:10" ht="15" customHeight="1" x14ac:dyDescent="0.25">
      <c r="B21" s="708"/>
      <c r="C21" s="491"/>
      <c r="D21" s="499" t="s">
        <v>1122</v>
      </c>
      <c r="E21" s="181"/>
      <c r="F21" s="40" t="e">
        <f t="shared" si="0"/>
        <v>#VALUE!</v>
      </c>
      <c r="G21" s="27"/>
      <c r="H21" s="33"/>
      <c r="I21" s="220"/>
      <c r="J21" s="228" t="str">
        <f>IF(tbl_esforcos[[#This Row],[Cortante]]&lt;&gt;"",IF(SIGN(tbl_esforcos[[#This Row],[Cortante]])&lt;&gt;SIGN(tbl_esforcos[[#This Row],[Valor]]),"SINAL",IF(ABS(tbl_esforcos[[#This Row],[Cortante]])&gt;ABS(tbl_esforcos[[#This Row],[Valor]]),"VALOR","OK")),IF(tbl_esforcos[[#This Row],[Tração]]&lt;&gt;"",IF(SIGN(tbl_esforcos[[#This Row],[Tração]])&lt;&gt;SIGN(tbl_esforcos[[#This Row],[Valor]]),"SINAL",IF(ABS(tbl_esforcos[[#This Row],[Tração]])&gt;ABS(tbl_esforcos[[#This Row],[Valor]]),"VALOR","OK")),IF(tbl_esforcos[[#This Row],[M. Fletor]]&lt;&gt;"",IF(SIGN(tbl_esforcos[[#This Row],[M. Fletor]])&lt;&gt;SIGN(tbl_esforcos[[#This Row],[Valor]]),"SINAL",IF(ABS(tbl_esforcos[[#This Row],[M. Fletor]])&gt;ABS(tbl_esforcos[[#This Row],[Valor]]),"VALOR","OK")),"---")))</f>
        <v>---</v>
      </c>
    </row>
    <row r="22" spans="2:10" ht="15" customHeight="1" thickBot="1" x14ac:dyDescent="0.3">
      <c r="B22" s="709"/>
      <c r="C22" s="492"/>
      <c r="D22" s="497" t="s">
        <v>1123</v>
      </c>
      <c r="E22" s="180"/>
      <c r="F22" s="39" t="e">
        <f t="shared" si="0"/>
        <v>#VALUE!</v>
      </c>
      <c r="G22" s="26"/>
      <c r="H22" s="32"/>
      <c r="I22" s="219"/>
      <c r="J22" s="227" t="str">
        <f>IF(tbl_esforcos[[#This Row],[Cortante]]&lt;&gt;"",IF(SIGN(tbl_esforcos[[#This Row],[Cortante]])&lt;&gt;SIGN(tbl_esforcos[[#This Row],[Valor]]),"SINAL",IF(ABS(tbl_esforcos[[#This Row],[Cortante]])&gt;ABS(tbl_esforcos[[#This Row],[Valor]]),"VALOR","OK")),IF(tbl_esforcos[[#This Row],[Tração]]&lt;&gt;"",IF(SIGN(tbl_esforcos[[#This Row],[Tração]])&lt;&gt;SIGN(tbl_esforcos[[#This Row],[Valor]]),"SINAL",IF(ABS(tbl_esforcos[[#This Row],[Tração]])&gt;ABS(tbl_esforcos[[#This Row],[Valor]]),"VALOR","OK")),IF(tbl_esforcos[[#This Row],[M. Fletor]]&lt;&gt;"",IF(SIGN(tbl_esforcos[[#This Row],[M. Fletor]])&lt;&gt;SIGN(tbl_esforcos[[#This Row],[Valor]]),"SINAL",IF(ABS(tbl_esforcos[[#This Row],[M. Fletor]])&gt;ABS(tbl_esforcos[[#This Row],[Valor]]),"VALOR","OK")),"---")))</f>
        <v>---</v>
      </c>
    </row>
    <row r="23" spans="2:10" ht="15" customHeight="1" x14ac:dyDescent="0.25">
      <c r="B23" s="707" t="s">
        <v>1127</v>
      </c>
      <c r="C23" s="707" t="s">
        <v>1128</v>
      </c>
      <c r="D23" s="495" t="s">
        <v>1118</v>
      </c>
      <c r="E23" s="182"/>
      <c r="F23" s="40" t="e">
        <f t="shared" si="0"/>
        <v>#VALUE!</v>
      </c>
      <c r="G23" s="27">
        <f>$C$3</f>
        <v>0</v>
      </c>
      <c r="H23" s="33"/>
      <c r="I23" s="220"/>
      <c r="J23" s="229" t="e">
        <f>IF(tbl_esforcos[[#This Row],[Cortante]]&lt;&gt;"",IF(SIGN(tbl_esforcos[[#This Row],[Cortante]])&lt;&gt;SIGN(tbl_esforcos[[#This Row],[Valor]]),"SINAL",IF(ABS(tbl_esforcos[[#This Row],[Cortante]])&gt;ABS(tbl_esforcos[[#This Row],[Valor]]),"VALOR","OK")),IF(tbl_esforcos[[#This Row],[Tração]]&lt;&gt;"",IF(SIGN(tbl_esforcos[[#This Row],[Tração]])&lt;&gt;SIGN(tbl_esforcos[[#This Row],[Valor]]),"SINAL",IF(ABS(tbl_esforcos[[#This Row],[Tração]])&gt;ABS(tbl_esforcos[[#This Row],[Valor]]),"VALOR","OK")),IF(tbl_esforcos[[#This Row],[M. Fletor]]&lt;&gt;"",IF(SIGN(tbl_esforcos[[#This Row],[M. Fletor]])&lt;&gt;SIGN(tbl_esforcos[[#This Row],[Valor]]),"SINAL",IF(ABS(tbl_esforcos[[#This Row],[M. Fletor]])&gt;ABS(tbl_esforcos[[#This Row],[Valor]]),"VALOR","OK")),"---")))</f>
        <v>#VALUE!</v>
      </c>
    </row>
    <row r="24" spans="2:10" ht="15" customHeight="1" x14ac:dyDescent="0.25">
      <c r="B24" s="708"/>
      <c r="C24" s="708"/>
      <c r="D24" s="498" t="s">
        <v>1120</v>
      </c>
      <c r="E24" s="183"/>
      <c r="F24" s="38" t="e">
        <f t="shared" si="0"/>
        <v>#VALUE!</v>
      </c>
      <c r="G24" s="25"/>
      <c r="H24" s="31">
        <f>$C$4</f>
        <v>0</v>
      </c>
      <c r="I24" s="218"/>
      <c r="J24" s="225" t="e">
        <f>IF(tbl_esforcos[[#This Row],[Cortante]]&lt;&gt;"",IF(SIGN(tbl_esforcos[[#This Row],[Cortante]])&lt;&gt;SIGN(tbl_esforcos[[#This Row],[Valor]]),"SINAL",IF(ABS(tbl_esforcos[[#This Row],[Cortante]])&gt;ABS(tbl_esforcos[[#This Row],[Valor]]),"VALOR","OK")),IF(tbl_esforcos[[#This Row],[Tração]]&lt;&gt;"",IF(SIGN(tbl_esforcos[[#This Row],[Tração]])&lt;&gt;SIGN(tbl_esforcos[[#This Row],[Valor]]),"SINAL",IF(ABS(tbl_esforcos[[#This Row],[Tração]])&gt;ABS(tbl_esforcos[[#This Row],[Valor]]),"VALOR","OK")),IF(tbl_esforcos[[#This Row],[M. Fletor]]&lt;&gt;"",IF(SIGN(tbl_esforcos[[#This Row],[M. Fletor]])&lt;&gt;SIGN(tbl_esforcos[[#This Row],[Valor]]),"SINAL",IF(ABS(tbl_esforcos[[#This Row],[M. Fletor]])&gt;ABS(tbl_esforcos[[#This Row],[Valor]]),"VALOR","OK")),"---")))</f>
        <v>#VALUE!</v>
      </c>
    </row>
    <row r="25" spans="2:10" ht="15" customHeight="1" thickBot="1" x14ac:dyDescent="0.3">
      <c r="B25" s="708"/>
      <c r="C25" s="712"/>
      <c r="D25" s="498" t="s">
        <v>1121</v>
      </c>
      <c r="E25" s="183"/>
      <c r="F25" s="41" t="e">
        <f t="shared" si="0"/>
        <v>#VALUE!</v>
      </c>
      <c r="G25" s="28"/>
      <c r="H25" s="34"/>
      <c r="I25" s="221">
        <f>$C$5</f>
        <v>0</v>
      </c>
      <c r="J25" s="226" t="e">
        <f>IF(tbl_esforcos[[#This Row],[Cortante]]&lt;&gt;"",IF(SIGN(tbl_esforcos[[#This Row],[Cortante]])&lt;&gt;SIGN(tbl_esforcos[[#This Row],[Valor]]),"SINAL",IF(ABS(tbl_esforcos[[#This Row],[Cortante]])&gt;ABS(tbl_esforcos[[#This Row],[Valor]]),"VALOR","OK")),IF(tbl_esforcos[[#This Row],[Tração]]&lt;&gt;"",IF(SIGN(tbl_esforcos[[#This Row],[Tração]])&lt;&gt;SIGN(tbl_esforcos[[#This Row],[Valor]]),"SINAL",IF(ABS(tbl_esforcos[[#This Row],[Tração]])&gt;ABS(tbl_esforcos[[#This Row],[Valor]]),"VALOR","OK")),IF(tbl_esforcos[[#This Row],[M. Fletor]]&lt;&gt;"",IF(SIGN(tbl_esforcos[[#This Row],[M. Fletor]])&lt;&gt;SIGN(tbl_esforcos[[#This Row],[Valor]]),"SINAL",IF(ABS(tbl_esforcos[[#This Row],[M. Fletor]])&gt;ABS(tbl_esforcos[[#This Row],[Valor]]),"VALOR","OK")),"---")))</f>
        <v>#VALUE!</v>
      </c>
    </row>
    <row r="26" spans="2:10" ht="15" customHeight="1" x14ac:dyDescent="0.25">
      <c r="B26" s="708"/>
      <c r="C26" s="710" t="s">
        <v>1129</v>
      </c>
      <c r="D26" s="526" t="s">
        <v>1118</v>
      </c>
      <c r="E26" s="527"/>
      <c r="F26" s="528" t="e">
        <f>VALUE(LEFT(E26,SEARCH(" ",E26)-1))</f>
        <v>#VALUE!</v>
      </c>
      <c r="G26" s="529"/>
      <c r="H26" s="530"/>
      <c r="I26" s="530"/>
      <c r="J26" s="531" t="str">
        <f>IF(tbl_esforcos[[#This Row],[Cortante]]&lt;&gt;"",IF(SIGN(tbl_esforcos[[#This Row],[Cortante]])&lt;&gt;SIGN(tbl_esforcos[[#This Row],[Valor]]),"SINAL",IF(ABS(tbl_esforcos[[#This Row],[Cortante]])&gt;ABS(tbl_esforcos[[#This Row],[Valor]]),"VALOR","OK")),IF(tbl_esforcos[[#This Row],[Tração]]&lt;&gt;"",IF(SIGN(tbl_esforcos[[#This Row],[Tração]])&lt;&gt;SIGN(tbl_esforcos[[#This Row],[Valor]]),"SINAL",IF(ABS(tbl_esforcos[[#This Row],[Tração]])&gt;ABS(tbl_esforcos[[#This Row],[Valor]]),"VALOR","OK")),IF(tbl_esforcos[[#This Row],[M. Fletor]]&lt;&gt;"",IF(SIGN(tbl_esforcos[[#This Row],[M. Fletor]])&lt;&gt;SIGN(tbl_esforcos[[#This Row],[Valor]]),"SINAL",IF(ABS(tbl_esforcos[[#This Row],[M. Fletor]])&gt;ABS(tbl_esforcos[[#This Row],[Valor]]),"VALOR","OK")),"---")))</f>
        <v>---</v>
      </c>
    </row>
    <row r="27" spans="2:10" ht="15" customHeight="1" x14ac:dyDescent="0.25">
      <c r="B27" s="708"/>
      <c r="C27" s="710"/>
      <c r="D27" s="532" t="s">
        <v>1120</v>
      </c>
      <c r="E27" s="533"/>
      <c r="F27" s="528" t="e">
        <f>VALUE(LEFT(E27,SEARCH(" ",E27)-1))</f>
        <v>#VALUE!</v>
      </c>
      <c r="G27" s="529"/>
      <c r="H27" s="530"/>
      <c r="I27" s="530"/>
      <c r="J27" s="531" t="str">
        <f>IF(tbl_esforcos[[#This Row],[Cortante]]&lt;&gt;"",IF(SIGN(tbl_esforcos[[#This Row],[Cortante]])&lt;&gt;SIGN(tbl_esforcos[[#This Row],[Valor]]),"SINAL",IF(ABS(tbl_esforcos[[#This Row],[Cortante]])&gt;ABS(tbl_esforcos[[#This Row],[Valor]]),"VALOR","OK")),IF(tbl_esforcos[[#This Row],[Tração]]&lt;&gt;"",IF(SIGN(tbl_esforcos[[#This Row],[Tração]])&lt;&gt;SIGN(tbl_esforcos[[#This Row],[Valor]]),"SINAL",IF(ABS(tbl_esforcos[[#This Row],[Tração]])&gt;ABS(tbl_esforcos[[#This Row],[Valor]]),"VALOR","OK")),IF(tbl_esforcos[[#This Row],[M. Fletor]]&lt;&gt;"",IF(SIGN(tbl_esforcos[[#This Row],[M. Fletor]])&lt;&gt;SIGN(tbl_esforcos[[#This Row],[Valor]]),"SINAL",IF(ABS(tbl_esforcos[[#This Row],[M. Fletor]])&gt;ABS(tbl_esforcos[[#This Row],[Valor]]),"VALOR","OK")),"---")))</f>
        <v>---</v>
      </c>
    </row>
    <row r="28" spans="2:10" ht="15" customHeight="1" thickBot="1" x14ac:dyDescent="0.3">
      <c r="B28" s="709"/>
      <c r="C28" s="711"/>
      <c r="D28" s="534" t="s">
        <v>1121</v>
      </c>
      <c r="E28" s="535"/>
      <c r="F28" s="528" t="e">
        <f>VALUE(LEFT(E28,SEARCH(" ",E28)-1))</f>
        <v>#VALUE!</v>
      </c>
      <c r="G28" s="529"/>
      <c r="H28" s="530"/>
      <c r="I28" s="530"/>
      <c r="J28" s="531" t="str">
        <f>IF(tbl_esforcos[[#This Row],[Cortante]]&lt;&gt;"",IF(SIGN(tbl_esforcos[[#This Row],[Cortante]])&lt;&gt;SIGN(tbl_esforcos[[#This Row],[Valor]]),"SINAL",IF(ABS(tbl_esforcos[[#This Row],[Cortante]])&gt;ABS(tbl_esforcos[[#This Row],[Valor]]),"VALOR","OK")),IF(tbl_esforcos[[#This Row],[Tração]]&lt;&gt;"",IF(SIGN(tbl_esforcos[[#This Row],[Tração]])&lt;&gt;SIGN(tbl_esforcos[[#This Row],[Valor]]),"SINAL",IF(ABS(tbl_esforcos[[#This Row],[Tração]])&gt;ABS(tbl_esforcos[[#This Row],[Valor]]),"VALOR","OK")),IF(tbl_esforcos[[#This Row],[M. Fletor]]&lt;&gt;"",IF(SIGN(tbl_esforcos[[#This Row],[M. Fletor]])&lt;&gt;SIGN(tbl_esforcos[[#This Row],[Valor]]),"SINAL",IF(ABS(tbl_esforcos[[#This Row],[M. Fletor]])&gt;ABS(tbl_esforcos[[#This Row],[Valor]]),"VALOR","OK")),"---")))</f>
        <v>---</v>
      </c>
    </row>
    <row r="29" spans="2:10" ht="15" customHeight="1" x14ac:dyDescent="0.25">
      <c r="B29" s="707" t="s">
        <v>1130</v>
      </c>
      <c r="C29" s="707" t="s">
        <v>1128</v>
      </c>
      <c r="D29" s="495" t="s">
        <v>1118</v>
      </c>
      <c r="E29" s="182"/>
      <c r="F29" s="37" t="e">
        <f t="shared" si="0"/>
        <v>#VALUE!</v>
      </c>
      <c r="G29" s="24">
        <f>$C$3</f>
        <v>0</v>
      </c>
      <c r="H29" s="30"/>
      <c r="I29" s="217"/>
      <c r="J29" s="229" t="e">
        <f>IF(tbl_esforcos[[#This Row],[Cortante]]&lt;&gt;"",IF(SIGN(tbl_esforcos[[#This Row],[Cortante]])&lt;&gt;SIGN(tbl_esforcos[[#This Row],[Valor]]),"SINAL",IF(ABS(tbl_esforcos[[#This Row],[Cortante]])&gt;ABS(tbl_esforcos[[#This Row],[Valor]]),"VALOR","OK")),IF(tbl_esforcos[[#This Row],[Tração]]&lt;&gt;"",IF(SIGN(tbl_esforcos[[#This Row],[Tração]])&lt;&gt;SIGN(tbl_esforcos[[#This Row],[Valor]]),"SINAL",IF(ABS(tbl_esforcos[[#This Row],[Tração]])&gt;ABS(tbl_esforcos[[#This Row],[Valor]]),"VALOR","OK")),IF(tbl_esforcos[[#This Row],[M. Fletor]]&lt;&gt;"",IF(SIGN(tbl_esforcos[[#This Row],[M. Fletor]])&lt;&gt;SIGN(tbl_esforcos[[#This Row],[Valor]]),"SINAL",IF(ABS(tbl_esforcos[[#This Row],[M. Fletor]])&gt;ABS(tbl_esforcos[[#This Row],[Valor]]),"VALOR","OK")),"---")))</f>
        <v>#VALUE!</v>
      </c>
    </row>
    <row r="30" spans="2:10" ht="15" customHeight="1" x14ac:dyDescent="0.25">
      <c r="B30" s="708"/>
      <c r="C30" s="708"/>
      <c r="D30" s="498" t="s">
        <v>1120</v>
      </c>
      <c r="E30" s="183"/>
      <c r="F30" s="38" t="e">
        <f t="shared" si="0"/>
        <v>#VALUE!</v>
      </c>
      <c r="G30" s="25"/>
      <c r="H30" s="31">
        <f>$C$4</f>
        <v>0</v>
      </c>
      <c r="I30" s="218"/>
      <c r="J30" s="225" t="e">
        <f>IF(tbl_esforcos[[#This Row],[Cortante]]&lt;&gt;"",IF(SIGN(tbl_esforcos[[#This Row],[Cortante]])&lt;&gt;SIGN(tbl_esforcos[[#This Row],[Valor]]),"SINAL",IF(ABS(tbl_esforcos[[#This Row],[Cortante]])&gt;ABS(tbl_esforcos[[#This Row],[Valor]]),"VALOR","OK")),IF(tbl_esforcos[[#This Row],[Tração]]&lt;&gt;"",IF(SIGN(tbl_esforcos[[#This Row],[Tração]])&lt;&gt;SIGN(tbl_esforcos[[#This Row],[Valor]]),"SINAL",IF(ABS(tbl_esforcos[[#This Row],[Tração]])&gt;ABS(tbl_esforcos[[#This Row],[Valor]]),"VALOR","OK")),IF(tbl_esforcos[[#This Row],[M. Fletor]]&lt;&gt;"",IF(SIGN(tbl_esforcos[[#This Row],[M. Fletor]])&lt;&gt;SIGN(tbl_esforcos[[#This Row],[Valor]]),"SINAL",IF(ABS(tbl_esforcos[[#This Row],[M. Fletor]])&gt;ABS(tbl_esforcos[[#This Row],[Valor]]),"VALOR","OK")),"---")))</f>
        <v>#VALUE!</v>
      </c>
    </row>
    <row r="31" spans="2:10" ht="15" customHeight="1" x14ac:dyDescent="0.25">
      <c r="B31" s="708"/>
      <c r="C31" s="712"/>
      <c r="D31" s="498" t="s">
        <v>1121</v>
      </c>
      <c r="E31" s="183"/>
      <c r="F31" s="38" t="e">
        <f t="shared" si="0"/>
        <v>#VALUE!</v>
      </c>
      <c r="G31" s="25"/>
      <c r="H31" s="31"/>
      <c r="I31" s="218">
        <f>$C$5</f>
        <v>0</v>
      </c>
      <c r="J31" s="225" t="e">
        <f>IF(tbl_esforcos[[#This Row],[Cortante]]&lt;&gt;"",IF(SIGN(tbl_esforcos[[#This Row],[Cortante]])&lt;&gt;SIGN(tbl_esforcos[[#This Row],[Valor]]),"SINAL",IF(ABS(tbl_esforcos[[#This Row],[Cortante]])&gt;ABS(tbl_esforcos[[#This Row],[Valor]]),"VALOR","OK")),IF(tbl_esforcos[[#This Row],[Tração]]&lt;&gt;"",IF(SIGN(tbl_esforcos[[#This Row],[Tração]])&lt;&gt;SIGN(tbl_esforcos[[#This Row],[Valor]]),"SINAL",IF(ABS(tbl_esforcos[[#This Row],[Tração]])&gt;ABS(tbl_esforcos[[#This Row],[Valor]]),"VALOR","OK")),IF(tbl_esforcos[[#This Row],[M. Fletor]]&lt;&gt;"",IF(SIGN(tbl_esforcos[[#This Row],[M. Fletor]])&lt;&gt;SIGN(tbl_esforcos[[#This Row],[Valor]]),"SINAL",IF(ABS(tbl_esforcos[[#This Row],[M. Fletor]])&gt;ABS(tbl_esforcos[[#This Row],[Valor]]),"VALOR","OK")),"---")))</f>
        <v>#VALUE!</v>
      </c>
    </row>
    <row r="32" spans="2:10" ht="15" customHeight="1" x14ac:dyDescent="0.25">
      <c r="B32" s="708"/>
      <c r="C32" s="710" t="s">
        <v>1129</v>
      </c>
      <c r="D32" s="526" t="s">
        <v>1118</v>
      </c>
      <c r="E32" s="527"/>
      <c r="F32" s="537" t="e">
        <f>VALUE(LEFT(E32,SEARCH(" ",E32)-1))</f>
        <v>#VALUE!</v>
      </c>
      <c r="G32" s="538"/>
      <c r="H32" s="539"/>
      <c r="I32" s="539"/>
      <c r="J32" s="540" t="str">
        <f>IF(tbl_esforcos[[#This Row],[Cortante]]&lt;&gt;"",IF(SIGN(tbl_esforcos[[#This Row],[Cortante]])&lt;&gt;SIGN(tbl_esforcos[[#This Row],[Valor]]),"SINAL",IF(ABS(tbl_esforcos[[#This Row],[Cortante]])&gt;ABS(tbl_esforcos[[#This Row],[Valor]]),"VALOR","OK")),IF(tbl_esforcos[[#This Row],[Tração]]&lt;&gt;"",IF(SIGN(tbl_esforcos[[#This Row],[Tração]])&lt;&gt;SIGN(tbl_esforcos[[#This Row],[Valor]]),"SINAL",IF(ABS(tbl_esforcos[[#This Row],[Tração]])&gt;ABS(tbl_esforcos[[#This Row],[Valor]]),"VALOR","OK")),IF(tbl_esforcos[[#This Row],[M. Fletor]]&lt;&gt;"",IF(SIGN(tbl_esforcos[[#This Row],[M. Fletor]])&lt;&gt;SIGN(tbl_esforcos[[#This Row],[Valor]]),"SINAL",IF(ABS(tbl_esforcos[[#This Row],[M. Fletor]])&gt;ABS(tbl_esforcos[[#This Row],[Valor]]),"VALOR","OK")),"---")))</f>
        <v>---</v>
      </c>
    </row>
    <row r="33" spans="2:10" ht="15" customHeight="1" x14ac:dyDescent="0.25">
      <c r="B33" s="708"/>
      <c r="C33" s="710"/>
      <c r="D33" s="532" t="s">
        <v>1120</v>
      </c>
      <c r="E33" s="533"/>
      <c r="F33" s="528" t="e">
        <f>VALUE(LEFT(E33,SEARCH(" ",E33)-1))</f>
        <v>#VALUE!</v>
      </c>
      <c r="G33" s="529"/>
      <c r="H33" s="530"/>
      <c r="I33" s="530"/>
      <c r="J33" s="531" t="str">
        <f>IF(tbl_esforcos[[#This Row],[Cortante]]&lt;&gt;"",IF(SIGN(tbl_esforcos[[#This Row],[Cortante]])&lt;&gt;SIGN(tbl_esforcos[[#This Row],[Valor]]),"SINAL",IF(ABS(tbl_esforcos[[#This Row],[Cortante]])&gt;ABS(tbl_esforcos[[#This Row],[Valor]]),"VALOR","OK")),IF(tbl_esforcos[[#This Row],[Tração]]&lt;&gt;"",IF(SIGN(tbl_esforcos[[#This Row],[Tração]])&lt;&gt;SIGN(tbl_esforcos[[#This Row],[Valor]]),"SINAL",IF(ABS(tbl_esforcos[[#This Row],[Tração]])&gt;ABS(tbl_esforcos[[#This Row],[Valor]]),"VALOR","OK")),IF(tbl_esforcos[[#This Row],[M. Fletor]]&lt;&gt;"",IF(SIGN(tbl_esforcos[[#This Row],[M. Fletor]])&lt;&gt;SIGN(tbl_esforcos[[#This Row],[Valor]]),"SINAL",IF(ABS(tbl_esforcos[[#This Row],[M. Fletor]])&gt;ABS(tbl_esforcos[[#This Row],[Valor]]),"VALOR","OK")),"---")))</f>
        <v>---</v>
      </c>
    </row>
    <row r="34" spans="2:10" ht="15" customHeight="1" thickBot="1" x14ac:dyDescent="0.3">
      <c r="B34" s="709"/>
      <c r="C34" s="711"/>
      <c r="D34" s="534" t="s">
        <v>1121</v>
      </c>
      <c r="E34" s="535"/>
      <c r="F34" s="541" t="e">
        <f>VALUE(LEFT(E34,SEARCH(" ",E34)-1))</f>
        <v>#VALUE!</v>
      </c>
      <c r="G34" s="542"/>
      <c r="H34" s="543"/>
      <c r="I34" s="543"/>
      <c r="J34" s="544" t="str">
        <f>IF(tbl_esforcos[[#This Row],[Cortante]]&lt;&gt;"",IF(SIGN(tbl_esforcos[[#This Row],[Cortante]])&lt;&gt;SIGN(tbl_esforcos[[#This Row],[Valor]]),"SINAL",IF(ABS(tbl_esforcos[[#This Row],[Cortante]])&gt;ABS(tbl_esforcos[[#This Row],[Valor]]),"VALOR","OK")),IF(tbl_esforcos[[#This Row],[Tração]]&lt;&gt;"",IF(SIGN(tbl_esforcos[[#This Row],[Tração]])&lt;&gt;SIGN(tbl_esforcos[[#This Row],[Valor]]),"SINAL",IF(ABS(tbl_esforcos[[#This Row],[Tração]])&gt;ABS(tbl_esforcos[[#This Row],[Valor]]),"VALOR","OK")),IF(tbl_esforcos[[#This Row],[M. Fletor]]&lt;&gt;"",IF(SIGN(tbl_esforcos[[#This Row],[M. Fletor]])&lt;&gt;SIGN(tbl_esforcos[[#This Row],[Valor]]),"SINAL",IF(ABS(tbl_esforcos[[#This Row],[M. Fletor]])&gt;ABS(tbl_esforcos[[#This Row],[Valor]]),"VALOR","OK")),"---")))</f>
        <v>---</v>
      </c>
    </row>
    <row r="35" spans="2:10" ht="15" customHeight="1" x14ac:dyDescent="0.25">
      <c r="B35" s="708" t="s">
        <v>1131</v>
      </c>
      <c r="C35" s="707" t="s">
        <v>1128</v>
      </c>
      <c r="D35" s="495" t="s">
        <v>1118</v>
      </c>
      <c r="E35" s="182"/>
      <c r="F35" s="37" t="e">
        <f t="shared" si="0"/>
        <v>#VALUE!</v>
      </c>
      <c r="G35" s="24">
        <f>$C$3</f>
        <v>0</v>
      </c>
      <c r="H35" s="30"/>
      <c r="I35" s="217"/>
      <c r="J35" s="229" t="e">
        <f>IF(tbl_esforcos[[#This Row],[Cortante]]&lt;&gt;"",IF(SIGN(tbl_esforcos[[#This Row],[Cortante]])&lt;&gt;SIGN(tbl_esforcos[[#This Row],[Valor]]),"SINAL",IF(ABS(tbl_esforcos[[#This Row],[Cortante]])&gt;ABS(tbl_esforcos[[#This Row],[Valor]]),"VALOR","OK")),IF(tbl_esforcos[[#This Row],[Tração]]&lt;&gt;"",IF(SIGN(tbl_esforcos[[#This Row],[Tração]])&lt;&gt;SIGN(tbl_esforcos[[#This Row],[Valor]]),"SINAL",IF(ABS(tbl_esforcos[[#This Row],[Tração]])&gt;ABS(tbl_esforcos[[#This Row],[Valor]]),"VALOR","OK")),IF(tbl_esforcos[[#This Row],[M. Fletor]]&lt;&gt;"",IF(SIGN(tbl_esforcos[[#This Row],[M. Fletor]])&lt;&gt;SIGN(tbl_esforcos[[#This Row],[Valor]]),"SINAL",IF(ABS(tbl_esforcos[[#This Row],[M. Fletor]])&gt;ABS(tbl_esforcos[[#This Row],[Valor]]),"VALOR","OK")),"---")))</f>
        <v>#VALUE!</v>
      </c>
    </row>
    <row r="36" spans="2:10" ht="15" customHeight="1" x14ac:dyDescent="0.25">
      <c r="B36" s="708"/>
      <c r="C36" s="708"/>
      <c r="D36" s="498" t="s">
        <v>1120</v>
      </c>
      <c r="E36" s="183"/>
      <c r="F36" s="38" t="e">
        <f t="shared" si="0"/>
        <v>#VALUE!</v>
      </c>
      <c r="G36" s="25"/>
      <c r="H36" s="31">
        <f>$C$4</f>
        <v>0</v>
      </c>
      <c r="I36" s="218"/>
      <c r="J36" s="225" t="e">
        <f>IF(tbl_esforcos[[#This Row],[Cortante]]&lt;&gt;"",IF(SIGN(tbl_esforcos[[#This Row],[Cortante]])&lt;&gt;SIGN(tbl_esforcos[[#This Row],[Valor]]),"SINAL",IF(ABS(tbl_esforcos[[#This Row],[Cortante]])&gt;ABS(tbl_esforcos[[#This Row],[Valor]]),"VALOR","OK")),IF(tbl_esforcos[[#This Row],[Tração]]&lt;&gt;"",IF(SIGN(tbl_esforcos[[#This Row],[Tração]])&lt;&gt;SIGN(tbl_esforcos[[#This Row],[Valor]]),"SINAL",IF(ABS(tbl_esforcos[[#This Row],[Tração]])&gt;ABS(tbl_esforcos[[#This Row],[Valor]]),"VALOR","OK")),IF(tbl_esforcos[[#This Row],[M. Fletor]]&lt;&gt;"",IF(SIGN(tbl_esforcos[[#This Row],[M. Fletor]])&lt;&gt;SIGN(tbl_esforcos[[#This Row],[Valor]]),"SINAL",IF(ABS(tbl_esforcos[[#This Row],[M. Fletor]])&gt;ABS(tbl_esforcos[[#This Row],[Valor]]),"VALOR","OK")),"---")))</f>
        <v>#VALUE!</v>
      </c>
    </row>
    <row r="37" spans="2:10" ht="15" customHeight="1" x14ac:dyDescent="0.25">
      <c r="B37" s="708"/>
      <c r="C37" s="712"/>
      <c r="D37" s="498" t="s">
        <v>1121</v>
      </c>
      <c r="E37" s="536"/>
      <c r="F37" s="38" t="e">
        <f t="shared" si="0"/>
        <v>#VALUE!</v>
      </c>
      <c r="G37" s="25"/>
      <c r="H37" s="31"/>
      <c r="I37" s="218">
        <f>$C$5</f>
        <v>0</v>
      </c>
      <c r="J37" s="225" t="e">
        <f>IF(tbl_esforcos[[#This Row],[Cortante]]&lt;&gt;"",IF(SIGN(tbl_esforcos[[#This Row],[Cortante]])&lt;&gt;SIGN(tbl_esforcos[[#This Row],[Valor]]),"SINAL",IF(ABS(tbl_esforcos[[#This Row],[Cortante]])&gt;ABS(tbl_esforcos[[#This Row],[Valor]]),"VALOR","OK")),IF(tbl_esforcos[[#This Row],[Tração]]&lt;&gt;"",IF(SIGN(tbl_esforcos[[#This Row],[Tração]])&lt;&gt;SIGN(tbl_esforcos[[#This Row],[Valor]]),"SINAL",IF(ABS(tbl_esforcos[[#This Row],[Tração]])&gt;ABS(tbl_esforcos[[#This Row],[Valor]]),"VALOR","OK")),IF(tbl_esforcos[[#This Row],[M. Fletor]]&lt;&gt;"",IF(SIGN(tbl_esforcos[[#This Row],[M. Fletor]])&lt;&gt;SIGN(tbl_esforcos[[#This Row],[Valor]]),"SINAL",IF(ABS(tbl_esforcos[[#This Row],[M. Fletor]])&gt;ABS(tbl_esforcos[[#This Row],[Valor]]),"VALOR","OK")),"---")))</f>
        <v>#VALUE!</v>
      </c>
    </row>
    <row r="38" spans="2:10" ht="15" customHeight="1" x14ac:dyDescent="0.25">
      <c r="B38" s="708"/>
      <c r="C38" s="710" t="s">
        <v>1129</v>
      </c>
      <c r="D38" s="526" t="s">
        <v>1118</v>
      </c>
      <c r="E38" s="527"/>
      <c r="F38" s="537" t="e">
        <f>VALUE(LEFT(E38,SEARCH(" ",E38)-1))</f>
        <v>#VALUE!</v>
      </c>
      <c r="G38" s="538"/>
      <c r="H38" s="539"/>
      <c r="I38" s="539"/>
      <c r="J38" s="540" t="str">
        <f>IF(tbl_esforcos[[#This Row],[Cortante]]&lt;&gt;"",IF(SIGN(tbl_esforcos[[#This Row],[Cortante]])&lt;&gt;SIGN(tbl_esforcos[[#This Row],[Valor]]),"SINAL",IF(ABS(tbl_esforcos[[#This Row],[Cortante]])&gt;ABS(tbl_esforcos[[#This Row],[Valor]]),"VALOR","OK")),IF(tbl_esforcos[[#This Row],[Tração]]&lt;&gt;"",IF(SIGN(tbl_esforcos[[#This Row],[Tração]])&lt;&gt;SIGN(tbl_esforcos[[#This Row],[Valor]]),"SINAL",IF(ABS(tbl_esforcos[[#This Row],[Tração]])&gt;ABS(tbl_esforcos[[#This Row],[Valor]]),"VALOR","OK")),IF(tbl_esforcos[[#This Row],[M. Fletor]]&lt;&gt;"",IF(SIGN(tbl_esforcos[[#This Row],[M. Fletor]])&lt;&gt;SIGN(tbl_esforcos[[#This Row],[Valor]]),"SINAL",IF(ABS(tbl_esforcos[[#This Row],[M. Fletor]])&gt;ABS(tbl_esforcos[[#This Row],[Valor]]),"VALOR","OK")),"---")))</f>
        <v>---</v>
      </c>
    </row>
    <row r="39" spans="2:10" ht="15" customHeight="1" x14ac:dyDescent="0.25">
      <c r="B39" s="708"/>
      <c r="C39" s="710"/>
      <c r="D39" s="532" t="s">
        <v>1120</v>
      </c>
      <c r="E39" s="533"/>
      <c r="F39" s="528" t="e">
        <f>VALUE(LEFT(E39,SEARCH(" ",E39)-1))</f>
        <v>#VALUE!</v>
      </c>
      <c r="G39" s="529"/>
      <c r="H39" s="530"/>
      <c r="I39" s="530"/>
      <c r="J39" s="531" t="str">
        <f>IF(tbl_esforcos[[#This Row],[Cortante]]&lt;&gt;"",IF(SIGN(tbl_esforcos[[#This Row],[Cortante]])&lt;&gt;SIGN(tbl_esforcos[[#This Row],[Valor]]),"SINAL",IF(ABS(tbl_esforcos[[#This Row],[Cortante]])&gt;ABS(tbl_esforcos[[#This Row],[Valor]]),"VALOR","OK")),IF(tbl_esforcos[[#This Row],[Tração]]&lt;&gt;"",IF(SIGN(tbl_esforcos[[#This Row],[Tração]])&lt;&gt;SIGN(tbl_esforcos[[#This Row],[Valor]]),"SINAL",IF(ABS(tbl_esforcos[[#This Row],[Tração]])&gt;ABS(tbl_esforcos[[#This Row],[Valor]]),"VALOR","OK")),IF(tbl_esforcos[[#This Row],[M. Fletor]]&lt;&gt;"",IF(SIGN(tbl_esforcos[[#This Row],[M. Fletor]])&lt;&gt;SIGN(tbl_esforcos[[#This Row],[Valor]]),"SINAL",IF(ABS(tbl_esforcos[[#This Row],[M. Fletor]])&gt;ABS(tbl_esforcos[[#This Row],[Valor]]),"VALOR","OK")),"---")))</f>
        <v>---</v>
      </c>
    </row>
    <row r="40" spans="2:10" ht="15" customHeight="1" thickBot="1" x14ac:dyDescent="0.3">
      <c r="B40" s="709"/>
      <c r="C40" s="711"/>
      <c r="D40" s="534" t="s">
        <v>1121</v>
      </c>
      <c r="E40" s="535"/>
      <c r="F40" s="541" t="e">
        <f>VALUE(LEFT(E40,SEARCH(" ",E40)-1))</f>
        <v>#VALUE!</v>
      </c>
      <c r="G40" s="542"/>
      <c r="H40" s="543"/>
      <c r="I40" s="543"/>
      <c r="J40" s="544" t="str">
        <f>IF(tbl_esforcos[[#This Row],[Cortante]]&lt;&gt;"",IF(SIGN(tbl_esforcos[[#This Row],[Cortante]])&lt;&gt;SIGN(tbl_esforcos[[#This Row],[Valor]]),"SINAL",IF(ABS(tbl_esforcos[[#This Row],[Cortante]])&gt;ABS(tbl_esforcos[[#This Row],[Valor]]),"VALOR","OK")),IF(tbl_esforcos[[#This Row],[Tração]]&lt;&gt;"",IF(SIGN(tbl_esforcos[[#This Row],[Tração]])&lt;&gt;SIGN(tbl_esforcos[[#This Row],[Valor]]),"SINAL",IF(ABS(tbl_esforcos[[#This Row],[Tração]])&gt;ABS(tbl_esforcos[[#This Row],[Valor]]),"VALOR","OK")),IF(tbl_esforcos[[#This Row],[M. Fletor]]&lt;&gt;"",IF(SIGN(tbl_esforcos[[#This Row],[M. Fletor]])&lt;&gt;SIGN(tbl_esforcos[[#This Row],[Valor]]),"SINAL",IF(ABS(tbl_esforcos[[#This Row],[M. Fletor]])&gt;ABS(tbl_esforcos[[#This Row],[Valor]]),"VALOR","OK")),"---")))</f>
        <v>---</v>
      </c>
    </row>
    <row r="41" spans="2:10" ht="15" customHeight="1" x14ac:dyDescent="0.25">
      <c r="B41" s="707" t="s">
        <v>1132</v>
      </c>
      <c r="C41" s="707" t="s">
        <v>1128</v>
      </c>
      <c r="D41" s="495" t="s">
        <v>1118</v>
      </c>
      <c r="E41" s="182"/>
      <c r="F41" s="37" t="e">
        <f t="shared" si="0"/>
        <v>#VALUE!</v>
      </c>
      <c r="G41" s="24">
        <f>$C$3</f>
        <v>0</v>
      </c>
      <c r="H41" s="30"/>
      <c r="I41" s="217"/>
      <c r="J41" s="229" t="e">
        <f>IF(tbl_esforcos[[#This Row],[Cortante]]&lt;&gt;"",IF(SIGN(tbl_esforcos[[#This Row],[Cortante]])&lt;&gt;SIGN(tbl_esforcos[[#This Row],[Valor]]),"SINAL",IF(ABS(tbl_esforcos[[#This Row],[Cortante]])&gt;ABS(tbl_esforcos[[#This Row],[Valor]]),"VALOR","OK")),IF(tbl_esforcos[[#This Row],[Tração]]&lt;&gt;"",IF(SIGN(tbl_esforcos[[#This Row],[Tração]])&lt;&gt;SIGN(tbl_esforcos[[#This Row],[Valor]]),"SINAL",IF(ABS(tbl_esforcos[[#This Row],[Tração]])&gt;ABS(tbl_esforcos[[#This Row],[Valor]]),"VALOR","OK")),IF(tbl_esforcos[[#This Row],[M. Fletor]]&lt;&gt;"",IF(SIGN(tbl_esforcos[[#This Row],[M. Fletor]])&lt;&gt;SIGN(tbl_esforcos[[#This Row],[Valor]]),"SINAL",IF(ABS(tbl_esforcos[[#This Row],[M. Fletor]])&gt;ABS(tbl_esforcos[[#This Row],[Valor]]),"VALOR","OK")),"---")))</f>
        <v>#VALUE!</v>
      </c>
    </row>
    <row r="42" spans="2:10" ht="15" customHeight="1" x14ac:dyDescent="0.25">
      <c r="B42" s="708"/>
      <c r="C42" s="708"/>
      <c r="D42" s="498" t="s">
        <v>1120</v>
      </c>
      <c r="E42" s="183"/>
      <c r="F42" s="38" t="e">
        <f t="shared" si="0"/>
        <v>#VALUE!</v>
      </c>
      <c r="G42" s="25"/>
      <c r="H42" s="31">
        <f>$C$4</f>
        <v>0</v>
      </c>
      <c r="I42" s="218"/>
      <c r="J42" s="225" t="e">
        <f>IF(tbl_esforcos[[#This Row],[Cortante]]&lt;&gt;"",IF(SIGN(tbl_esforcos[[#This Row],[Cortante]])&lt;&gt;SIGN(tbl_esforcos[[#This Row],[Valor]]),"SINAL",IF(ABS(tbl_esforcos[[#This Row],[Cortante]])&gt;ABS(tbl_esforcos[[#This Row],[Valor]]),"VALOR","OK")),IF(tbl_esforcos[[#This Row],[Tração]]&lt;&gt;"",IF(SIGN(tbl_esforcos[[#This Row],[Tração]])&lt;&gt;SIGN(tbl_esforcos[[#This Row],[Valor]]),"SINAL",IF(ABS(tbl_esforcos[[#This Row],[Tração]])&gt;ABS(tbl_esforcos[[#This Row],[Valor]]),"VALOR","OK")),IF(tbl_esforcos[[#This Row],[M. Fletor]]&lt;&gt;"",IF(SIGN(tbl_esforcos[[#This Row],[M. Fletor]])&lt;&gt;SIGN(tbl_esforcos[[#This Row],[Valor]]),"SINAL",IF(ABS(tbl_esforcos[[#This Row],[M. Fletor]])&gt;ABS(tbl_esforcos[[#This Row],[Valor]]),"VALOR","OK")),"---")))</f>
        <v>#VALUE!</v>
      </c>
    </row>
    <row r="43" spans="2:10" ht="15" customHeight="1" x14ac:dyDescent="0.25">
      <c r="B43" s="708"/>
      <c r="C43" s="712"/>
      <c r="D43" s="498" t="s">
        <v>1121</v>
      </c>
      <c r="E43" s="536"/>
      <c r="F43" s="38" t="e">
        <f t="shared" si="0"/>
        <v>#VALUE!</v>
      </c>
      <c r="G43" s="25"/>
      <c r="H43" s="31"/>
      <c r="I43" s="218">
        <f>$C$5</f>
        <v>0</v>
      </c>
      <c r="J43" s="225" t="e">
        <f>IF(tbl_esforcos[[#This Row],[Cortante]]&lt;&gt;"",IF(SIGN(tbl_esforcos[[#This Row],[Cortante]])&lt;&gt;SIGN(tbl_esforcos[[#This Row],[Valor]]),"SINAL",IF(ABS(tbl_esforcos[[#This Row],[Cortante]])&gt;ABS(tbl_esforcos[[#This Row],[Valor]]),"VALOR","OK")),IF(tbl_esforcos[[#This Row],[Tração]]&lt;&gt;"",IF(SIGN(tbl_esforcos[[#This Row],[Tração]])&lt;&gt;SIGN(tbl_esforcos[[#This Row],[Valor]]),"SINAL",IF(ABS(tbl_esforcos[[#This Row],[Tração]])&gt;ABS(tbl_esforcos[[#This Row],[Valor]]),"VALOR","OK")),IF(tbl_esforcos[[#This Row],[M. Fletor]]&lt;&gt;"",IF(SIGN(tbl_esforcos[[#This Row],[M. Fletor]])&lt;&gt;SIGN(tbl_esforcos[[#This Row],[Valor]]),"SINAL",IF(ABS(tbl_esforcos[[#This Row],[M. Fletor]])&gt;ABS(tbl_esforcos[[#This Row],[Valor]]),"VALOR","OK")),"---")))</f>
        <v>#VALUE!</v>
      </c>
    </row>
    <row r="44" spans="2:10" ht="15" customHeight="1" x14ac:dyDescent="0.25">
      <c r="B44" s="708"/>
      <c r="C44" s="710" t="s">
        <v>1129</v>
      </c>
      <c r="D44" s="526" t="s">
        <v>1118</v>
      </c>
      <c r="E44" s="527"/>
      <c r="F44" s="537" t="e">
        <f>VALUE(LEFT(E44,SEARCH(" ",E44)-1))</f>
        <v>#VALUE!</v>
      </c>
      <c r="G44" s="538"/>
      <c r="H44" s="539"/>
      <c r="I44" s="539"/>
      <c r="J44" s="540" t="str">
        <f>IF(tbl_esforcos[[#This Row],[Cortante]]&lt;&gt;"",IF(SIGN(tbl_esforcos[[#This Row],[Cortante]])&lt;&gt;SIGN(tbl_esforcos[[#This Row],[Valor]]),"SINAL",IF(ABS(tbl_esforcos[[#This Row],[Cortante]])&gt;ABS(tbl_esforcos[[#This Row],[Valor]]),"VALOR","OK")),IF(tbl_esforcos[[#This Row],[Tração]]&lt;&gt;"",IF(SIGN(tbl_esforcos[[#This Row],[Tração]])&lt;&gt;SIGN(tbl_esforcos[[#This Row],[Valor]]),"SINAL",IF(ABS(tbl_esforcos[[#This Row],[Tração]])&gt;ABS(tbl_esforcos[[#This Row],[Valor]]),"VALOR","OK")),IF(tbl_esforcos[[#This Row],[M. Fletor]]&lt;&gt;"",IF(SIGN(tbl_esforcos[[#This Row],[M. Fletor]])&lt;&gt;SIGN(tbl_esforcos[[#This Row],[Valor]]),"SINAL",IF(ABS(tbl_esforcos[[#This Row],[M. Fletor]])&gt;ABS(tbl_esforcos[[#This Row],[Valor]]),"VALOR","OK")),"---")))</f>
        <v>---</v>
      </c>
    </row>
    <row r="45" spans="2:10" ht="15" customHeight="1" x14ac:dyDescent="0.25">
      <c r="B45" s="708"/>
      <c r="C45" s="710"/>
      <c r="D45" s="532" t="s">
        <v>1120</v>
      </c>
      <c r="E45" s="533"/>
      <c r="F45" s="528" t="e">
        <f>VALUE(LEFT(E45,SEARCH(" ",E45)-1))</f>
        <v>#VALUE!</v>
      </c>
      <c r="G45" s="529"/>
      <c r="H45" s="530"/>
      <c r="I45" s="530"/>
      <c r="J45" s="531" t="str">
        <f>IF(tbl_esforcos[[#This Row],[Cortante]]&lt;&gt;"",IF(SIGN(tbl_esforcos[[#This Row],[Cortante]])&lt;&gt;SIGN(tbl_esforcos[[#This Row],[Valor]]),"SINAL",IF(ABS(tbl_esforcos[[#This Row],[Cortante]])&gt;ABS(tbl_esforcos[[#This Row],[Valor]]),"VALOR","OK")),IF(tbl_esforcos[[#This Row],[Tração]]&lt;&gt;"",IF(SIGN(tbl_esforcos[[#This Row],[Tração]])&lt;&gt;SIGN(tbl_esforcos[[#This Row],[Valor]]),"SINAL",IF(ABS(tbl_esforcos[[#This Row],[Tração]])&gt;ABS(tbl_esforcos[[#This Row],[Valor]]),"VALOR","OK")),IF(tbl_esforcos[[#This Row],[M. Fletor]]&lt;&gt;"",IF(SIGN(tbl_esforcos[[#This Row],[M. Fletor]])&lt;&gt;SIGN(tbl_esforcos[[#This Row],[Valor]]),"SINAL",IF(ABS(tbl_esforcos[[#This Row],[M. Fletor]])&gt;ABS(tbl_esforcos[[#This Row],[Valor]]),"VALOR","OK")),"---")))</f>
        <v>---</v>
      </c>
    </row>
    <row r="46" spans="2:10" ht="15" customHeight="1" thickBot="1" x14ac:dyDescent="0.3">
      <c r="B46" s="709"/>
      <c r="C46" s="711"/>
      <c r="D46" s="534" t="s">
        <v>1121</v>
      </c>
      <c r="E46" s="535"/>
      <c r="F46" s="541" t="e">
        <f>VALUE(LEFT(E46,SEARCH(" ",E46)-1))</f>
        <v>#VALUE!</v>
      </c>
      <c r="G46" s="542"/>
      <c r="H46" s="543"/>
      <c r="I46" s="543"/>
      <c r="J46" s="544" t="str">
        <f>IF(tbl_esforcos[[#This Row],[Cortante]]&lt;&gt;"",IF(SIGN(tbl_esforcos[[#This Row],[Cortante]])&lt;&gt;SIGN(tbl_esforcos[[#This Row],[Valor]]),"SINAL",IF(ABS(tbl_esforcos[[#This Row],[Cortante]])&gt;ABS(tbl_esforcos[[#This Row],[Valor]]),"VALOR","OK")),IF(tbl_esforcos[[#This Row],[Tração]]&lt;&gt;"",IF(SIGN(tbl_esforcos[[#This Row],[Tração]])&lt;&gt;SIGN(tbl_esforcos[[#This Row],[Valor]]),"SINAL",IF(ABS(tbl_esforcos[[#This Row],[Tração]])&gt;ABS(tbl_esforcos[[#This Row],[Valor]]),"VALOR","OK")),IF(tbl_esforcos[[#This Row],[M. Fletor]]&lt;&gt;"",IF(SIGN(tbl_esforcos[[#This Row],[M. Fletor]])&lt;&gt;SIGN(tbl_esforcos[[#This Row],[Valor]]),"SINAL",IF(ABS(tbl_esforcos[[#This Row],[M. Fletor]])&gt;ABS(tbl_esforcos[[#This Row],[Valor]]),"VALOR","OK")),"---")))</f>
        <v>---</v>
      </c>
    </row>
    <row r="47" spans="2:10" ht="15" customHeight="1" x14ac:dyDescent="0.25">
      <c r="B47" s="707" t="s">
        <v>1133</v>
      </c>
      <c r="C47" s="707" t="s">
        <v>1128</v>
      </c>
      <c r="D47" s="495" t="s">
        <v>1118</v>
      </c>
      <c r="E47" s="184"/>
      <c r="F47" s="37" t="e">
        <f t="shared" si="0"/>
        <v>#VALUE!</v>
      </c>
      <c r="G47" s="24">
        <f>$C$3</f>
        <v>0</v>
      </c>
      <c r="H47" s="30"/>
      <c r="I47" s="217"/>
      <c r="J47" s="229" t="e">
        <f>IF(tbl_esforcos[[#This Row],[Cortante]]&lt;&gt;"",IF(SIGN(tbl_esforcos[[#This Row],[Cortante]])&lt;&gt;SIGN(tbl_esforcos[[#This Row],[Valor]]),"SINAL",IF(ABS(tbl_esforcos[[#This Row],[Cortante]])&gt;ABS(tbl_esforcos[[#This Row],[Valor]]),"VALOR","OK")),IF(tbl_esforcos[[#This Row],[Tração]]&lt;&gt;"",IF(SIGN(tbl_esforcos[[#This Row],[Tração]])&lt;&gt;SIGN(tbl_esforcos[[#This Row],[Valor]]),"SINAL",IF(ABS(tbl_esforcos[[#This Row],[Tração]])&gt;ABS(tbl_esforcos[[#This Row],[Valor]]),"VALOR","OK")),IF(tbl_esforcos[[#This Row],[M. Fletor]]&lt;&gt;"",IF(SIGN(tbl_esforcos[[#This Row],[M. Fletor]])&lt;&gt;SIGN(tbl_esforcos[[#This Row],[Valor]]),"SINAL",IF(ABS(tbl_esforcos[[#This Row],[M. Fletor]])&gt;ABS(tbl_esforcos[[#This Row],[Valor]]),"VALOR","OK")),"---")))</f>
        <v>#VALUE!</v>
      </c>
    </row>
    <row r="48" spans="2:10" ht="15" customHeight="1" x14ac:dyDescent="0.25">
      <c r="B48" s="708"/>
      <c r="C48" s="708"/>
      <c r="D48" s="498" t="s">
        <v>1120</v>
      </c>
      <c r="E48" s="183"/>
      <c r="F48" s="38" t="e">
        <f t="shared" si="0"/>
        <v>#VALUE!</v>
      </c>
      <c r="G48" s="25"/>
      <c r="H48" s="31">
        <f>$C$4</f>
        <v>0</v>
      </c>
      <c r="I48" s="218"/>
      <c r="J48" s="225" t="e">
        <f>IF(tbl_esforcos[[#This Row],[Cortante]]&lt;&gt;"",IF(SIGN(tbl_esforcos[[#This Row],[Cortante]])&lt;&gt;SIGN(tbl_esforcos[[#This Row],[Valor]]),"SINAL",IF(ABS(tbl_esforcos[[#This Row],[Cortante]])&gt;ABS(tbl_esforcos[[#This Row],[Valor]]),"VALOR","OK")),IF(tbl_esforcos[[#This Row],[Tração]]&lt;&gt;"",IF(SIGN(tbl_esforcos[[#This Row],[Tração]])&lt;&gt;SIGN(tbl_esforcos[[#This Row],[Valor]]),"SINAL",IF(ABS(tbl_esforcos[[#This Row],[Tração]])&gt;ABS(tbl_esforcos[[#This Row],[Valor]]),"VALOR","OK")),IF(tbl_esforcos[[#This Row],[M. Fletor]]&lt;&gt;"",IF(SIGN(tbl_esforcos[[#This Row],[M. Fletor]])&lt;&gt;SIGN(tbl_esforcos[[#This Row],[Valor]]),"SINAL",IF(ABS(tbl_esforcos[[#This Row],[M. Fletor]])&gt;ABS(tbl_esforcos[[#This Row],[Valor]]),"VALOR","OK")),"---")))</f>
        <v>#VALUE!</v>
      </c>
    </row>
    <row r="49" spans="2:10" ht="15" customHeight="1" x14ac:dyDescent="0.25">
      <c r="B49" s="708"/>
      <c r="C49" s="712"/>
      <c r="D49" s="498" t="s">
        <v>1121</v>
      </c>
      <c r="E49" s="183"/>
      <c r="F49" s="38" t="e">
        <f t="shared" si="0"/>
        <v>#VALUE!</v>
      </c>
      <c r="G49" s="25"/>
      <c r="H49" s="31"/>
      <c r="I49" s="218">
        <f>$C$5</f>
        <v>0</v>
      </c>
      <c r="J49" s="225" t="e">
        <f>IF(tbl_esforcos[[#This Row],[Cortante]]&lt;&gt;"",IF(SIGN(tbl_esforcos[[#This Row],[Cortante]])&lt;&gt;SIGN(tbl_esforcos[[#This Row],[Valor]]),"SINAL",IF(ABS(tbl_esforcos[[#This Row],[Cortante]])&gt;ABS(tbl_esforcos[[#This Row],[Valor]]),"VALOR","OK")),IF(tbl_esforcos[[#This Row],[Tração]]&lt;&gt;"",IF(SIGN(tbl_esforcos[[#This Row],[Tração]])&lt;&gt;SIGN(tbl_esforcos[[#This Row],[Valor]]),"SINAL",IF(ABS(tbl_esforcos[[#This Row],[Tração]])&gt;ABS(tbl_esforcos[[#This Row],[Valor]]),"VALOR","OK")),IF(tbl_esforcos[[#This Row],[M. Fletor]]&lt;&gt;"",IF(SIGN(tbl_esforcos[[#This Row],[M. Fletor]])&lt;&gt;SIGN(tbl_esforcos[[#This Row],[Valor]]),"SINAL",IF(ABS(tbl_esforcos[[#This Row],[M. Fletor]])&gt;ABS(tbl_esforcos[[#This Row],[Valor]]),"VALOR","OK")),"---")))</f>
        <v>#VALUE!</v>
      </c>
    </row>
    <row r="50" spans="2:10" ht="15" customHeight="1" x14ac:dyDescent="0.25">
      <c r="B50" s="708"/>
      <c r="C50" s="710" t="s">
        <v>1129</v>
      </c>
      <c r="D50" s="526" t="s">
        <v>1118</v>
      </c>
      <c r="E50" s="527"/>
      <c r="F50" s="537" t="e">
        <f>VALUE(LEFT(E50,SEARCH(" ",E50)-1))</f>
        <v>#VALUE!</v>
      </c>
      <c r="G50" s="538"/>
      <c r="H50" s="539"/>
      <c r="I50" s="539"/>
      <c r="J50" s="540" t="e">
        <f>IF(tbl_esforcos[[#This Row],[Cortante]]&lt;&gt;"",IF(SIGN(tbl_esforcos[[#This Row],[Cortante]])&lt;&gt;SIGN(tbl_esforcos[[#This Row],[Valor]]),"SINAL",IF(ABS(tbl_esforcos[[#This Row],[Cortante]])&gt;ABS(tbl_esforcos[[#This Row],[Valor]]),"VALOR","OK")),IF(tbl_esforcos[[#This Row],[Tração]]&lt;&gt;"",IF(SIGN(tbl_esforcos[[#This Row],[Tração]])&lt;&gt;SIGN(tbl_esforcos[[#This Row],[Valor]]),"SINAL",IF(ABS(tbl_esforcos[[#This Row],[Tração]])&gt;ABS(tbl_esforcos[[#This Row],[Valor]]),"VALOR","OK")),IF(tbl_esforcos[[#This Row],[M. Fletor]]&lt;&gt;"",IF(SIGN(tbl_esforcos[[#This Row],[M. Fletor]])&lt;&gt;SIGN(tbl_esforcos[[#This Row],[Valor]]),"SINAL",IF(ABS(tbl_esforcos[[#This Row],[M. Fletor]])&gt;ABS(tbl_esforcos[[#This Row],[Valor]]),"VALOR","OK")),"---")))</f>
        <v>#VALUE!</v>
      </c>
    </row>
    <row r="51" spans="2:10" ht="15" customHeight="1" x14ac:dyDescent="0.25">
      <c r="B51" s="708"/>
      <c r="C51" s="710"/>
      <c r="D51" s="532" t="s">
        <v>1120</v>
      </c>
      <c r="E51" s="533"/>
      <c r="F51" s="528" t="e">
        <f>VALUE(LEFT(E51,SEARCH(" ",E51)-1))</f>
        <v>#VALUE!</v>
      </c>
      <c r="G51" s="529"/>
      <c r="H51" s="530"/>
      <c r="I51" s="530"/>
      <c r="J51" s="531" t="e">
        <f>IF(tbl_esforcos[[#This Row],[Cortante]]&lt;&gt;"",IF(SIGN(tbl_esforcos[[#This Row],[Cortante]])&lt;&gt;SIGN(tbl_esforcos[[#This Row],[Valor]]),"SINAL",IF(ABS(tbl_esforcos[[#This Row],[Cortante]])&gt;ABS(tbl_esforcos[[#This Row],[Valor]]),"VALOR","OK")),IF(tbl_esforcos[[#This Row],[Tração]]&lt;&gt;"",IF(SIGN(tbl_esforcos[[#This Row],[Tração]])&lt;&gt;SIGN(tbl_esforcos[[#This Row],[Valor]]),"SINAL",IF(ABS(tbl_esforcos[[#This Row],[Tração]])&gt;ABS(tbl_esforcos[[#This Row],[Valor]]),"VALOR","OK")),IF(tbl_esforcos[[#This Row],[M. Fletor]]&lt;&gt;"",IF(SIGN(tbl_esforcos[[#This Row],[M. Fletor]])&lt;&gt;SIGN(tbl_esforcos[[#This Row],[Valor]]),"SINAL",IF(ABS(tbl_esforcos[[#This Row],[M. Fletor]])&gt;ABS(tbl_esforcos[[#This Row],[Valor]]),"VALOR","OK")),"---")))</f>
        <v>#VALUE!</v>
      </c>
    </row>
    <row r="52" spans="2:10" ht="15" customHeight="1" thickBot="1" x14ac:dyDescent="0.3">
      <c r="B52" s="709"/>
      <c r="C52" s="711"/>
      <c r="D52" s="534" t="s">
        <v>1121</v>
      </c>
      <c r="E52" s="535"/>
      <c r="F52" s="541" t="e">
        <f>VALUE(LEFT(E52,SEARCH(" ",E52)-1))</f>
        <v>#VALUE!</v>
      </c>
      <c r="G52" s="542"/>
      <c r="H52" s="543"/>
      <c r="I52" s="543"/>
      <c r="J52" s="544" t="e">
        <f>IF(tbl_esforcos[[#This Row],[Cortante]]&lt;&gt;"",IF(SIGN(tbl_esforcos[[#This Row],[Cortante]])&lt;&gt;SIGN(tbl_esforcos[[#This Row],[Valor]]),"SINAL",IF(ABS(tbl_esforcos[[#This Row],[Cortante]])&gt;ABS(tbl_esforcos[[#This Row],[Valor]]),"VALOR","OK")),IF(tbl_esforcos[[#This Row],[Tração]]&lt;&gt;"",IF(SIGN(tbl_esforcos[[#This Row],[Tração]])&lt;&gt;SIGN(tbl_esforcos[[#This Row],[Valor]]),"SINAL",IF(ABS(tbl_esforcos[[#This Row],[Tração]])&gt;ABS(tbl_esforcos[[#This Row],[Valor]]),"VALOR","OK")),IF(tbl_esforcos[[#This Row],[M. Fletor]]&lt;&gt;"",IF(SIGN(tbl_esforcos[[#This Row],[M. Fletor]])&lt;&gt;SIGN(tbl_esforcos[[#This Row],[Valor]]),"SINAL",IF(ABS(tbl_esforcos[[#This Row],[M. Fletor]])&gt;ABS(tbl_esforcos[[#This Row],[Valor]]),"VALOR","OK")),"---")))</f>
        <v>#VALUE!</v>
      </c>
    </row>
    <row r="53" spans="2:10" x14ac:dyDescent="0.25"/>
  </sheetData>
  <mergeCells count="21">
    <mergeCell ref="B41:B46"/>
    <mergeCell ref="C41:C43"/>
    <mergeCell ref="C44:C46"/>
    <mergeCell ref="C47:C49"/>
    <mergeCell ref="C50:C52"/>
    <mergeCell ref="B47:B52"/>
    <mergeCell ref="B8:C8"/>
    <mergeCell ref="G7:J7"/>
    <mergeCell ref="B10:B14"/>
    <mergeCell ref="B15:B22"/>
    <mergeCell ref="C15:C17"/>
    <mergeCell ref="C18:C20"/>
    <mergeCell ref="B23:B28"/>
    <mergeCell ref="B29:B34"/>
    <mergeCell ref="B35:B40"/>
    <mergeCell ref="C26:C28"/>
    <mergeCell ref="C35:C37"/>
    <mergeCell ref="C38:C40"/>
    <mergeCell ref="C23:C25"/>
    <mergeCell ref="C29:C31"/>
    <mergeCell ref="C32:C34"/>
  </mergeCells>
  <conditionalFormatting sqref="G9:I52">
    <cfRule type="expression" dxfId="12" priority="1">
      <formula>AND(G9&lt;&gt;"",$J9="SINAL")</formula>
    </cfRule>
    <cfRule type="expression" dxfId="11" priority="2">
      <formula>AND(G9&lt;&gt;"",$J9="VALOR")</formula>
    </cfRule>
    <cfRule type="expression" dxfId="10" priority="3">
      <formula>AND(G9&lt;&gt;"",$J9="OK")</formula>
    </cfRule>
    <cfRule type="notContainsBlanks" dxfId="9" priority="7">
      <formula>LEN(TRIM(G9))&gt;0</formula>
    </cfRule>
  </conditionalFormatting>
  <conditionalFormatting sqref="J9:J52">
    <cfRule type="cellIs" dxfId="8" priority="4" operator="equal">
      <formula>"SINAL"</formula>
    </cfRule>
    <cfRule type="cellIs" dxfId="7" priority="5" operator="equal">
      <formula>"VALOR"</formula>
    </cfRule>
    <cfRule type="cellIs" dxfId="6" priority="6" operator="equal">
      <formula>"OK"</formula>
    </cfRule>
  </conditionalFormatting>
  <dataValidations count="1">
    <dataValidation type="list" allowBlank="1" showInputMessage="1" showErrorMessage="1" sqref="C2" xr:uid="{00000000-0002-0000-1200-000000000000}">
      <formula1>droplist_casos</formula1>
    </dataValidation>
  </dataValidations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AB7E70-D9C4-4811-8371-8E9E72ADB9EE}">
  <sheetPr codeName="Sheet_Post_TQF"/>
  <dimension ref="A1:AD16"/>
  <sheetViews>
    <sheetView zoomScale="90" zoomScaleNormal="90" workbookViewId="0"/>
  </sheetViews>
  <sheetFormatPr defaultColWidth="0" defaultRowHeight="12.75" customHeight="1" zeroHeight="1" x14ac:dyDescent="0.25"/>
  <cols>
    <col min="1" max="1" width="1.7265625" style="5" customWidth="1"/>
    <col min="2" max="2" width="14.7265625" style="5" bestFit="1" customWidth="1"/>
    <col min="3" max="3" width="10.26953125" style="5" customWidth="1"/>
    <col min="4" max="4" width="11" style="5" bestFit="1" customWidth="1"/>
    <col min="5" max="6" width="10.26953125" style="5" customWidth="1"/>
    <col min="7" max="7" width="11" style="5" bestFit="1" customWidth="1"/>
    <col min="8" max="9" width="10.26953125" style="5" customWidth="1"/>
    <col min="10" max="10" width="11" style="5" bestFit="1" customWidth="1"/>
    <col min="11" max="12" width="10.26953125" style="5" customWidth="1"/>
    <col min="13" max="13" width="11" style="5" bestFit="1" customWidth="1"/>
    <col min="14" max="15" width="10.26953125" style="5" customWidth="1"/>
    <col min="16" max="16" width="11" style="5" bestFit="1" customWidth="1"/>
    <col min="17" max="18" width="10.26953125" style="5" customWidth="1"/>
    <col min="19" max="19" width="11" style="5" bestFit="1" customWidth="1"/>
    <col min="20" max="20" width="10.26953125" style="5" customWidth="1"/>
    <col min="21" max="21" width="10.26953125" style="5" hidden="1" customWidth="1"/>
    <col min="22" max="22" width="11.1796875" style="5" hidden="1" customWidth="1"/>
    <col min="23" max="24" width="10.26953125" style="5" hidden="1" customWidth="1"/>
    <col min="25" max="25" width="11.1796875" style="5" hidden="1" customWidth="1"/>
    <col min="26" max="26" width="10.26953125" style="5" hidden="1" customWidth="1"/>
    <col min="27" max="27" width="10.26953125" style="5" customWidth="1"/>
    <col min="28" max="28" width="11" style="5" customWidth="1"/>
    <col min="29" max="29" width="10.26953125" style="5" customWidth="1"/>
    <col min="30" max="30" width="1.7265625" style="5" customWidth="1"/>
    <col min="31" max="16384" width="9.26953125" style="5" hidden="1"/>
  </cols>
  <sheetData>
    <row r="1" spans="2:29" ht="12.75" customHeight="1" x14ac:dyDescent="0.25"/>
    <row r="2" spans="2:29" ht="13" x14ac:dyDescent="0.25">
      <c r="B2" s="737" t="s">
        <v>1134</v>
      </c>
      <c r="C2" s="738" t="s">
        <v>1135</v>
      </c>
      <c r="D2" s="738"/>
      <c r="E2" s="738"/>
      <c r="F2" s="738"/>
      <c r="G2" s="738"/>
      <c r="H2" s="738"/>
      <c r="I2" s="738"/>
      <c r="J2" s="738"/>
      <c r="K2" s="738"/>
      <c r="L2" s="738"/>
      <c r="M2" s="738"/>
      <c r="N2" s="738"/>
      <c r="O2" s="738"/>
      <c r="P2" s="738"/>
      <c r="Q2" s="738"/>
      <c r="R2" s="738"/>
      <c r="S2" s="738"/>
      <c r="T2" s="738"/>
      <c r="U2" s="738"/>
      <c r="V2" s="738"/>
      <c r="W2" s="738"/>
      <c r="X2" s="738"/>
      <c r="Y2" s="738"/>
      <c r="Z2" s="738"/>
      <c r="AA2" s="739" t="s">
        <v>1136</v>
      </c>
      <c r="AB2" s="739"/>
      <c r="AC2" s="739"/>
    </row>
    <row r="3" spans="2:29" ht="30" customHeight="1" x14ac:dyDescent="0.25">
      <c r="B3" s="737"/>
      <c r="C3" s="740" t="s">
        <v>1137</v>
      </c>
      <c r="D3" s="738"/>
      <c r="E3" s="738"/>
      <c r="F3" s="740" t="s">
        <v>1138</v>
      </c>
      <c r="G3" s="738"/>
      <c r="H3" s="738"/>
      <c r="I3" s="739" t="s">
        <v>1139</v>
      </c>
      <c r="J3" s="739"/>
      <c r="K3" s="739"/>
      <c r="L3" s="739" t="s">
        <v>1140</v>
      </c>
      <c r="M3" s="739"/>
      <c r="N3" s="739"/>
      <c r="O3" s="739" t="s">
        <v>1141</v>
      </c>
      <c r="P3" s="739"/>
      <c r="Q3" s="739"/>
      <c r="R3" s="739" t="s">
        <v>1142</v>
      </c>
      <c r="S3" s="739"/>
      <c r="T3" s="739"/>
      <c r="U3" s="740" t="s">
        <v>1143</v>
      </c>
      <c r="V3" s="738"/>
      <c r="W3" s="738"/>
      <c r="X3" s="740" t="s">
        <v>1144</v>
      </c>
      <c r="Y3" s="738"/>
      <c r="Z3" s="738"/>
      <c r="AA3" s="739"/>
      <c r="AB3" s="739"/>
      <c r="AC3" s="739"/>
    </row>
    <row r="4" spans="2:29" ht="35.15" customHeight="1" thickBot="1" x14ac:dyDescent="0.3">
      <c r="B4" s="484">
        <f>ABS(dynamic_heave_up)</f>
        <v>0</v>
      </c>
      <c r="C4" s="485" t="s">
        <v>1145</v>
      </c>
      <c r="D4" s="485" t="s">
        <v>1146</v>
      </c>
      <c r="E4" s="485" t="s">
        <v>1109</v>
      </c>
      <c r="F4" s="485" t="s">
        <v>1145</v>
      </c>
      <c r="G4" s="485" t="s">
        <v>1146</v>
      </c>
      <c r="H4" s="485" t="s">
        <v>1109</v>
      </c>
      <c r="I4" s="485" t="s">
        <v>1145</v>
      </c>
      <c r="J4" s="485" t="s">
        <v>1146</v>
      </c>
      <c r="K4" s="485" t="s">
        <v>1109</v>
      </c>
      <c r="L4" s="485" t="s">
        <v>1145</v>
      </c>
      <c r="M4" s="485" t="s">
        <v>1146</v>
      </c>
      <c r="N4" s="485" t="s">
        <v>1109</v>
      </c>
      <c r="O4" s="485" t="s">
        <v>1145</v>
      </c>
      <c r="P4" s="485" t="s">
        <v>1146</v>
      </c>
      <c r="Q4" s="485" t="s">
        <v>1109</v>
      </c>
      <c r="R4" s="485" t="s">
        <v>1145</v>
      </c>
      <c r="S4" s="485" t="s">
        <v>1146</v>
      </c>
      <c r="T4" s="485" t="s">
        <v>1109</v>
      </c>
      <c r="U4" s="485" t="s">
        <v>1147</v>
      </c>
      <c r="V4" s="485" t="s">
        <v>1146</v>
      </c>
      <c r="W4" s="485" t="s">
        <v>1109</v>
      </c>
      <c r="X4" s="485" t="s">
        <v>1147</v>
      </c>
      <c r="Y4" s="485" t="s">
        <v>1146</v>
      </c>
      <c r="Z4" s="485" t="s">
        <v>1109</v>
      </c>
      <c r="AA4" s="485" t="s">
        <v>1145</v>
      </c>
      <c r="AB4" s="485" t="s">
        <v>1146</v>
      </c>
      <c r="AC4" s="485" t="s">
        <v>1109</v>
      </c>
    </row>
    <row r="5" spans="2:29" s="7" customFormat="1" ht="40" customHeight="1" thickTop="1" x14ac:dyDescent="0.25">
      <c r="B5" s="481" t="s">
        <v>1148</v>
      </c>
      <c r="C5" s="476">
        <f>case3i_heave_ez_axial_max</f>
        <v>0</v>
      </c>
      <c r="D5" s="476">
        <f>IF(AND(C5&gt;0,C5&lt;15),15,IF(AND(C5&lt;0,C5&gt;-15),-15,C5))</f>
        <v>0</v>
      </c>
      <c r="E5" s="482" t="e">
        <f>Esforços!$F15</f>
        <v>#VALUE!</v>
      </c>
      <c r="F5" s="476">
        <f>case3i_heave_ez_axial_min</f>
        <v>0</v>
      </c>
      <c r="G5" s="476">
        <f>IF(AND(F5&gt;0,F5&lt;15),15,IF(AND(F5&lt;0,F5&gt;-15),-15,F5))</f>
        <v>0</v>
      </c>
      <c r="H5" s="482" t="e">
        <f>Esforços!$F18</f>
        <v>#VALUE!</v>
      </c>
      <c r="I5" s="476">
        <f>case3ii_toque_ez_axial_max</f>
        <v>0</v>
      </c>
      <c r="J5" s="476">
        <f>IF(AND(I5&gt;0,I5&lt;15),15,IF(AND(I5&lt;0,I5&gt;-15),-15,I5))</f>
        <v>0</v>
      </c>
      <c r="K5" s="482" t="e">
        <f>Esforços!$F23</f>
        <v>#VALUE!</v>
      </c>
      <c r="L5" s="476" t="str">
        <f>case4_et_result_ez_axial_with_buoys</f>
        <v>N/A</v>
      </c>
      <c r="M5" s="476" t="str">
        <f>IF(AND(L5&gt;0,L5&lt;15),15,IF(AND(L5&lt;0,L5&gt;-15),-15,L5))</f>
        <v>N/A</v>
      </c>
      <c r="N5" s="482" t="e">
        <f>Esforços!$F35</f>
        <v>#VALUE!</v>
      </c>
      <c r="O5" s="476">
        <f>case4_et_result_ez_axial_without_buoys</f>
        <v>0</v>
      </c>
      <c r="P5" s="476">
        <f>IF(AND(O5&gt;0,O5&lt;15),15,IF(AND(O5&lt;0,O5&gt;-15),-15,O5))</f>
        <v>0</v>
      </c>
      <c r="Q5" s="482" t="e">
        <f>Esforços!$F41</f>
        <v>#VALUE!</v>
      </c>
      <c r="R5" s="476">
        <f>case5_et_result_ez_axial</f>
        <v>0</v>
      </c>
      <c r="S5" s="476">
        <f>IF(AND(R5&gt;0,R5&lt;15),15,IF(AND(R5&lt;0,R5&gt;-15),-15,R5))</f>
        <v>0</v>
      </c>
      <c r="T5" s="482" t="e">
        <f>Esforços!$F47</f>
        <v>#VALUE!</v>
      </c>
      <c r="U5" s="476" t="str">
        <f>IF(_dvc_type=1, "IGNORAR", puxada_ez_axial_max)</f>
        <v>IGNORAR</v>
      </c>
      <c r="V5" s="476" t="str">
        <f>IF(AND(U5&gt;0,U5&lt;15),15,IF(AND(U5&lt;0,U5&gt;-15),-15,U5))</f>
        <v>IGNORAR</v>
      </c>
      <c r="W5" s="482" t="str">
        <f>IF(_dvc_type=1, "IGNORAR", E5)</f>
        <v>IGNORAR</v>
      </c>
      <c r="X5" s="476" t="str">
        <f>IF(_dvc_type=1, "IGNORAR", puxada_ez_axial_min)</f>
        <v>IGNORAR</v>
      </c>
      <c r="Y5" s="476" t="str">
        <f>IF(AND(X5&gt;0,X5&lt;15),15,IF(AND(X5&lt;0,X5&gt;-15),-15,X5))</f>
        <v>IGNORAR</v>
      </c>
      <c r="Z5" s="482" t="str">
        <f>IF(_dvc_type=1, "IGNORAR", H5)</f>
        <v>IGNORAR</v>
      </c>
      <c r="AA5" s="476" t="s">
        <v>588</v>
      </c>
      <c r="AB5" s="476" t="str">
        <f>AA5</f>
        <v>N/A</v>
      </c>
      <c r="AC5" s="483" t="s">
        <v>588</v>
      </c>
    </row>
    <row r="6" spans="2:29" s="7" customFormat="1" ht="40" customHeight="1" x14ac:dyDescent="0.25">
      <c r="B6" s="478" t="s">
        <v>1149</v>
      </c>
      <c r="C6" s="477">
        <f>case3i_heave_ex_shear_force_max</f>
        <v>0</v>
      </c>
      <c r="D6" s="477">
        <f>IF(AND(C6&gt;0,C6&lt;15),15,IF(AND(C6&lt;0,C6&gt;-15),-15,C6))</f>
        <v>0</v>
      </c>
      <c r="E6" s="479" t="e">
        <f>Esforços!$F16</f>
        <v>#VALUE!</v>
      </c>
      <c r="F6" s="477">
        <f>case3i_heave_ex_shear_force_min</f>
        <v>0</v>
      </c>
      <c r="G6" s="477">
        <f>IF(AND(F6&gt;0,F6&lt;15),15,IF(AND(F6&lt;0,F6&gt;-15),-15,F6))</f>
        <v>0</v>
      </c>
      <c r="H6" s="479" t="e">
        <f>Esforços!$F19</f>
        <v>#VALUE!</v>
      </c>
      <c r="I6" s="477">
        <f>case3ii_toque_ex_shear_force_max</f>
        <v>0</v>
      </c>
      <c r="J6" s="477">
        <f>IF(AND(I6&gt;0,I6&lt;15),15,IF(AND(I6&lt;0,I6&gt;-15),-15,I6))</f>
        <v>0</v>
      </c>
      <c r="K6" s="479" t="e">
        <f>Esforços!$F24</f>
        <v>#VALUE!</v>
      </c>
      <c r="L6" s="477" t="str">
        <f>case4_et_result_ex_shear_force_with_buoys</f>
        <v>N/A</v>
      </c>
      <c r="M6" s="477" t="str">
        <f>IF(AND(L6&gt;0,L6&lt;15),15,IF(AND(L6&lt;0,L6&gt;-15),-15,L6))</f>
        <v>N/A</v>
      </c>
      <c r="N6" s="479" t="e">
        <f>Esforços!$F36</f>
        <v>#VALUE!</v>
      </c>
      <c r="O6" s="477">
        <f>case4_et_result_ex_shear_force_without_buoys</f>
        <v>0</v>
      </c>
      <c r="P6" s="477">
        <f>IF(AND(O6&gt;0,O6&lt;15),15,IF(AND(O6&lt;0,O6&gt;-15),-15,O6))</f>
        <v>0</v>
      </c>
      <c r="Q6" s="479" t="e">
        <f>Esforços!$F42</f>
        <v>#VALUE!</v>
      </c>
      <c r="R6" s="477">
        <f>case5_et_result_ex_shear_force</f>
        <v>0</v>
      </c>
      <c r="S6" s="477">
        <f>IF(AND(R6&gt;0,R6&lt;15),15,IF(AND(R6&lt;0,R6&gt;-15),-15,R6))</f>
        <v>0</v>
      </c>
      <c r="T6" s="479" t="e">
        <f>Esforços!$F48</f>
        <v>#VALUE!</v>
      </c>
      <c r="U6" s="477" t="str">
        <f>IF(_dvc_type=1, "IGNORAR", puxada_ex_shear_force_max)</f>
        <v>IGNORAR</v>
      </c>
      <c r="V6" s="477" t="str">
        <f>IF(AND(U6&gt;0,U6&lt;15),15,IF(AND(U6&lt;0,U6&gt;-15),-15,U6))</f>
        <v>IGNORAR</v>
      </c>
      <c r="W6" s="479" t="str">
        <f>IF(_dvc_type=1, "IGNORAR", E6)</f>
        <v>IGNORAR</v>
      </c>
      <c r="X6" s="477" t="str">
        <f>IF(_dvc_type=1, "IGNORAR", puxada_ex_shear_force_min)</f>
        <v>IGNORAR</v>
      </c>
      <c r="Y6" s="477" t="str">
        <f>IF(AND(X6&gt;0,X6&lt;15),15,IF(AND(X6&lt;0,X6&gt;-15),-15,X6))</f>
        <v>IGNORAR</v>
      </c>
      <c r="Z6" s="479" t="str">
        <f>IF(_dvc_type=1, "IGNORAR", H6)</f>
        <v>IGNORAR</v>
      </c>
      <c r="AA6" s="477">
        <f>IF(report_sf_adm_vert&gt;0, MAX(static_sf_vert, dynamic_sf_vert, cont1_sf_vert, cont2_sf_vert), "N/A")</f>
        <v>0</v>
      </c>
      <c r="AB6" s="477">
        <f>AA6</f>
        <v>0</v>
      </c>
      <c r="AC6" s="480">
        <f>IF(Values!C36&gt;0,Values!C36,"N/A")</f>
        <v>30</v>
      </c>
    </row>
    <row r="7" spans="2:29" s="7" customFormat="1" ht="40" customHeight="1" x14ac:dyDescent="0.25">
      <c r="B7" s="478" t="s">
        <v>1150</v>
      </c>
      <c r="C7" s="477">
        <f>case3i_heave_ey_moment_max</f>
        <v>0</v>
      </c>
      <c r="D7" s="477">
        <f>IF(AND(C7&gt;0,C7&lt;50),50,IF(AND(C7&lt;0,C7&gt;-50),-50,C7))</f>
        <v>0</v>
      </c>
      <c r="E7" s="479" t="e">
        <f>Esforços!$F17</f>
        <v>#VALUE!</v>
      </c>
      <c r="F7" s="477">
        <f>case3i_heave_ey_moment_min</f>
        <v>0</v>
      </c>
      <c r="G7" s="477">
        <f>IF(AND(F7&gt;0,F7&lt;50),50,IF(AND(F7&lt;0,F7&gt;-50),-50,F7))</f>
        <v>0</v>
      </c>
      <c r="H7" s="479" t="e">
        <f>Esforços!$F20</f>
        <v>#VALUE!</v>
      </c>
      <c r="I7" s="477">
        <f>case3ii_toque_ey_moment_max</f>
        <v>0</v>
      </c>
      <c r="J7" s="477">
        <f>IF(AND(I7&gt;0,I7&lt;50),50,IF(AND(I7&lt;0,I7&gt;-50),-50,I7))</f>
        <v>0</v>
      </c>
      <c r="K7" s="479" t="e">
        <f>Esforços!$F25</f>
        <v>#VALUE!</v>
      </c>
      <c r="L7" s="477" t="str">
        <f>case4_et_result_ey_moment_with_buoys</f>
        <v>N/A</v>
      </c>
      <c r="M7" s="477" t="str">
        <f>IF(AND(L7&gt;0,L7&lt;50),50,IF(AND(L7&lt;0,L7&gt;-50),-50,L7))</f>
        <v>N/A</v>
      </c>
      <c r="N7" s="479" t="e">
        <f>Esforços!$F37</f>
        <v>#VALUE!</v>
      </c>
      <c r="O7" s="477">
        <f>case4_et_result_ey_moment_without_buoys</f>
        <v>0</v>
      </c>
      <c r="P7" s="477">
        <f>IF(AND(O7&gt;0,O7&lt;50),50,IF(AND(O7&lt;0,O7&gt;-50),-50,O7))</f>
        <v>0</v>
      </c>
      <c r="Q7" s="479" t="e">
        <f>Esforços!$F43</f>
        <v>#VALUE!</v>
      </c>
      <c r="R7" s="477">
        <f>case5_et_result_ey_moment</f>
        <v>0</v>
      </c>
      <c r="S7" s="477">
        <f>IF(AND(R7&gt;0,R7&lt;50),50,IF(AND(R7&lt;0,R7&gt;-50),-50,R7))</f>
        <v>0</v>
      </c>
      <c r="T7" s="479" t="e">
        <f>Esforços!$F49</f>
        <v>#VALUE!</v>
      </c>
      <c r="U7" s="477" t="str">
        <f>IF(_dvc_type=1, "IGNORAR", puxada_ey_moment_max)</f>
        <v>IGNORAR</v>
      </c>
      <c r="V7" s="477" t="str">
        <f>IF(AND(U7&gt;0,U7&lt;50),50,IF(AND(U7&lt;0,U7&gt;-50),-50,U7))</f>
        <v>IGNORAR</v>
      </c>
      <c r="W7" s="479" t="str">
        <f>IF(_dvc_type=1, "IGNORAR", E7)</f>
        <v>IGNORAR</v>
      </c>
      <c r="X7" s="477" t="str">
        <f>IF(_dvc_type=1, "IGNORAR", puxada_ey_moment_min)</f>
        <v>IGNORAR</v>
      </c>
      <c r="Y7" s="477" t="str">
        <f>IF(AND(X7&gt;0,X7&lt;50),50,IF(AND(X7&lt;0,X7&gt;-50),-50,X7))</f>
        <v>IGNORAR</v>
      </c>
      <c r="Z7" s="479" t="str">
        <f>IF(_dvc_type=1, "IGNORAR", H7)</f>
        <v>IGNORAR</v>
      </c>
      <c r="AA7" s="477">
        <f xml:space="preserve"> MAX(static_bm_vert, dynamic_bm_vert, cont1_bm_vert, cont2_bm_vert)</f>
        <v>0</v>
      </c>
      <c r="AB7" s="477">
        <f>AA7</f>
        <v>0</v>
      </c>
      <c r="AC7" s="480">
        <f>Values!C35</f>
        <v>30</v>
      </c>
    </row>
    <row r="8" spans="2:29" s="7" customFormat="1" ht="40" customHeight="1" x14ac:dyDescent="0.25">
      <c r="B8" s="478" t="s">
        <v>1151</v>
      </c>
      <c r="C8" s="727" t="str">
        <f>CONCATENATE(Results!$B$19, CHAR(10), "Rev.", Results!$B$20)</f>
        <v xml:space="preserve">
Rev.</v>
      </c>
      <c r="D8" s="728"/>
      <c r="E8" s="729"/>
      <c r="F8" s="727" t="str">
        <f>CONCATENATE(Results!$B$19, CHAR(10), "Rev.", Results!$B$20)</f>
        <v xml:space="preserve">
Rev.</v>
      </c>
      <c r="G8" s="728"/>
      <c r="H8" s="729"/>
      <c r="I8" s="727" t="str">
        <f>CONCATENATE(Results!$B$19, CHAR(10), "Rev.", Results!$B$20)</f>
        <v xml:space="preserve">
Rev.</v>
      </c>
      <c r="J8" s="728"/>
      <c r="K8" s="729"/>
      <c r="L8" s="727" t="str">
        <f>CONCATENATE(Results!$B$19, CHAR(10), "Rev.", Results!$B$20)</f>
        <v xml:space="preserve">
Rev.</v>
      </c>
      <c r="M8" s="728"/>
      <c r="N8" s="729"/>
      <c r="O8" s="727" t="str">
        <f>CONCATENATE(Results!$B$19, CHAR(10), "Rev.", Results!$B$20)</f>
        <v xml:space="preserve">
Rev.</v>
      </c>
      <c r="P8" s="728"/>
      <c r="Q8" s="729"/>
      <c r="R8" s="727" t="str">
        <f>CONCATENATE(Results!$B$19, CHAR(10), "Rev.", Results!$B$20)</f>
        <v xml:space="preserve">
Rev.</v>
      </c>
      <c r="S8" s="728"/>
      <c r="T8" s="729"/>
      <c r="U8" s="727" t="str">
        <f>CONCATENATE(Results!$B$19, CHAR(10), "Rev.", Results!$B$20)</f>
        <v xml:space="preserve">
Rev.</v>
      </c>
      <c r="V8" s="728"/>
      <c r="W8" s="729"/>
      <c r="X8" s="727" t="str">
        <f>CONCATENATE(Results!$B$19, CHAR(10), "Rev.", Results!$B$20)</f>
        <v xml:space="preserve">
Rev.</v>
      </c>
      <c r="Y8" s="728"/>
      <c r="Z8" s="729"/>
      <c r="AA8" s="727" t="str">
        <f>CONCATENATE(Results!$B$19, CHAR(10), "Rev.", Results!$B$20)</f>
        <v xml:space="preserve">
Rev.</v>
      </c>
      <c r="AB8" s="728"/>
      <c r="AC8" s="729"/>
    </row>
    <row r="9" spans="2:29" ht="30" customHeight="1" x14ac:dyDescent="0.25">
      <c r="B9" s="730" t="s">
        <v>1152</v>
      </c>
      <c r="C9" s="730"/>
      <c r="D9" s="730"/>
      <c r="E9" s="730"/>
      <c r="F9" s="730"/>
      <c r="G9" s="730"/>
      <c r="H9" s="730"/>
      <c r="I9" s="730"/>
      <c r="J9" s="730"/>
      <c r="K9" s="730"/>
      <c r="L9" s="730"/>
      <c r="M9" s="730"/>
      <c r="N9" s="730"/>
      <c r="O9" s="730"/>
      <c r="P9" s="730"/>
      <c r="Q9" s="730"/>
      <c r="R9" s="730"/>
      <c r="S9" s="730"/>
      <c r="T9" s="730"/>
      <c r="U9" s="730"/>
      <c r="V9" s="730"/>
      <c r="W9" s="730"/>
      <c r="X9" s="730"/>
      <c r="Y9" s="730"/>
      <c r="Z9" s="730"/>
      <c r="AA9" s="730"/>
      <c r="AB9" s="730"/>
      <c r="AC9" s="730"/>
    </row>
    <row r="10" spans="2:29" ht="15.5" x14ac:dyDescent="0.25">
      <c r="B10" s="731" t="s">
        <v>1153</v>
      </c>
      <c r="C10" s="732"/>
      <c r="D10" s="732"/>
      <c r="E10" s="732"/>
      <c r="F10" s="732"/>
      <c r="G10" s="732"/>
      <c r="H10" s="732"/>
      <c r="I10" s="732"/>
      <c r="J10" s="732"/>
      <c r="K10" s="732"/>
      <c r="L10" s="732"/>
      <c r="M10" s="732"/>
      <c r="N10" s="732"/>
      <c r="O10" s="732"/>
      <c r="P10" s="732"/>
      <c r="Q10" s="732"/>
      <c r="R10" s="732"/>
      <c r="S10" s="732"/>
      <c r="T10" s="732"/>
      <c r="U10" s="732"/>
      <c r="V10" s="732"/>
      <c r="W10" s="732"/>
      <c r="X10" s="732"/>
      <c r="Y10" s="732"/>
      <c r="Z10" s="732"/>
      <c r="AA10" s="732"/>
      <c r="AB10" s="732"/>
      <c r="AC10" s="732"/>
    </row>
    <row r="11" spans="2:29" ht="15.5" x14ac:dyDescent="0.25">
      <c r="B11" s="733" t="s">
        <v>1154</v>
      </c>
      <c r="C11" s="734"/>
      <c r="D11" s="734"/>
      <c r="E11" s="734"/>
      <c r="F11" s="734"/>
      <c r="G11" s="734"/>
      <c r="H11" s="734"/>
      <c r="I11" s="734"/>
      <c r="J11" s="734"/>
      <c r="K11" s="734"/>
      <c r="L11" s="734"/>
      <c r="M11" s="734"/>
      <c r="N11" s="734"/>
      <c r="O11" s="734"/>
      <c r="P11" s="734"/>
      <c r="Q11" s="734"/>
      <c r="R11" s="734"/>
      <c r="S11" s="734"/>
      <c r="T11" s="734"/>
      <c r="U11" s="734"/>
      <c r="V11" s="734"/>
      <c r="W11" s="734"/>
      <c r="X11" s="734"/>
      <c r="Y11" s="734"/>
      <c r="Z11" s="734"/>
      <c r="AA11" s="734"/>
      <c r="AB11" s="734"/>
      <c r="AC11" s="734"/>
    </row>
    <row r="12" spans="2:29" ht="15.5" x14ac:dyDescent="0.25">
      <c r="B12" s="735" t="s">
        <v>1155</v>
      </c>
      <c r="C12" s="736"/>
      <c r="D12" s="736"/>
      <c r="E12" s="736"/>
      <c r="F12" s="736"/>
      <c r="G12" s="736"/>
      <c r="H12" s="736"/>
      <c r="I12" s="736"/>
      <c r="J12" s="736"/>
      <c r="K12" s="736"/>
      <c r="L12" s="736"/>
      <c r="M12" s="736"/>
      <c r="N12" s="736"/>
      <c r="O12" s="736"/>
      <c r="P12" s="736"/>
      <c r="Q12" s="736"/>
      <c r="R12" s="736"/>
      <c r="S12" s="736"/>
      <c r="T12" s="736"/>
      <c r="U12" s="736"/>
      <c r="V12" s="736"/>
      <c r="W12" s="736"/>
      <c r="X12" s="736"/>
      <c r="Y12" s="736"/>
      <c r="Z12" s="736"/>
      <c r="AA12" s="736"/>
      <c r="AB12" s="736"/>
      <c r="AC12" s="736"/>
    </row>
    <row r="13" spans="2:29" ht="15.5" x14ac:dyDescent="0.25">
      <c r="B13" s="725" t="s">
        <v>1156</v>
      </c>
      <c r="C13" s="726"/>
      <c r="D13" s="726"/>
      <c r="E13" s="726"/>
      <c r="F13" s="726"/>
      <c r="G13" s="726"/>
      <c r="H13" s="726"/>
      <c r="I13" s="726"/>
      <c r="J13" s="726"/>
      <c r="K13" s="726"/>
      <c r="L13" s="726"/>
      <c r="M13" s="726"/>
      <c r="N13" s="726"/>
      <c r="O13" s="726"/>
      <c r="P13" s="726"/>
      <c r="Q13" s="726"/>
      <c r="R13" s="726"/>
      <c r="S13" s="726"/>
      <c r="T13" s="726"/>
      <c r="U13" s="726"/>
      <c r="V13" s="726"/>
      <c r="W13" s="726"/>
      <c r="X13" s="726"/>
      <c r="Y13" s="726"/>
      <c r="Z13" s="726"/>
      <c r="AA13" s="726"/>
      <c r="AB13" s="726"/>
      <c r="AC13" s="726"/>
    </row>
    <row r="14" spans="2:29" ht="15.5" x14ac:dyDescent="0.25">
      <c r="B14" s="725" t="s">
        <v>1157</v>
      </c>
      <c r="C14" s="726"/>
      <c r="D14" s="726"/>
      <c r="E14" s="726"/>
      <c r="F14" s="726"/>
      <c r="G14" s="726"/>
      <c r="H14" s="726"/>
      <c r="I14" s="726"/>
      <c r="J14" s="726"/>
      <c r="K14" s="726"/>
      <c r="L14" s="726"/>
      <c r="M14" s="726"/>
      <c r="N14" s="726"/>
      <c r="O14" s="726"/>
      <c r="P14" s="726"/>
      <c r="Q14" s="726"/>
      <c r="R14" s="726"/>
      <c r="S14" s="726"/>
      <c r="T14" s="726"/>
      <c r="U14" s="726"/>
      <c r="V14" s="726"/>
      <c r="W14" s="726"/>
      <c r="X14" s="726"/>
      <c r="Y14" s="726"/>
      <c r="Z14" s="726"/>
      <c r="AA14" s="726"/>
      <c r="AB14" s="726"/>
      <c r="AC14" s="726"/>
    </row>
    <row r="15" spans="2:29" ht="15.5" x14ac:dyDescent="0.25">
      <c r="B15" s="725" t="s">
        <v>1158</v>
      </c>
      <c r="C15" s="726"/>
      <c r="D15" s="726"/>
      <c r="E15" s="726"/>
      <c r="F15" s="726"/>
      <c r="G15" s="726"/>
      <c r="H15" s="726"/>
      <c r="I15" s="726"/>
      <c r="J15" s="726"/>
      <c r="K15" s="726"/>
      <c r="L15" s="726"/>
      <c r="M15" s="726"/>
      <c r="N15" s="726"/>
      <c r="O15" s="726"/>
      <c r="P15" s="726"/>
      <c r="Q15" s="726"/>
      <c r="R15" s="726"/>
      <c r="S15" s="726"/>
      <c r="T15" s="726"/>
      <c r="U15" s="726"/>
      <c r="V15" s="726"/>
      <c r="W15" s="726"/>
      <c r="X15" s="726"/>
      <c r="Y15" s="726"/>
      <c r="Z15" s="726"/>
      <c r="AA15" s="726"/>
      <c r="AB15" s="726"/>
      <c r="AC15" s="726"/>
    </row>
    <row r="16" spans="2:29" ht="12.75" customHeight="1" x14ac:dyDescent="0.25"/>
  </sheetData>
  <mergeCells count="27">
    <mergeCell ref="B2:B3"/>
    <mergeCell ref="C2:Z2"/>
    <mergeCell ref="AA2:AC3"/>
    <mergeCell ref="C3:E3"/>
    <mergeCell ref="F3:H3"/>
    <mergeCell ref="I3:K3"/>
    <mergeCell ref="L3:N3"/>
    <mergeCell ref="O3:Q3"/>
    <mergeCell ref="R3:T3"/>
    <mergeCell ref="U3:W3"/>
    <mergeCell ref="X3:Z3"/>
    <mergeCell ref="B15:AC15"/>
    <mergeCell ref="R8:T8"/>
    <mergeCell ref="U8:W8"/>
    <mergeCell ref="X8:Z8"/>
    <mergeCell ref="AA8:AC8"/>
    <mergeCell ref="B14:AC14"/>
    <mergeCell ref="C8:E8"/>
    <mergeCell ref="F8:H8"/>
    <mergeCell ref="I8:K8"/>
    <mergeCell ref="L8:N8"/>
    <mergeCell ref="O8:Q8"/>
    <mergeCell ref="B13:AC13"/>
    <mergeCell ref="B9:AC9"/>
    <mergeCell ref="B10:AC10"/>
    <mergeCell ref="B11:AC11"/>
    <mergeCell ref="B12:AC12"/>
  </mergeCells>
  <conditionalFormatting sqref="B4">
    <cfRule type="cellIs" dxfId="5" priority="11" operator="lessThan">
      <formula>2.5</formula>
    </cfRule>
  </conditionalFormatting>
  <conditionalFormatting sqref="AA5:AC7">
    <cfRule type="containsText" dxfId="4" priority="5" operator="containsText" text="N/A">
      <formula>NOT(ISERROR(SEARCH("N/A",AA5)))</formula>
    </cfRule>
  </conditionalFormatting>
  <conditionalFormatting sqref="C5:C8 F5:F8 I5:I8 L5:L8 O5:O8 R5:R8 U5:U8 X5:X8 AA5:AA8">
    <cfRule type="expression" dxfId="3" priority="2">
      <formula>SIGN(C5)&lt;&gt;SIGN(E5)</formula>
    </cfRule>
    <cfRule type="expression" dxfId="2" priority="4">
      <formula>ABS(C5) &gt;ABS(E5)</formula>
    </cfRule>
  </conditionalFormatting>
  <conditionalFormatting sqref="D5:D7 G5:G7 J5:J7 M5:M7 P5:P7 S5:S7 V5:V7 Y5:Y7 AB5:AB7">
    <cfRule type="expression" dxfId="1" priority="1">
      <formula>SIGN(D5)&lt;&gt;SIGN(E5)</formula>
    </cfRule>
    <cfRule type="expression" dxfId="0" priority="3">
      <formula>ABS(D5) &gt;ABS(E5)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3"/>
  <dimension ref="A1:I63"/>
  <sheetViews>
    <sheetView workbookViewId="0"/>
  </sheetViews>
  <sheetFormatPr defaultRowHeight="12.5" x14ac:dyDescent="0.25"/>
  <cols>
    <col min="1" max="1" width="29" customWidth="1"/>
    <col min="2" max="2" width="11.7265625" style="1" customWidth="1"/>
    <col min="3" max="3" width="28.54296875" bestFit="1" customWidth="1"/>
    <col min="4" max="4" width="24.26953125" style="1" customWidth="1"/>
    <col min="8" max="8" width="23" customWidth="1"/>
  </cols>
  <sheetData>
    <row r="1" spans="1:9" x14ac:dyDescent="0.25">
      <c r="A1" t="s">
        <v>1159</v>
      </c>
      <c r="B1" s="3" t="s">
        <v>452</v>
      </c>
      <c r="C1" t="s">
        <v>1160</v>
      </c>
      <c r="D1" s="3">
        <v>0</v>
      </c>
      <c r="E1" t="s">
        <v>1161</v>
      </c>
      <c r="F1" s="1" t="s">
        <v>1162</v>
      </c>
      <c r="H1" s="1"/>
      <c r="I1" s="2"/>
    </row>
    <row r="2" spans="1:9" x14ac:dyDescent="0.25">
      <c r="A2" t="s">
        <v>1163</v>
      </c>
      <c r="B2" s="1" t="s">
        <v>1164</v>
      </c>
      <c r="C2" t="s">
        <v>1165</v>
      </c>
      <c r="D2" s="3" t="s">
        <v>1166</v>
      </c>
      <c r="E2" t="s">
        <v>1167</v>
      </c>
      <c r="F2" s="1" t="s">
        <v>1168</v>
      </c>
      <c r="H2" s="1" t="s">
        <v>1169</v>
      </c>
      <c r="I2" s="2" t="b">
        <v>0</v>
      </c>
    </row>
    <row r="3" spans="1:9" x14ac:dyDescent="0.25">
      <c r="A3" t="s">
        <v>1170</v>
      </c>
      <c r="B3" s="1">
        <v>0</v>
      </c>
      <c r="C3" t="s">
        <v>1171</v>
      </c>
      <c r="D3" s="3" t="b">
        <v>1</v>
      </c>
      <c r="H3" t="s">
        <v>1172</v>
      </c>
      <c r="I3" s="2" t="b">
        <v>1</v>
      </c>
    </row>
    <row r="4" spans="1:9" x14ac:dyDescent="0.25">
      <c r="A4" t="s">
        <v>1173</v>
      </c>
      <c r="B4" s="1">
        <v>0</v>
      </c>
      <c r="C4" t="s">
        <v>1174</v>
      </c>
      <c r="D4" s="3">
        <v>65500</v>
      </c>
      <c r="H4" t="s">
        <v>1175</v>
      </c>
      <c r="I4" s="2">
        <v>10</v>
      </c>
    </row>
    <row r="5" spans="1:9" x14ac:dyDescent="0.25">
      <c r="A5" t="s">
        <v>1176</v>
      </c>
      <c r="B5" s="1">
        <v>0</v>
      </c>
      <c r="C5" t="s">
        <v>557</v>
      </c>
      <c r="D5" s="3">
        <v>0</v>
      </c>
    </row>
    <row r="6" spans="1:9" x14ac:dyDescent="0.25">
      <c r="A6" t="s">
        <v>1177</v>
      </c>
      <c r="B6" s="1">
        <v>0</v>
      </c>
      <c r="C6" t="s">
        <v>1178</v>
      </c>
      <c r="D6" s="3">
        <v>0</v>
      </c>
    </row>
    <row r="7" spans="1:9" x14ac:dyDescent="0.25">
      <c r="A7" t="s">
        <v>1179</v>
      </c>
      <c r="B7" s="1">
        <v>0</v>
      </c>
      <c r="C7" t="s">
        <v>1180</v>
      </c>
      <c r="D7" s="3">
        <v>0</v>
      </c>
    </row>
    <row r="8" spans="1:9" x14ac:dyDescent="0.25">
      <c r="A8" t="s">
        <v>1181</v>
      </c>
      <c r="B8" s="1" t="b">
        <v>0</v>
      </c>
      <c r="C8" t="s">
        <v>1182</v>
      </c>
      <c r="D8" s="3">
        <v>0</v>
      </c>
    </row>
    <row r="9" spans="1:9" x14ac:dyDescent="0.25">
      <c r="A9" t="s">
        <v>1183</v>
      </c>
      <c r="B9" s="1">
        <v>0</v>
      </c>
      <c r="C9" t="s">
        <v>1184</v>
      </c>
      <c r="D9" s="3" t="s">
        <v>1185</v>
      </c>
    </row>
    <row r="10" spans="1:9" x14ac:dyDescent="0.25">
      <c r="C10" t="s">
        <v>1186</v>
      </c>
      <c r="D10" s="3">
        <v>0</v>
      </c>
    </row>
    <row r="11" spans="1:9" x14ac:dyDescent="0.25">
      <c r="C11" t="s">
        <v>1187</v>
      </c>
      <c r="D11" s="3">
        <v>3</v>
      </c>
    </row>
    <row r="12" spans="1:9" x14ac:dyDescent="0.25">
      <c r="C12" t="s">
        <v>1188</v>
      </c>
      <c r="D12" s="3">
        <v>0</v>
      </c>
    </row>
    <row r="13" spans="1:9" x14ac:dyDescent="0.25">
      <c r="C13" t="s">
        <v>550</v>
      </c>
      <c r="D13" s="3"/>
    </row>
    <row r="14" spans="1:9" x14ac:dyDescent="0.25">
      <c r="C14" t="s">
        <v>1189</v>
      </c>
      <c r="D14" s="3" t="s">
        <v>641</v>
      </c>
    </row>
    <row r="15" spans="1:9" x14ac:dyDescent="0.25">
      <c r="C15" t="s">
        <v>1190</v>
      </c>
      <c r="D15" s="3">
        <v>1</v>
      </c>
    </row>
    <row r="16" spans="1:9" x14ac:dyDescent="0.25">
      <c r="C16" t="s">
        <v>1191</v>
      </c>
      <c r="D16" s="3">
        <v>1</v>
      </c>
    </row>
    <row r="17" spans="3:4" x14ac:dyDescent="0.25">
      <c r="C17" t="s">
        <v>1192</v>
      </c>
      <c r="D17" s="3">
        <v>8</v>
      </c>
    </row>
    <row r="18" spans="3:4" x14ac:dyDescent="0.25">
      <c r="C18" t="s">
        <v>1193</v>
      </c>
      <c r="D18" s="3" t="s">
        <v>1194</v>
      </c>
    </row>
    <row r="19" spans="3:4" x14ac:dyDescent="0.25">
      <c r="C19" t="s">
        <v>1195</v>
      </c>
      <c r="D19" s="3">
        <v>0</v>
      </c>
    </row>
    <row r="20" spans="3:4" x14ac:dyDescent="0.25">
      <c r="C20" t="s">
        <v>558</v>
      </c>
      <c r="D20" s="3">
        <v>32003</v>
      </c>
    </row>
    <row r="21" spans="3:4" x14ac:dyDescent="0.25">
      <c r="C21" t="s">
        <v>1196</v>
      </c>
      <c r="D21" s="3">
        <v>0</v>
      </c>
    </row>
    <row r="22" spans="3:4" x14ac:dyDescent="0.25">
      <c r="C22" t="s">
        <v>1197</v>
      </c>
      <c r="D22" s="3">
        <v>0</v>
      </c>
    </row>
    <row r="23" spans="3:4" x14ac:dyDescent="0.25">
      <c r="C23" t="s">
        <v>1198</v>
      </c>
      <c r="D23" s="3">
        <v>0</v>
      </c>
    </row>
    <row r="24" spans="3:4" x14ac:dyDescent="0.25">
      <c r="C24" t="s">
        <v>1199</v>
      </c>
      <c r="D24" s="3" t="s">
        <v>1164</v>
      </c>
    </row>
    <row r="25" spans="3:4" x14ac:dyDescent="0.25">
      <c r="C25" t="s">
        <v>1200</v>
      </c>
      <c r="D25" s="3">
        <v>-8</v>
      </c>
    </row>
    <row r="26" spans="3:4" x14ac:dyDescent="0.25">
      <c r="C26" t="s">
        <v>1201</v>
      </c>
      <c r="D26" s="3">
        <v>16</v>
      </c>
    </row>
    <row r="27" spans="3:4" x14ac:dyDescent="0.25">
      <c r="C27" t="s">
        <v>1202</v>
      </c>
      <c r="D27" s="3">
        <v>0</v>
      </c>
    </row>
    <row r="28" spans="3:4" x14ac:dyDescent="0.25">
      <c r="C28" t="s">
        <v>1203</v>
      </c>
      <c r="D28" s="3">
        <v>0</v>
      </c>
    </row>
    <row r="29" spans="3:4" x14ac:dyDescent="0.25">
      <c r="C29" t="s">
        <v>1204</v>
      </c>
      <c r="D29" s="3" t="b">
        <v>1</v>
      </c>
    </row>
    <row r="30" spans="3:4" x14ac:dyDescent="0.25">
      <c r="C30" t="s">
        <v>1205</v>
      </c>
      <c r="D30" s="3" t="s">
        <v>1206</v>
      </c>
    </row>
    <row r="31" spans="3:4" x14ac:dyDescent="0.25">
      <c r="C31" t="s">
        <v>1207</v>
      </c>
      <c r="D31" s="3">
        <v>1</v>
      </c>
    </row>
    <row r="32" spans="3:4" x14ac:dyDescent="0.25">
      <c r="C32" t="s">
        <v>1208</v>
      </c>
      <c r="D32" s="3">
        <v>0</v>
      </c>
    </row>
    <row r="33" spans="3:4" x14ac:dyDescent="0.25">
      <c r="C33" t="s">
        <v>1209</v>
      </c>
      <c r="D33" s="3">
        <v>1</v>
      </c>
    </row>
    <row r="34" spans="3:4" x14ac:dyDescent="0.25">
      <c r="C34" t="s">
        <v>1210</v>
      </c>
      <c r="D34" s="3" t="s">
        <v>1164</v>
      </c>
    </row>
    <row r="35" spans="3:4" x14ac:dyDescent="0.25">
      <c r="C35" t="s">
        <v>1211</v>
      </c>
      <c r="D35" s="3" t="s">
        <v>1212</v>
      </c>
    </row>
    <row r="36" spans="3:4" x14ac:dyDescent="0.25">
      <c r="C36" t="s">
        <v>1213</v>
      </c>
      <c r="D36" s="3" t="s">
        <v>1214</v>
      </c>
    </row>
    <row r="37" spans="3:4" x14ac:dyDescent="0.25">
      <c r="C37" t="s">
        <v>1215</v>
      </c>
      <c r="D37" s="3" t="b">
        <v>0</v>
      </c>
    </row>
    <row r="38" spans="3:4" x14ac:dyDescent="0.25">
      <c r="C38" t="s">
        <v>1216</v>
      </c>
      <c r="D38" s="3" t="b">
        <v>1</v>
      </c>
    </row>
    <row r="39" spans="3:4" x14ac:dyDescent="0.25">
      <c r="C39" t="s">
        <v>1217</v>
      </c>
      <c r="D39" s="3" t="b">
        <v>0</v>
      </c>
    </row>
    <row r="40" spans="3:4" x14ac:dyDescent="0.25">
      <c r="C40" t="s">
        <v>1218</v>
      </c>
      <c r="D40" s="3" t="b">
        <v>0</v>
      </c>
    </row>
    <row r="41" spans="3:4" x14ac:dyDescent="0.25">
      <c r="C41" t="s">
        <v>1219</v>
      </c>
      <c r="D41" s="3" t="b">
        <v>1</v>
      </c>
    </row>
    <row r="42" spans="3:4" x14ac:dyDescent="0.25">
      <c r="C42" t="s">
        <v>1220</v>
      </c>
      <c r="D42" s="3" t="b">
        <v>0</v>
      </c>
    </row>
    <row r="43" spans="3:4" x14ac:dyDescent="0.25">
      <c r="C43" t="s">
        <v>1221</v>
      </c>
      <c r="D43" s="3" t="b">
        <v>0</v>
      </c>
    </row>
    <row r="44" spans="3:4" x14ac:dyDescent="0.25">
      <c r="C44" t="s">
        <v>1222</v>
      </c>
      <c r="D44" s="3">
        <v>0</v>
      </c>
    </row>
    <row r="45" spans="3:4" x14ac:dyDescent="0.25">
      <c r="C45" t="s">
        <v>1223</v>
      </c>
      <c r="D45" s="3" t="s">
        <v>1224</v>
      </c>
    </row>
    <row r="46" spans="3:4" x14ac:dyDescent="0.25">
      <c r="C46" t="s">
        <v>1225</v>
      </c>
      <c r="D46" s="3">
        <v>0</v>
      </c>
    </row>
    <row r="47" spans="3:4" x14ac:dyDescent="0.25">
      <c r="C47" t="s">
        <v>1226</v>
      </c>
      <c r="D47" s="3">
        <v>3</v>
      </c>
    </row>
    <row r="48" spans="3:4" x14ac:dyDescent="0.25">
      <c r="C48" t="s">
        <v>1227</v>
      </c>
      <c r="D48" s="3" t="s">
        <v>1228</v>
      </c>
    </row>
    <row r="49" spans="1:4" x14ac:dyDescent="0.25">
      <c r="C49" t="s">
        <v>1229</v>
      </c>
      <c r="D49" s="3" t="b">
        <v>0</v>
      </c>
    </row>
    <row r="50" spans="1:4" x14ac:dyDescent="0.25">
      <c r="A50" t="s">
        <v>1230</v>
      </c>
      <c r="D50" s="3">
        <v>65500</v>
      </c>
    </row>
    <row r="51" spans="1:4" x14ac:dyDescent="0.25">
      <c r="D51" s="3">
        <v>1</v>
      </c>
    </row>
    <row r="52" spans="1:4" x14ac:dyDescent="0.25">
      <c r="D52" s="3">
        <v>-1</v>
      </c>
    </row>
    <row r="53" spans="1:4" x14ac:dyDescent="0.25">
      <c r="D53" s="3"/>
    </row>
    <row r="54" spans="1:4" x14ac:dyDescent="0.25">
      <c r="D54" s="3">
        <v>0</v>
      </c>
    </row>
    <row r="55" spans="1:4" x14ac:dyDescent="0.25">
      <c r="D55" s="3" t="s">
        <v>1228</v>
      </c>
    </row>
    <row r="56" spans="1:4" x14ac:dyDescent="0.25">
      <c r="D56" s="3">
        <v>1</v>
      </c>
    </row>
    <row r="57" spans="1:4" x14ac:dyDescent="0.25">
      <c r="D57" s="3">
        <v>0</v>
      </c>
    </row>
    <row r="58" spans="1:4" x14ac:dyDescent="0.25">
      <c r="D58" s="3">
        <v>0</v>
      </c>
    </row>
    <row r="59" spans="1:4" x14ac:dyDescent="0.25">
      <c r="D59" s="3">
        <v>1</v>
      </c>
    </row>
    <row r="60" spans="1:4" x14ac:dyDescent="0.25">
      <c r="D60" s="3">
        <v>0</v>
      </c>
    </row>
    <row r="61" spans="1:4" x14ac:dyDescent="0.25">
      <c r="D61" s="3"/>
    </row>
    <row r="62" spans="1:4" x14ac:dyDescent="0.25">
      <c r="D62" s="3">
        <v>1</v>
      </c>
    </row>
    <row r="63" spans="1:4" x14ac:dyDescent="0.25">
      <c r="D63" s="3" t="b">
        <v>0</v>
      </c>
    </row>
  </sheetData>
  <dataConsolidate link="1"/>
  <phoneticPr fontId="0" type="noConversion"/>
  <pageMargins left="0.75" right="0.75" top="1" bottom="1" header="0.5" footer="0.5"/>
  <pageSetup paperSize="9" orientation="portrait" r:id="rId1"/>
  <headerFooter alignWithMargins="0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4C59AFA96C62744296E59F2E9F3265CB" ma:contentTypeVersion="13" ma:contentTypeDescription="Crie um novo documento." ma:contentTypeScope="" ma:versionID="86a555896a1443e104e3872dcb8088de">
  <xsd:schema xmlns:xsd="http://www.w3.org/2001/XMLSchema" xmlns:xs="http://www.w3.org/2001/XMLSchema" xmlns:p="http://schemas.microsoft.com/office/2006/metadata/properties" xmlns:ns2="480eed6c-8c6a-455f-8b68-fab34daa9c94" xmlns:ns3="903036b2-f8dc-4ca8-82df-457cf2fff651" targetNamespace="http://schemas.microsoft.com/office/2006/metadata/properties" ma:root="true" ma:fieldsID="857c118f439d84d1c0d36d6966b1377e" ns2:_="" ns3:_="">
    <xsd:import namespace="480eed6c-8c6a-455f-8b68-fab34daa9c94"/>
    <xsd:import namespace="903036b2-f8dc-4ca8-82df-457cf2fff651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SearchProperties" minOccurs="0"/>
                <xsd:element ref="ns3:SharedWithUsers" minOccurs="0"/>
                <xsd:element ref="ns3:SharedWithDetails" minOccurs="0"/>
                <xsd:element ref="ns2:MediaServiceDateTake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80eed6c-8c6a-455f-8b68-fab34daa9c9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2" nillable="true" ma:taxonomy="true" ma:internalName="lcf76f155ced4ddcb4097134ff3c332f" ma:taxonomyFieldName="MediaServiceImageTags" ma:displayName="Marcações de imagem" ma:readOnly="false" ma:fieldId="{5cf76f15-5ced-4ddc-b409-7134ff3c332f}" ma:taxonomyMulti="true" ma:sspId="5103c4ab-04ed-4a1f-bb47-9362306674cb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4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SearchProperties" ma:index="17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20" nillable="true" ma:displayName="MediaServiceDateTaken" ma:hidden="true" ma:indexed="true" ma:internalName="MediaServiceDateTake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03036b2-f8dc-4ca8-82df-457cf2fff651" elementFormDefault="qualified">
    <xsd:import namespace="http://schemas.microsoft.com/office/2006/documentManagement/types"/>
    <xsd:import namespace="http://schemas.microsoft.com/office/infopath/2007/PartnerControls"/>
    <xsd:element name="TaxCatchAll" ma:index="13" nillable="true" ma:displayName="Taxonomy Catch All Column" ma:hidden="true" ma:list="{671d7225-7c32-4489-b6da-c381a375bb6a}" ma:internalName="TaxCatchAll" ma:showField="CatchAllData" ma:web="903036b2-f8dc-4ca8-82df-457cf2fff651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18" nillable="true" ma:displayName="Compartilhado com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Detalhes de Compartilhado Com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903036b2-f8dc-4ca8-82df-457cf2fff651" xsi:nil="true"/>
    <lcf76f155ced4ddcb4097134ff3c332f xmlns="480eed6c-8c6a-455f-8b68-fab34daa9c94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F9A90F37-8203-4C74-8660-CA8E14D9DA10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3250CFFE-4017-40F2-A688-561B526304B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80eed6c-8c6a-455f-8b68-fab34daa9c94"/>
    <ds:schemaRef ds:uri="903036b2-f8dc-4ca8-82df-457cf2fff651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4EB47C98-93F7-4FB9-8CDE-3903E49B1B55}">
  <ds:schemaRefs>
    <ds:schemaRef ds:uri="http://schemas.microsoft.com/office/2006/metadata/properties"/>
    <ds:schemaRef ds:uri="http://schemas.microsoft.com/office/infopath/2007/PartnerControls"/>
    <ds:schemaRef ds:uri="903036b2-f8dc-4ca8-82df-457cf2fff651"/>
    <ds:schemaRef ds:uri="e1991269-c87a-4196-bfa3-fea0392afde5"/>
    <ds:schemaRef ds:uri="480eed6c-8c6a-455f-8b68-fab34daa9c94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17</vt:i4>
      </vt:variant>
      <vt:variant>
        <vt:lpstr>Named Ranges</vt:lpstr>
      </vt:variant>
      <vt:variant>
        <vt:i4>239</vt:i4>
      </vt:variant>
    </vt:vector>
  </HeadingPairs>
  <TitlesOfParts>
    <vt:vector size="256" baseType="lpstr">
      <vt:lpstr>Histórico</vt:lpstr>
      <vt:lpstr>Main</vt:lpstr>
      <vt:lpstr>Consulta</vt:lpstr>
      <vt:lpstr>Values</vt:lpstr>
      <vt:lpstr>MCV e Guindaste</vt:lpstr>
      <vt:lpstr>Bending Stiffness</vt:lpstr>
      <vt:lpstr>CVD_Script_Table</vt:lpstr>
      <vt:lpstr>1st_Post_Processing</vt:lpstr>
      <vt:lpstr>2nd_Post_Processing</vt:lpstr>
      <vt:lpstr>Auxiliar1</vt:lpstr>
      <vt:lpstr>Auxiliar2</vt:lpstr>
      <vt:lpstr>Auxiliar3</vt:lpstr>
      <vt:lpstr>Auxiliar4</vt:lpstr>
      <vt:lpstr>Data</vt:lpstr>
      <vt:lpstr>Results</vt:lpstr>
      <vt:lpstr>Esforços</vt:lpstr>
      <vt:lpstr>TQF</vt:lpstr>
      <vt:lpstr>_attachment_type</vt:lpstr>
      <vt:lpstr>_dvc_type</vt:lpstr>
      <vt:lpstr>_has_bend_restrictor</vt:lpstr>
      <vt:lpstr>_has_dredging</vt:lpstr>
      <vt:lpstr>_last_update</vt:lpstr>
      <vt:lpstr>_lda</vt:lpstr>
      <vt:lpstr>_orcaflex_version</vt:lpstr>
      <vt:lpstr>_rt_number</vt:lpstr>
      <vt:lpstr>_rt_rev</vt:lpstr>
      <vt:lpstr>_total_buoyant</vt:lpstr>
      <vt:lpstr>bs_is_reduction_hid</vt:lpstr>
      <vt:lpstr>bs_is_reduction_lan</vt:lpstr>
      <vt:lpstr>bs_is_reduction_ope</vt:lpstr>
      <vt:lpstr>bs_npoints_hid</vt:lpstr>
      <vt:lpstr>bs_npoints_lan</vt:lpstr>
      <vt:lpstr>bs_npoints_ope</vt:lpstr>
      <vt:lpstr>bs_reduction_percentage_hid</vt:lpstr>
      <vt:lpstr>bs_reduction_percentage_lan</vt:lpstr>
      <vt:lpstr>bs_reduction_percentage_ope</vt:lpstr>
      <vt:lpstr>case3i_heave_ex_shear_force_max</vt:lpstr>
      <vt:lpstr>case3i_heave_ex_shear_force_min</vt:lpstr>
      <vt:lpstr>case3i_heave_ey_moment_max</vt:lpstr>
      <vt:lpstr>case3i_heave_ey_moment_min</vt:lpstr>
      <vt:lpstr>case3i_heave_ez_axial_max</vt:lpstr>
      <vt:lpstr>case3i_heave_ez_axial_min</vt:lpstr>
      <vt:lpstr>case3ii_toque_ex_shear_force_max</vt:lpstr>
      <vt:lpstr>case3ii_toque_ey_moment_max</vt:lpstr>
      <vt:lpstr>case3ii_toque_ez_axial_max</vt:lpstr>
      <vt:lpstr>case4_et_result_ex_shear_force_with_buoys</vt:lpstr>
      <vt:lpstr>case4_et_result_ex_shear_force_without_buoys</vt:lpstr>
      <vt:lpstr>case4_et_result_ey_moment_with_buoys</vt:lpstr>
      <vt:lpstr>case4_et_result_ey_moment_without_buoys</vt:lpstr>
      <vt:lpstr>case4_et_result_ez_axial_with_buoys</vt:lpstr>
      <vt:lpstr>case4_et_result_ez_axial_without_buoys</vt:lpstr>
      <vt:lpstr>case4_m0_with_buoys</vt:lpstr>
      <vt:lpstr>case4_m0_without_buoys</vt:lpstr>
      <vt:lpstr>case4_m1_with_buoys</vt:lpstr>
      <vt:lpstr>case4_m1_without_buoys</vt:lpstr>
      <vt:lpstr>case4_m2_with_buoys</vt:lpstr>
      <vt:lpstr>case4_m2_without_buoys</vt:lpstr>
      <vt:lpstr>case4_t0_with_buoys</vt:lpstr>
      <vt:lpstr>case4_t0_without_buoys</vt:lpstr>
      <vt:lpstr>case4_t1_with_buoys</vt:lpstr>
      <vt:lpstr>case4_t1_without_buoys</vt:lpstr>
      <vt:lpstr>case4_t2_with_buoys</vt:lpstr>
      <vt:lpstr>case4_t2_without_buoys</vt:lpstr>
      <vt:lpstr>case4_test_line_pressure</vt:lpstr>
      <vt:lpstr>case4_v0_with_buoys</vt:lpstr>
      <vt:lpstr>case4_v0_without_buoys</vt:lpstr>
      <vt:lpstr>case4_v1_with_buoys</vt:lpstr>
      <vt:lpstr>case4_v1_without_buoys</vt:lpstr>
      <vt:lpstr>case4_v2_with_buoys</vt:lpstr>
      <vt:lpstr>case4_v2_without_buoys</vt:lpstr>
      <vt:lpstr>case5_et_result_ex_shear_force</vt:lpstr>
      <vt:lpstr>case5_et_result_ey_moment</vt:lpstr>
      <vt:lpstr>case5_et_result_ez_axial</vt:lpstr>
      <vt:lpstr>case5_m2_without_buoys</vt:lpstr>
      <vt:lpstr>case5_operation_line_density</vt:lpstr>
      <vt:lpstr>case5_operation_line_pressure</vt:lpstr>
      <vt:lpstr>case5_t2_without_buoys</vt:lpstr>
      <vt:lpstr>case5_v2_without_buoys</vt:lpstr>
      <vt:lpstr>cont1_bm_vert</vt:lpstr>
      <vt:lpstr>cont1_buoyancy</vt:lpstr>
      <vt:lpstr>cont1_ey_moment</vt:lpstr>
      <vt:lpstr>cont1_mbr_line</vt:lpstr>
      <vt:lpstr>cont1_mbr_vert</vt:lpstr>
      <vt:lpstr>cont1_sf_line_endb</vt:lpstr>
      <vt:lpstr>cont1_sf_vert</vt:lpstr>
      <vt:lpstr>cont1_z_buoys</vt:lpstr>
      <vt:lpstr>cont2_bm_vert</vt:lpstr>
      <vt:lpstr>cont2_buoyancy</vt:lpstr>
      <vt:lpstr>cont2_ey_moment</vt:lpstr>
      <vt:lpstr>cont2_mbr_line</vt:lpstr>
      <vt:lpstr>cont2_mbr_vert</vt:lpstr>
      <vt:lpstr>cont2_sf_line_endb</vt:lpstr>
      <vt:lpstr>cont2_sf_vert</vt:lpstr>
      <vt:lpstr>cont2_z_buoys</vt:lpstr>
      <vt:lpstr>data_line_nominal_diameter</vt:lpstr>
      <vt:lpstr>dredging_dimension_A</vt:lpstr>
      <vt:lpstr>dredging_dimension_B</vt:lpstr>
      <vt:lpstr>dredging_dimension_C</vt:lpstr>
      <vt:lpstr>dredging_dimension_D</vt:lpstr>
      <vt:lpstr>dredging_dimension_E</vt:lpstr>
      <vt:lpstr>dredging_dimension_F</vt:lpstr>
      <vt:lpstr>droplist_casos</vt:lpstr>
      <vt:lpstr>droplist_line_type</vt:lpstr>
      <vt:lpstr>dynamic_altura_corc</vt:lpstr>
      <vt:lpstr>dynamic_axial_force_cabr1</vt:lpstr>
      <vt:lpstr>dynamic_axial_force_cabr2</vt:lpstr>
      <vt:lpstr>dynamic_bm_vert</vt:lpstr>
      <vt:lpstr>dynamic_heave_up</vt:lpstr>
      <vt:lpstr>dynamic_mbr_line_case_3i</vt:lpstr>
      <vt:lpstr>dynamic_mbr_line_whole_simulation</vt:lpstr>
      <vt:lpstr>dynamic_mbr_vert</vt:lpstr>
      <vt:lpstr>dynamic_sf_vert</vt:lpstr>
      <vt:lpstr>filename_2nd_hmax</vt:lpstr>
      <vt:lpstr>filename_2nd_puxada</vt:lpstr>
      <vt:lpstr>filename_cont</vt:lpstr>
      <vt:lpstr>filename_dredging</vt:lpstr>
      <vt:lpstr>filename_static</vt:lpstr>
      <vt:lpstr>hmax1_altura_corc</vt:lpstr>
      <vt:lpstr>hmax1_arclength_line_endb</vt:lpstr>
      <vt:lpstr>hmax1_arclength_line_touchdown</vt:lpstr>
      <vt:lpstr>hmax1_axial_force_cabr1</vt:lpstr>
      <vt:lpstr>hmax1_axial_force_cabr2</vt:lpstr>
      <vt:lpstr>hmax1_bm_vert</vt:lpstr>
      <vt:lpstr>hmax1_comp_susp</vt:lpstr>
      <vt:lpstr>hmax1_dist_flange</vt:lpstr>
      <vt:lpstr>hmax1_dist_flange_cabrestante1</vt:lpstr>
      <vt:lpstr>hmax1_dist_flange_cabrestante2</vt:lpstr>
      <vt:lpstr>hmax1_dist_tdp_flange</vt:lpstr>
      <vt:lpstr>hmax1_ex_shear_force</vt:lpstr>
      <vt:lpstr>hmax1_ey_moment</vt:lpstr>
      <vt:lpstr>hmax1_inclinacao_mcv</vt:lpstr>
      <vt:lpstr>hmax1_mbr_line</vt:lpstr>
      <vt:lpstr>hmax1_mbr_vert</vt:lpstr>
      <vt:lpstr>hmax1_overlength</vt:lpstr>
      <vt:lpstr>hmax1_sf_vert</vt:lpstr>
      <vt:lpstr>hmax1_x_line_endb</vt:lpstr>
      <vt:lpstr>hmax1_x_line_touchdown</vt:lpstr>
      <vt:lpstr>hmax1_z_line_endb</vt:lpstr>
      <vt:lpstr>hmax2_altura_corc</vt:lpstr>
      <vt:lpstr>hmax2_arclength_line_endb</vt:lpstr>
      <vt:lpstr>hmax2_arclength_line_touchdown</vt:lpstr>
      <vt:lpstr>hmax2_axial_force_cabr1</vt:lpstr>
      <vt:lpstr>hmax2_axial_force_cabr2</vt:lpstr>
      <vt:lpstr>hmax2_bm_vert</vt:lpstr>
      <vt:lpstr>hmax2_comp_susp</vt:lpstr>
      <vt:lpstr>hmax2_dist_flange</vt:lpstr>
      <vt:lpstr>hmax2_dist_flange_cabrestante1</vt:lpstr>
      <vt:lpstr>hmax2_dist_flange_cabrestante2</vt:lpstr>
      <vt:lpstr>hmax2_dist_tdp_flange</vt:lpstr>
      <vt:lpstr>hmax2_ex_shear_force</vt:lpstr>
      <vt:lpstr>hmax2_ey_moment</vt:lpstr>
      <vt:lpstr>hmax2_inclinacao_mcv</vt:lpstr>
      <vt:lpstr>hmax2_mbr_line</vt:lpstr>
      <vt:lpstr>hmax2_mbr_vert</vt:lpstr>
      <vt:lpstr>hmax2_overlength</vt:lpstr>
      <vt:lpstr>hmax2_sf_vert</vt:lpstr>
      <vt:lpstr>hmax2_x_line_endb</vt:lpstr>
      <vt:lpstr>hmax2_x_line_touchdown</vt:lpstr>
      <vt:lpstr>hmax2_z_line_endb</vt:lpstr>
      <vt:lpstr>postproc_arclength_cabrestante2</vt:lpstr>
      <vt:lpstr>postproc_case3ii_time_toque_solo</vt:lpstr>
      <vt:lpstr>postproc_case3ii_time_toque_solo_preview</vt:lpstr>
      <vt:lpstr>postproc_check_filling</vt:lpstr>
      <vt:lpstr>preliminary_dynamic_bm_vert</vt:lpstr>
      <vt:lpstr>preliminary_dynamic_mbr_line</vt:lpstr>
      <vt:lpstr>preliminary_dynamic_mbr_vert</vt:lpstr>
      <vt:lpstr>preliminary_dynamic_sf_vert</vt:lpstr>
      <vt:lpstr>preliminary_heave_ex_shear_force_max</vt:lpstr>
      <vt:lpstr>preliminary_heave_ex_shear_force_min</vt:lpstr>
      <vt:lpstr>preliminary_heave_ey_moment_max</vt:lpstr>
      <vt:lpstr>preliminary_heave_ey_moment_min</vt:lpstr>
      <vt:lpstr>preliminary_heave_ez_axial_max</vt:lpstr>
      <vt:lpstr>preliminary_heave_ez_axial_min</vt:lpstr>
      <vt:lpstr>preliminary_static_bm_vert</vt:lpstr>
      <vt:lpstr>preliminary_static_ex_force</vt:lpstr>
      <vt:lpstr>preliminary_static_ey_moment</vt:lpstr>
      <vt:lpstr>preliminary_static_mbr_line</vt:lpstr>
      <vt:lpstr>preliminary_static_mbr_vert</vt:lpstr>
      <vt:lpstr>preliminary_static_sf_vert</vt:lpstr>
      <vt:lpstr>preliminary_toque_ex_shear_force_max</vt:lpstr>
      <vt:lpstr>preliminary_toque_ey_moment_max</vt:lpstr>
      <vt:lpstr>preliminary_toque_ez_axial_max</vt:lpstr>
      <vt:lpstr>puxada_axial_force_cabr1</vt:lpstr>
      <vt:lpstr>puxada_axial_force_cabr2</vt:lpstr>
      <vt:lpstr>puxada_bm_vert</vt:lpstr>
      <vt:lpstr>puxada_ex_shear_force_max</vt:lpstr>
      <vt:lpstr>puxada_ex_shear_force_min</vt:lpstr>
      <vt:lpstr>puxada_ey_moment_max</vt:lpstr>
      <vt:lpstr>puxada_ey_moment_min</vt:lpstr>
      <vt:lpstr>puxada_ez_axial_max</vt:lpstr>
      <vt:lpstr>puxada_ez_axial_min</vt:lpstr>
      <vt:lpstr>puxada_mbr_line</vt:lpstr>
      <vt:lpstr>puxada_mbr_vert</vt:lpstr>
      <vt:lpstr>puxada_puxada</vt:lpstr>
      <vt:lpstr>puxada_recolh</vt:lpstr>
      <vt:lpstr>puxada_sf_vert</vt:lpstr>
      <vt:lpstr>puxada_stage_value_ar</vt:lpstr>
      <vt:lpstr>report_bm_adm_vert</vt:lpstr>
      <vt:lpstr>report_connection_type</vt:lpstr>
      <vt:lpstr>report_copy_to</vt:lpstr>
      <vt:lpstr>report_dist_eqsb</vt:lpstr>
      <vt:lpstr>report_edr</vt:lpstr>
      <vt:lpstr>report_initials_aprover</vt:lpstr>
      <vt:lpstr>report_initials_engineer</vt:lpstr>
      <vt:lpstr>report_initials_reviewer</vt:lpstr>
      <vt:lpstr>report_length_bendrestrictor</vt:lpstr>
      <vt:lpstr>report_line_type</vt:lpstr>
      <vt:lpstr>report_mbr_line_rl</vt:lpstr>
      <vt:lpstr>report_mbr_vert_rl</vt:lpstr>
      <vt:lpstr>report_name_adaptador</vt:lpstr>
      <vt:lpstr>report_name_bend_restrictor</vt:lpstr>
      <vt:lpstr>report_name_end_fitting</vt:lpstr>
      <vt:lpstr>report_name_field</vt:lpstr>
      <vt:lpstr>report_name_structure</vt:lpstr>
      <vt:lpstr>report_name_vcm</vt:lpstr>
      <vt:lpstr>report_name_vessel</vt:lpstr>
      <vt:lpstr>report_name_well</vt:lpstr>
      <vt:lpstr>report_requester</vt:lpstr>
      <vt:lpstr>report_rl_doc</vt:lpstr>
      <vt:lpstr>report_rl_rev</vt:lpstr>
      <vt:lpstr>report_rl_title</vt:lpstr>
      <vt:lpstr>report_rt_doc</vt:lpstr>
      <vt:lpstr>report_rt_rev</vt:lpstr>
      <vt:lpstr>report_rt_title</vt:lpstr>
      <vt:lpstr>report_sf_adm_vert</vt:lpstr>
      <vt:lpstr>report_version_report</vt:lpstr>
      <vt:lpstr>report_vessel_coordinator1</vt:lpstr>
      <vt:lpstr>report_vessel_coordinator2</vt:lpstr>
      <vt:lpstr>script_table_end_row</vt:lpstr>
      <vt:lpstr>script_table_hid_first_row</vt:lpstr>
      <vt:lpstr>script_table_lan_first_row</vt:lpstr>
      <vt:lpstr>script_table_ope_first_row</vt:lpstr>
      <vt:lpstr>static_altura_corc</vt:lpstr>
      <vt:lpstr>static_bm_vert</vt:lpstr>
      <vt:lpstr>static_comp_lingada1</vt:lpstr>
      <vt:lpstr>static_comp_lingada2</vt:lpstr>
      <vt:lpstr>static_comp_susp</vt:lpstr>
      <vt:lpstr>static_dist_flange</vt:lpstr>
      <vt:lpstr>static_dist_flange_cabrestante</vt:lpstr>
      <vt:lpstr>static_dist_mcv_origem</vt:lpstr>
      <vt:lpstr>static_dist_tdp_flange</vt:lpstr>
      <vt:lpstr>static_ex_shear_force</vt:lpstr>
      <vt:lpstr>static_ey_moment</vt:lpstr>
      <vt:lpstr>static_ez_axial</vt:lpstr>
      <vt:lpstr>static_inclinacao_mcv</vt:lpstr>
      <vt:lpstr>static_mbr_line</vt:lpstr>
      <vt:lpstr>static_mbr_vert</vt:lpstr>
      <vt:lpstr>static_n_att</vt:lpstr>
      <vt:lpstr>static_overlength</vt:lpstr>
      <vt:lpstr>static_position_corc1</vt:lpstr>
      <vt:lpstr>static_position_corc2</vt:lpstr>
      <vt:lpstr>static_sbed_clear</vt:lpstr>
      <vt:lpstr>static_sbed_clear_line</vt:lpstr>
      <vt:lpstr>static_sbed_clear_vert</vt:lpstr>
      <vt:lpstr>static_sf_vert</vt:lpstr>
      <vt:lpstr>static_stage_value_ar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OrcaFlex Spreadsheet</dc:title>
  <dc:subject/>
  <dc:creator>OOG</dc:creator>
  <cp:keywords/>
  <dc:description/>
  <cp:lastModifiedBy>Daniel Wanderley</cp:lastModifiedBy>
  <cp:revision/>
  <dcterms:created xsi:type="dcterms:W3CDTF">1998-07-24T09:46:18Z</dcterms:created>
  <dcterms:modified xsi:type="dcterms:W3CDTF">2026-08-19T16:46:32Z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3b48b937-0ae3-46f5-b32e-f3232b5be847_Enabled">
    <vt:lpwstr>True</vt:lpwstr>
  </property>
  <property fmtid="{D5CDD505-2E9C-101B-9397-08002B2CF9AE}" pid="3" name="MSIP_Label_3b48b937-0ae3-46f5-b32e-f3232b5be847_SiteId">
    <vt:lpwstr>9179d01a-e94c-4488-b5f0-4554bc474f8c</vt:lpwstr>
  </property>
  <property fmtid="{D5CDD505-2E9C-101B-9397-08002B2CF9AE}" pid="4" name="MSIP_Label_3b48b937-0ae3-46f5-b32e-f3232b5be847_Owner">
    <vt:lpwstr>arthur.dealmeida@technipfmc.com</vt:lpwstr>
  </property>
  <property fmtid="{D5CDD505-2E9C-101B-9397-08002B2CF9AE}" pid="5" name="MSIP_Label_3b48b937-0ae3-46f5-b32e-f3232b5be847_SetDate">
    <vt:lpwstr>2019-06-27T22:03:48.6341182Z</vt:lpwstr>
  </property>
  <property fmtid="{D5CDD505-2E9C-101B-9397-08002B2CF9AE}" pid="6" name="MSIP_Label_3b48b937-0ae3-46f5-b32e-f3232b5be847_Name">
    <vt:lpwstr>General</vt:lpwstr>
  </property>
  <property fmtid="{D5CDD505-2E9C-101B-9397-08002B2CF9AE}" pid="7" name="MSIP_Label_3b48b937-0ae3-46f5-b32e-f3232b5be847_Application">
    <vt:lpwstr>Microsoft Azure Information Protection</vt:lpwstr>
  </property>
  <property fmtid="{D5CDD505-2E9C-101B-9397-08002B2CF9AE}" pid="8" name="MSIP_Label_3b48b937-0ae3-46f5-b32e-f3232b5be847_Extended_MSFT_Method">
    <vt:lpwstr>Automatic</vt:lpwstr>
  </property>
  <property fmtid="{D5CDD505-2E9C-101B-9397-08002B2CF9AE}" pid="9" name="MSIP_Label_8caabacf-b917-4a45-9a5f-ed3a53d2eeb7_Enabled">
    <vt:lpwstr>true</vt:lpwstr>
  </property>
  <property fmtid="{D5CDD505-2E9C-101B-9397-08002B2CF9AE}" pid="10" name="MSIP_Label_8caabacf-b917-4a45-9a5f-ed3a53d2eeb7_SetDate">
    <vt:lpwstr>2021-10-27T18:09:06Z</vt:lpwstr>
  </property>
  <property fmtid="{D5CDD505-2E9C-101B-9397-08002B2CF9AE}" pid="11" name="MSIP_Label_8caabacf-b917-4a45-9a5f-ed3a53d2eeb7_Method">
    <vt:lpwstr>Standard</vt:lpwstr>
  </property>
  <property fmtid="{D5CDD505-2E9C-101B-9397-08002B2CF9AE}" pid="12" name="MSIP_Label_8caabacf-b917-4a45-9a5f-ed3a53d2eeb7_Name">
    <vt:lpwstr>Anyone - No Protection</vt:lpwstr>
  </property>
  <property fmtid="{D5CDD505-2E9C-101B-9397-08002B2CF9AE}" pid="13" name="MSIP_Label_8caabacf-b917-4a45-9a5f-ed3a53d2eeb7_SiteId">
    <vt:lpwstr>0804c951-93a0-405d-80e4-fa87c7551d6a</vt:lpwstr>
  </property>
  <property fmtid="{D5CDD505-2E9C-101B-9397-08002B2CF9AE}" pid="14" name="MSIP_Label_8caabacf-b917-4a45-9a5f-ed3a53d2eeb7_ActionId">
    <vt:lpwstr>3faf5020-45f1-4763-8695-30e80c497b15</vt:lpwstr>
  </property>
  <property fmtid="{D5CDD505-2E9C-101B-9397-08002B2CF9AE}" pid="15" name="MSIP_Label_8caabacf-b917-4a45-9a5f-ed3a53d2eeb7_ContentBits">
    <vt:lpwstr>0</vt:lpwstr>
  </property>
  <property fmtid="{D5CDD505-2E9C-101B-9397-08002B2CF9AE}" pid="16" name="ContentTypeId">
    <vt:lpwstr>0x0101004C59AFA96C62744296E59F2E9F3265CB</vt:lpwstr>
  </property>
  <property fmtid="{D5CDD505-2E9C-101B-9397-08002B2CF9AE}" pid="17" name="MediaServiceImageTags">
    <vt:lpwstr/>
  </property>
  <property fmtid="{D5CDD505-2E9C-101B-9397-08002B2CF9AE}" pid="18" name="Order">
    <vt:r8>18448900</vt:r8>
  </property>
  <property fmtid="{D5CDD505-2E9C-101B-9397-08002B2CF9AE}" pid="19" name="xd_ProgID">
    <vt:lpwstr/>
  </property>
  <property fmtid="{D5CDD505-2E9C-101B-9397-08002B2CF9AE}" pid="20" name="_SourceUrl">
    <vt:lpwstr/>
  </property>
  <property fmtid="{D5CDD505-2E9C-101B-9397-08002B2CF9AE}" pid="21" name="_SharedFileIndex">
    <vt:lpwstr/>
  </property>
  <property fmtid="{D5CDD505-2E9C-101B-9397-08002B2CF9AE}" pid="22" name="ComplianceAssetId">
    <vt:lpwstr/>
  </property>
  <property fmtid="{D5CDD505-2E9C-101B-9397-08002B2CF9AE}" pid="23" name="TemplateUrl">
    <vt:lpwstr/>
  </property>
  <property fmtid="{D5CDD505-2E9C-101B-9397-08002B2CF9AE}" pid="24" name="_ExtendedDescription">
    <vt:lpwstr/>
  </property>
  <property fmtid="{D5CDD505-2E9C-101B-9397-08002B2CF9AE}" pid="25" name="xd_Signature">
    <vt:bool>false</vt:bool>
  </property>
  <property fmtid="{D5CDD505-2E9C-101B-9397-08002B2CF9AE}" pid="26" name="TriggerFlowInfo">
    <vt:lpwstr/>
  </property>
</Properties>
</file>